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.sharepoint.com/sites/QinwenFanResearchTeam/Gedeelde documenten/General/Useful papers/"/>
    </mc:Choice>
  </mc:AlternateContent>
  <xr:revisionPtr revIDLastSave="220" documentId="13_ncr:1_{5044AA52-0C66-42D6-A496-4607BA4CB173}" xr6:coauthVersionLast="47" xr6:coauthVersionMax="47" xr10:uidLastSave="{042F41F7-D275-44E9-874F-CFF09E65F921}"/>
  <bookViews>
    <workbookView xWindow="28680" yWindow="-120" windowWidth="29040" windowHeight="15840" activeTab="1" xr2:uid="{5D641399-C9E8-4B7F-90A3-06547B1A7590}"/>
  </bookViews>
  <sheets>
    <sheet name="Publications" sheetId="1" r:id="rId1"/>
    <sheet name="THD+N vs. SNR" sheetId="2" r:id="rId2"/>
    <sheet name="fsw vs. Iq" sheetId="3" r:id="rId3"/>
    <sheet name="Pidle_div_Pout,max vs. fsw" sheetId="7" r:id="rId4"/>
    <sheet name="flc vs. fsw" sheetId="4" r:id="rId5"/>
    <sheet name="PSRR_L vs. THD+N" sheetId="5" r:id="rId6"/>
    <sheet name="PSRR_H vs. THD+N" sheetId="6" r:id="rId7"/>
  </sheets>
  <definedNames>
    <definedName name="_xlnm._FilterDatabase" localSheetId="0" hidden="1">Publications!$A$1:$AG$55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5" i="1" l="1"/>
  <c r="AC55" i="1"/>
  <c r="V55" i="1"/>
  <c r="Y55" i="1" s="1"/>
  <c r="Q55" i="1"/>
  <c r="AA54" i="1"/>
  <c r="AC54" i="1"/>
  <c r="V54" i="1"/>
  <c r="Y54" i="1" s="1"/>
  <c r="AA53" i="1"/>
  <c r="AC53" i="1"/>
  <c r="V53" i="1"/>
  <c r="Y53" i="1" s="1"/>
  <c r="AA52" i="1"/>
  <c r="AC52" i="1"/>
  <c r="V52" i="1"/>
  <c r="Q52" i="1"/>
  <c r="U42" i="1"/>
  <c r="AC47" i="1"/>
  <c r="AA47" i="1"/>
  <c r="AA42" i="1"/>
  <c r="Y47" i="1"/>
  <c r="U47" i="1"/>
  <c r="Y21" i="1"/>
  <c r="Y29" i="1"/>
  <c r="Y30" i="1"/>
  <c r="Y48" i="1"/>
  <c r="Y2" i="1"/>
  <c r="AD40" i="1"/>
  <c r="AD5" i="1"/>
  <c r="Q12" i="1"/>
  <c r="Q23" i="1"/>
  <c r="Q26" i="1"/>
  <c r="Q41" i="1"/>
  <c r="Q44" i="1"/>
  <c r="Q45" i="1"/>
  <c r="Q48" i="1"/>
  <c r="Q50" i="1"/>
  <c r="Q51" i="1"/>
  <c r="Q6" i="1"/>
  <c r="AC16" i="1"/>
  <c r="AC39" i="1"/>
  <c r="AC42" i="1"/>
  <c r="AC45" i="1"/>
  <c r="AC48" i="1"/>
  <c r="AC49" i="1"/>
  <c r="AC50" i="1"/>
  <c r="AC51" i="1"/>
  <c r="AA51" i="1"/>
  <c r="V51" i="1"/>
  <c r="Y51" i="1" s="1"/>
  <c r="AA50" i="1"/>
  <c r="V50" i="1"/>
  <c r="Y50" i="1" s="1"/>
  <c r="V49" i="1"/>
  <c r="Y49" i="1" s="1"/>
  <c r="AA48" i="1"/>
  <c r="U48" i="1"/>
  <c r="AB46" i="1"/>
  <c r="AC46" i="1" s="1"/>
  <c r="V46" i="1"/>
  <c r="Y46" i="1" s="1"/>
  <c r="AA45" i="1"/>
  <c r="V45" i="1"/>
  <c r="AB44" i="1"/>
  <c r="AC44" i="1" s="1"/>
  <c r="V44" i="1"/>
  <c r="Y44" i="1" s="1"/>
  <c r="AB43" i="1"/>
  <c r="AC43" i="1" s="1"/>
  <c r="V43" i="1"/>
  <c r="Y43" i="1" s="1"/>
  <c r="Y42" i="1"/>
  <c r="AB41" i="1"/>
  <c r="AC41" i="1" s="1"/>
  <c r="V41" i="1"/>
  <c r="Y41" i="1" s="1"/>
  <c r="AB40" i="1"/>
  <c r="AC40" i="1" s="1"/>
  <c r="V40" i="1"/>
  <c r="Y40" i="1" s="1"/>
  <c r="AA39" i="1"/>
  <c r="V39" i="1"/>
  <c r="Y39" i="1" s="1"/>
  <c r="AB38" i="1"/>
  <c r="AC38" i="1" s="1"/>
  <c r="V38" i="1"/>
  <c r="Y38" i="1" s="1"/>
  <c r="AB37" i="1"/>
  <c r="AC37" i="1" s="1"/>
  <c r="U37" i="1"/>
  <c r="V37" i="1" s="1"/>
  <c r="Y37" i="1" s="1"/>
  <c r="H37" i="1"/>
  <c r="AB36" i="1"/>
  <c r="AC36" i="1" s="1"/>
  <c r="V36" i="1"/>
  <c r="Y36" i="1" s="1"/>
  <c r="AB35" i="1"/>
  <c r="AC35" i="1" s="1"/>
  <c r="AB34" i="1"/>
  <c r="AC34" i="1" s="1"/>
  <c r="V34" i="1"/>
  <c r="Y34" i="1" s="1"/>
  <c r="V32" i="1"/>
  <c r="Y32" i="1" s="1"/>
  <c r="AB32" i="1"/>
  <c r="AC32" i="1" s="1"/>
  <c r="AB31" i="1"/>
  <c r="AC31" i="1" s="1"/>
  <c r="V31" i="1"/>
  <c r="Y31" i="1" s="1"/>
  <c r="AB30" i="1"/>
  <c r="AC30" i="1" s="1"/>
  <c r="U30" i="1"/>
  <c r="H30" i="1"/>
  <c r="AB29" i="1"/>
  <c r="AC29" i="1" s="1"/>
  <c r="U29" i="1"/>
  <c r="H29" i="1"/>
  <c r="V28" i="1"/>
  <c r="Y28" i="1" s="1"/>
  <c r="AB28" i="1"/>
  <c r="AC28" i="1" s="1"/>
  <c r="AB27" i="1"/>
  <c r="AC27" i="1" s="1"/>
  <c r="V27" i="1"/>
  <c r="Y27" i="1" s="1"/>
  <c r="AB26" i="1"/>
  <c r="AC26" i="1" s="1"/>
  <c r="V26" i="1"/>
  <c r="Y26" i="1" s="1"/>
  <c r="AB25" i="1"/>
  <c r="AC25" i="1" s="1"/>
  <c r="H25" i="1"/>
  <c r="AB24" i="1"/>
  <c r="AC24" i="1" s="1"/>
  <c r="AB23" i="1"/>
  <c r="AC23" i="1" s="1"/>
  <c r="H23" i="1"/>
  <c r="AB22" i="1"/>
  <c r="AC22" i="1" s="1"/>
  <c r="V22" i="1"/>
  <c r="Y22" i="1" s="1"/>
  <c r="AB21" i="1"/>
  <c r="AC21" i="1" s="1"/>
  <c r="U21" i="1"/>
  <c r="H21" i="1"/>
  <c r="AB20" i="1"/>
  <c r="AC20" i="1" s="1"/>
  <c r="V20" i="1"/>
  <c r="Y20" i="1" s="1"/>
  <c r="AB19" i="1"/>
  <c r="AC19" i="1" s="1"/>
  <c r="V19" i="1"/>
  <c r="Y19" i="1" s="1"/>
  <c r="AB18" i="1"/>
  <c r="AC18" i="1" s="1"/>
  <c r="V18" i="1"/>
  <c r="Y18" i="1" s="1"/>
  <c r="AB17" i="1"/>
  <c r="AC17" i="1" s="1"/>
  <c r="AB14" i="1"/>
  <c r="AC14" i="1" s="1"/>
  <c r="V17" i="1"/>
  <c r="Y17" i="1" s="1"/>
  <c r="AA16" i="1"/>
  <c r="V16" i="1"/>
  <c r="Y16" i="1" s="1"/>
  <c r="V15" i="1"/>
  <c r="AB13" i="1"/>
  <c r="AC13" i="1" s="1"/>
  <c r="AB12" i="1"/>
  <c r="AC12" i="1" s="1"/>
  <c r="V12" i="1"/>
  <c r="Y12" i="1" s="1"/>
  <c r="AB11" i="1"/>
  <c r="AC11" i="1" s="1"/>
  <c r="V11" i="1"/>
  <c r="Y11" i="1" s="1"/>
  <c r="AB10" i="1"/>
  <c r="AC10" i="1" s="1"/>
  <c r="AB9" i="1"/>
  <c r="AC9" i="1" s="1"/>
  <c r="AB8" i="1"/>
  <c r="AC8" i="1" s="1"/>
  <c r="V8" i="1"/>
  <c r="Y8" i="1" s="1"/>
  <c r="AB7" i="1"/>
  <c r="AC7" i="1" s="1"/>
  <c r="H7" i="1"/>
  <c r="AB6" i="1"/>
  <c r="AC6" i="1" s="1"/>
  <c r="V6" i="1"/>
  <c r="Y6" i="1" s="1"/>
  <c r="AB5" i="1"/>
  <c r="AC5" i="1" s="1"/>
  <c r="V5" i="1"/>
  <c r="Y5" i="1" s="1"/>
  <c r="AB4" i="1"/>
  <c r="AC4" i="1" s="1"/>
  <c r="AB3" i="1"/>
  <c r="AC3" i="1" s="1"/>
  <c r="V3" i="1"/>
  <c r="Y3" i="1" s="1"/>
  <c r="AB2" i="1"/>
  <c r="AC2" i="1" s="1"/>
  <c r="U2" i="1"/>
</calcChain>
</file>

<file path=xl/sharedStrings.xml><?xml version="1.0" encoding="utf-8"?>
<sst xmlns="http://schemas.openxmlformats.org/spreadsheetml/2006/main" count="582" uniqueCount="182">
  <si>
    <t>Year</t>
  </si>
  <si>
    <t>Author</t>
  </si>
  <si>
    <t>Title</t>
  </si>
  <si>
    <t>Publication</t>
  </si>
  <si>
    <t>Comment</t>
  </si>
  <si>
    <t>Integrated</t>
  </si>
  <si>
    <t>Process</t>
  </si>
  <si>
    <t>Area [mm2]</t>
  </si>
  <si>
    <t>Input</t>
  </si>
  <si>
    <t>FB Location</t>
  </si>
  <si>
    <t>Architecture</t>
  </si>
  <si>
    <t>Mod.</t>
  </si>
  <si>
    <t>fsw [kHz]</t>
  </si>
  <si>
    <t>Filterless</t>
  </si>
  <si>
    <t>L [uH]</t>
  </si>
  <si>
    <t>C [uF]</t>
  </si>
  <si>
    <t>fLC [kHz]</t>
  </si>
  <si>
    <t>LC Sup. [dB]</t>
  </si>
  <si>
    <t>PVDD_L [V]</t>
  </si>
  <si>
    <t>PVDD_H [V]</t>
  </si>
  <si>
    <r>
      <t>I_</t>
    </r>
    <r>
      <rPr>
        <b/>
        <sz val="10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 xml:space="preserve"> [mA]</t>
    </r>
  </si>
  <si>
    <t>Pidle [mW]</t>
  </si>
  <si>
    <t>Rload [Ohm]</t>
  </si>
  <si>
    <t>Pout,max [W]</t>
  </si>
  <si>
    <r>
      <rPr>
        <b/>
        <sz val="11"/>
        <color theme="1"/>
        <rFont val="Calibri"/>
        <family val="2"/>
      </rPr>
      <t>η</t>
    </r>
    <r>
      <rPr>
        <b/>
        <sz val="11"/>
        <color theme="1"/>
        <rFont val="Calibri"/>
        <family val="2"/>
        <scheme val="minor"/>
      </rPr>
      <t xml:space="preserve"> [%]</t>
    </r>
  </si>
  <si>
    <t>THD+N (1kHz) [%]</t>
  </si>
  <si>
    <t>THD+N [dB]</t>
  </si>
  <si>
    <t>|THD+N| [dB]</t>
  </si>
  <si>
    <t>DR [dB]</t>
  </si>
  <si>
    <t>Vn [uVrms]</t>
  </si>
  <si>
    <t>Vn [uVrms-A]</t>
  </si>
  <si>
    <t>Anderskouv</t>
  </si>
  <si>
    <t>High-fidelity pulse-width modulation amplifiers based on novel double-loop feedback techniques</t>
  </si>
  <si>
    <t>Proc. 100th AES Conv.</t>
  </si>
  <si>
    <t>No</t>
  </si>
  <si>
    <t>Analog</t>
  </si>
  <si>
    <t>After LC</t>
  </si>
  <si>
    <t>Const. freq.</t>
  </si>
  <si>
    <t>BD-PWM</t>
  </si>
  <si>
    <t>4, 8</t>
  </si>
  <si>
    <t>Berkhout</t>
  </si>
  <si>
    <t>An Integrated 200-W Class-D Audio Amplifier</t>
  </si>
  <si>
    <t>JSSC</t>
  </si>
  <si>
    <t>Yes</t>
  </si>
  <si>
    <t>A-BCD</t>
  </si>
  <si>
    <t>Before LC</t>
  </si>
  <si>
    <t>SE-PWM</t>
  </si>
  <si>
    <t>A class D output stage with zero dead time</t>
  </si>
  <si>
    <t>ISSCC</t>
  </si>
  <si>
    <t>BCD SOI</t>
  </si>
  <si>
    <t>Open Loop</t>
  </si>
  <si>
    <t>PWM</t>
  </si>
  <si>
    <t>Lee</t>
  </si>
  <si>
    <t>A 2W, 92% efficiency and 0.01% THD+N class-D audio power amplifier for mobile applications, based on the novel SCOM architecture</t>
  </si>
  <si>
    <t>CICC</t>
  </si>
  <si>
    <t>0.35um CMOS</t>
  </si>
  <si>
    <t>Self-osc.</t>
  </si>
  <si>
    <t>2, 4, 8</t>
  </si>
  <si>
    <t>Gaalaas</t>
  </si>
  <si>
    <t>Integrated stereo ΔΣ class D amplifier</t>
  </si>
  <si>
    <t>0.6um BCD</t>
  </si>
  <si>
    <t>Hysteresis</t>
  </si>
  <si>
    <t>DSM</t>
  </si>
  <si>
    <t>4, 6</t>
  </si>
  <si>
    <t>Ido</t>
  </si>
  <si>
    <t>A Digital Input Controller for Audio Class-D Amplifiers with 100W 0.004% THD+N and 113dB DR</t>
  </si>
  <si>
    <t>Digital</t>
  </si>
  <si>
    <t>AD-PWM</t>
  </si>
  <si>
    <t>Nyboe</t>
  </si>
  <si>
    <t>A 240W Monolithic Class-D Audio Amplifier Output Stage</t>
  </si>
  <si>
    <t>0.4um/0.18um HV BiCMOS</t>
  </si>
  <si>
    <t>Risbo</t>
  </si>
  <si>
    <t>PWM amplifier control loops with minimum aliasing distortion</t>
  </si>
  <si>
    <t>Proc. 120th AES Conv.</t>
  </si>
  <si>
    <t>A 460W Class-D output stage with adaptive gate drive</t>
  </si>
  <si>
    <t>Matamura</t>
  </si>
  <si>
    <t>Filterless multi-level delta-sigma class-D amplifier for portable applications</t>
  </si>
  <si>
    <t>ISCAS</t>
  </si>
  <si>
    <t>Rojas-Gonzalez</t>
  </si>
  <si>
    <t>Low-Power High-Efficiency Class D Audio Power Amplifiers</t>
  </si>
  <si>
    <t>0.5um CMOS</t>
  </si>
  <si>
    <t>Siniscalchi</t>
  </si>
  <si>
    <t>A 20 W/Channel Class-D Amplifier With Near-Zero Common-Mode Radiated Emissions</t>
  </si>
  <si>
    <t>0.25um BCD</t>
  </si>
  <si>
    <t>Multilevel PWM</t>
  </si>
  <si>
    <t>Class-D Audio Amplifiers in Mobile Applications</t>
  </si>
  <si>
    <t>TCAS1</t>
  </si>
  <si>
    <t>0.14um CMOS</t>
  </si>
  <si>
    <t>Huffenus</t>
  </si>
  <si>
    <t>A high PSRR Class-D audio amplifier IC based on a self-adjusting voltage reference</t>
  </si>
  <si>
    <t>ESSCIRC</t>
  </si>
  <si>
    <t>0.25um CMOS</t>
  </si>
  <si>
    <t>Wang</t>
  </si>
  <si>
    <t>A 120 dB Dynamic Range 400 mW Class-D Speaker Driver With Fourth-Order PWM Modulator</t>
  </si>
  <si>
    <t>65nm CMOS</t>
  </si>
  <si>
    <t>Teplechuk</t>
  </si>
  <si>
    <t>True Filterless Class-D Audio Amplifier</t>
  </si>
  <si>
    <t>Torres</t>
  </si>
  <si>
    <t>A Low-Power High-PSRR Clock-Free Current-Controlled Class-D Audio Amplifier</t>
  </si>
  <si>
    <t>Chen</t>
  </si>
  <si>
    <t>A High-PSRR Reconfigurable Class-AB/D Audio Amplifier Driving a Hands-Free/Receiver 2-in-1 Loudspeaker</t>
  </si>
  <si>
    <t>0.153um CMOS</t>
  </si>
  <si>
    <t>Choi</t>
  </si>
  <si>
    <t>A 0.018% THD+N, 88-dB PSRR PWM Class-D Amplifier for Direct Battery Hookup</t>
  </si>
  <si>
    <t>0.18um CMOS</t>
  </si>
  <si>
    <t>Dooper</t>
  </si>
  <si>
    <t>A 3.4 W Digital-In Class-D Audio Amplifier in 0.14 μm CMOS</t>
  </si>
  <si>
    <t>Kwon</t>
  </si>
  <si>
    <t>A 0.028% THD+N, 91% power-efficiency, 3-level PWM Class-D amplifier with a true differential front-end</t>
  </si>
  <si>
    <t>Liu</t>
  </si>
  <si>
    <t>A 100 W 5.1-Channel Digital Class-D Audio Amplifier With Single-Chip Design</t>
  </si>
  <si>
    <t>6 channels</t>
  </si>
  <si>
    <t>3, 8</t>
  </si>
  <si>
    <t>Balmelli</t>
  </si>
  <si>
    <t>A Low-EMI 3-W Audio Class-D Amplifier Compatible With AM/FM Radio</t>
  </si>
  <si>
    <t>0.11um CMOS</t>
  </si>
  <si>
    <t>Chien</t>
  </si>
  <si>
    <t>An open-loop class-D audio amplifier with increased low-distortion output power and PVT-insensitive EMI reduction</t>
  </si>
  <si>
    <t>2 channels</t>
  </si>
  <si>
    <t>0.18um BCD</t>
  </si>
  <si>
    <t>Colli-Menchi</t>
  </si>
  <si>
    <t>A Feed-Forward Power-Supply Noise Cancellation Technique for Single-Ended Class-D Audio Amplifiers</t>
  </si>
  <si>
    <t>Guo</t>
  </si>
  <si>
    <t>A 101 dB PSRR, 0.0027% THD + N and 94% Power-Efficiency Filterless Class D Amplifier</t>
  </si>
  <si>
    <t>Kinyua</t>
  </si>
  <si>
    <t>Integrated 105 dB SNR, 0.0031% THD+N Class-D Audio Amplifier With Global Feedback and Digital Control in 55 nm CMOS</t>
  </si>
  <si>
    <t>55nm CMOS</t>
  </si>
  <si>
    <t>Ma</t>
  </si>
  <si>
    <t>A high-voltage class-D power amplifier with switching frequency regulation for improved high-efficiency output power range</t>
  </si>
  <si>
    <t>0.14um BCD SOI</t>
  </si>
  <si>
    <t>Høyerby</t>
  </si>
  <si>
    <t>A 2×70 W Monolithic Five-Level Class-D Audio Power Amplifier in 180 nm BCD</t>
  </si>
  <si>
    <t>Kuo</t>
  </si>
  <si>
    <t>A 2.4 mA Quiescent Current, 1 W Output Power Class-D Audio Amplifier With Feed-Forward PWM-Intermodulated-Distortion Reduction</t>
  </si>
  <si>
    <t>A 118 dB PSRR, 0.00067% (-103.5 dB) THD+N and 3.1 W Fully Differential Class-D Audio Amplifier With PWM Common Mode Control</t>
  </si>
  <si>
    <t>Karaca</t>
  </si>
  <si>
    <t>A Class-D output bridge with dynamic dead-time, small delay and reduced EMI</t>
  </si>
  <si>
    <t>An 8Ω 10W 91%-power-efficiency 0.0023%-THD+N multi-level Class-D audio amplifier with folded PWM</t>
  </si>
  <si>
    <t>Schinkel</t>
  </si>
  <si>
    <t>A Multiphase Class-D Automotive Audio Amplifier With Integrated Low-Latency ADCs for Digitized Feedback After the Output Filter</t>
  </si>
  <si>
    <t>Multiphase PWM</t>
  </si>
  <si>
    <t>A Low Quiescent Current, Low THD+N Class-D Audio Amplifier With Area-Efficient PWM-Residual-Aliasing Reduction</t>
  </si>
  <si>
    <t>Cope</t>
  </si>
  <si>
    <t>A 2×20W 0.0013% THD+N Class-D audio amplifier with consistent performance up to maximum power level</t>
  </si>
  <si>
    <t>A 0.0004% (−108dB) THD+N, 112dB-SNR, 3.15W fully differential Class-D audio amplifier with Gmnoise cancellation and negative output-common-mode injection techniques</t>
  </si>
  <si>
    <t>Auer</t>
  </si>
  <si>
    <t>A Class-D Amplifier with Digital PWM and Digital Loop-Filter using a Mixed-Signal Feedback Loop</t>
  </si>
  <si>
    <t>Ge</t>
  </si>
  <si>
    <t>A Direct Battery Hookup Filterless Pulsewidth Modulation Class D Amplifier With &gt;100 dB PSRR for 100 Hz to 1 kHz, 0.005% THD+N and 16 μV Noise</t>
  </si>
  <si>
    <t>TPE</t>
  </si>
  <si>
    <t>Karmakar</t>
  </si>
  <si>
    <t>A 28-W, −102.2-dB THD+N Class-D Amplifier Using a Hybrid ΔΣM-PWM Scheme</t>
  </si>
  <si>
    <t>An 82-mW ΔΣ-Based Filter-Less Class-D Headphone Amplifier With −93-dB THD+N, 113-dB SNR, and 93% Efficiency</t>
  </si>
  <si>
    <t>40nm CMOS</t>
  </si>
  <si>
    <t>Qiu</t>
  </si>
  <si>
    <t>A 0.4-mA-Quiescent-Current, 0.00091%-THD+N Class-D Audio Amplifier With Low-Complexity Frequency Equalization for PWM-Residual-Aliasing Reduction</t>
  </si>
  <si>
    <t>Zhang</t>
  </si>
  <si>
    <t>A High-Linearity and Low-EMI Multilevel Class-D Amplifier</t>
  </si>
  <si>
    <t>A -91 dB THD+N, Class-D Piezoelectric Speaker Driver Using Dual Voltage/Current Feedback for Resistor-Less LC Resonance Damping</t>
  </si>
  <si>
    <t>PP-PWM</t>
  </si>
  <si>
    <t>Sun</t>
  </si>
  <si>
    <t>A 121dB DR, 0.0017% THD+N, 8× Jitter-Effect Reduction Digital-Input Class-D Audio Amplifier with Supply-Voltage-Scaling Volume Control and Series-Connected DSM</t>
  </si>
  <si>
    <t>Open Loop/Before LC</t>
  </si>
  <si>
    <t>A -121.5-dB THD Class-D Audio Amplifier With 49-dB LC Filter Nonlinearity Suppression</t>
  </si>
  <si>
    <t>A Chopper Class-D Amplifier for PSRR Improvement Over the Entire Audio Band</t>
  </si>
  <si>
    <t>A 121.4-dB DR Capacitively Coupled Chopper Class-D Audio Amplifier</t>
  </si>
  <si>
    <t>A 120.9dB DR, -111.2dB THD+N Digital-Input Capacitively-Coupled Chopper Class-D Audio Amplifier</t>
  </si>
  <si>
    <t>DR read from plot</t>
  </si>
  <si>
    <t>PSRR_L [dB]</t>
  </si>
  <si>
    <t>PSRR_H [dB]</t>
  </si>
  <si>
    <t>Pidle/Pout,max</t>
  </si>
  <si>
    <t>Nishimura</t>
  </si>
  <si>
    <t>Common-mode Stable Multilevel Output Stage with EMI Reduction Feedback Loop for Class-D audio Amplifier</t>
  </si>
  <si>
    <t>VLSI</t>
  </si>
  <si>
    <t>Area only includes output stage</t>
  </si>
  <si>
    <t>A Class-D Piezoelectric Speaker Driver Using A Quadrature Feedback Chopping Scheme achieving 29dB Large-Signal THD+N Improvement</t>
  </si>
  <si>
    <t>Zhang*, Zhang*</t>
  </si>
  <si>
    <t>A 121.7dB DR and -109.0dB THD+N Filterless Digital-Input Class-D Amplifier with an HV Multibit IDAC Using Tri-level Output and Employing a Transition-Rate-Balanced Bidirectional RTDEM Scheme</t>
  </si>
  <si>
    <t>Zhou</t>
  </si>
  <si>
    <t>A 0.81mA, -105.2dB THD+N Class-D Audio Amplifier with Capacitive Feedforward and PWM-Aliasing Reduction for Wide-Band-Effective Linearity Improvement</t>
  </si>
  <si>
    <t>A -106.3dB THD+N Feedback-After-LC Class-D Audio Amplifier Employing Current Feedback to Enable 530kHz LC-Filter Cut-Off Frequency</t>
  </si>
  <si>
    <t>LC values listed here are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</si>
</sst>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Publications!$AD$1</c:f>
              <c:strCache>
                <c:ptCount val="1"/>
                <c:pt idx="0">
                  <c:v>DR [dB]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Publications!$AC$2:$AC$55</c:f>
              <c:numCache>
                <c:formatCode>0.0</c:formatCode>
                <c:ptCount val="15"/>
                <c:pt idx="0">
                  <c:v>94.894549897933871</c:v>
                </c:pt>
                <c:pt idx="1">
                  <c:v>80</c:v>
                </c:pt>
                <c:pt idx="2">
                  <c:v>94</c:v>
                </c:pt>
                <c:pt idx="3">
                  <c:v>76.478174818886373</c:v>
                </c:pt>
                <c:pt idx="4">
                  <c:v>63.098039199714862</c:v>
                </c:pt>
                <c:pt idx="5">
                  <c:v>66.020599913279625</c:v>
                </c:pt>
                <c:pt idx="6">
                  <c:v>64.436974992327137</c:v>
                </c:pt>
                <c:pt idx="7">
                  <c:v>87.95880017344075</c:v>
                </c:pt>
                <c:pt idx="8">
                  <c:v>97.721132953863261</c:v>
                </c:pt>
                <c:pt idx="9">
                  <c:v>96</c:v>
                </c:pt>
                <c:pt idx="10">
                  <c:v>93</c:v>
                </c:pt>
                <c:pt idx="11">
                  <c:v>95.391021572434511</c:v>
                </c:pt>
                <c:pt idx="12">
                  <c:v>93</c:v>
                </c:pt>
                <c:pt idx="13">
                  <c:v>111.2</c:v>
                </c:pt>
                <c:pt idx="14">
                  <c:v>104</c:v>
                </c:pt>
              </c:numCache>
            </c:numRef>
          </c:xVal>
          <c:yVal>
            <c:numRef>
              <c:f>Publications!$AD$2:$AD$55</c:f>
              <c:numCache>
                <c:formatCode>0.0</c:formatCode>
                <c:ptCount val="15"/>
                <c:pt idx="0">
                  <c:v>113</c:v>
                </c:pt>
                <c:pt idx="1">
                  <c:v>92</c:v>
                </c:pt>
                <c:pt idx="2">
                  <c:v>120</c:v>
                </c:pt>
                <c:pt idx="3">
                  <c:v>103</c:v>
                </c:pt>
                <c:pt idx="4">
                  <c:v>84</c:v>
                </c:pt>
                <c:pt idx="5">
                  <c:v>95</c:v>
                </c:pt>
                <c:pt idx="7">
                  <c:v>115</c:v>
                </c:pt>
                <c:pt idx="8">
                  <c:v>115.5</c:v>
                </c:pt>
                <c:pt idx="9">
                  <c:v>99.9</c:v>
                </c:pt>
                <c:pt idx="10">
                  <c:v>113</c:v>
                </c:pt>
                <c:pt idx="11">
                  <c:v>121</c:v>
                </c:pt>
                <c:pt idx="12">
                  <c:v>113</c:v>
                </c:pt>
                <c:pt idx="13">
                  <c:v>120.9</c:v>
                </c:pt>
                <c:pt idx="14">
                  <c:v>121.7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C-4CB4-9790-3CEED3126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3191823"/>
        <c:axId val="1853196815"/>
      </c:scatterChart>
      <c:valAx>
        <c:axId val="1853191823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53196815"/>
        <c:crosses val="autoZero"/>
        <c:crossBetween val="midCat"/>
      </c:valAx>
      <c:valAx>
        <c:axId val="1853196815"/>
        <c:scaling>
          <c:orientation val="minMax"/>
          <c:max val="125"/>
          <c:min val="8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DR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53191823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Publications!$U$1</c:f>
              <c:strCache>
                <c:ptCount val="1"/>
                <c:pt idx="0">
                  <c:v>I_Q [mA]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Publications!$M$2:$M$55</c:f>
              <c:numCache>
                <c:formatCode>General</c:formatCode>
                <c:ptCount val="15"/>
                <c:pt idx="0">
                  <c:v>768</c:v>
                </c:pt>
                <c:pt idx="1">
                  <c:v>350</c:v>
                </c:pt>
                <c:pt idx="2">
                  <c:v>667</c:v>
                </c:pt>
                <c:pt idx="3">
                  <c:v>384</c:v>
                </c:pt>
                <c:pt idx="4">
                  <c:v>384</c:v>
                </c:pt>
                <c:pt idx="5">
                  <c:v>960</c:v>
                </c:pt>
                <c:pt idx="6">
                  <c:v>384</c:v>
                </c:pt>
                <c:pt idx="7">
                  <c:v>501</c:v>
                </c:pt>
                <c:pt idx="8">
                  <c:v>1600</c:v>
                </c:pt>
                <c:pt idx="9">
                  <c:v>390</c:v>
                </c:pt>
                <c:pt idx="10">
                  <c:v>175</c:v>
                </c:pt>
                <c:pt idx="11">
                  <c:v>384</c:v>
                </c:pt>
                <c:pt idx="12">
                  <c:v>175</c:v>
                </c:pt>
                <c:pt idx="13">
                  <c:v>4992</c:v>
                </c:pt>
                <c:pt idx="14">
                  <c:v>2300</c:v>
                </c:pt>
              </c:numCache>
            </c:numRef>
          </c:xVal>
          <c:yVal>
            <c:numRef>
              <c:f>Publications!$U$2:$U$55</c:f>
              <c:numCache>
                <c:formatCode>0.0</c:formatCode>
                <c:ptCount val="15"/>
                <c:pt idx="2">
                  <c:v>2</c:v>
                </c:pt>
                <c:pt idx="3">
                  <c:v>2.0540540540540539</c:v>
                </c:pt>
                <c:pt idx="8">
                  <c:v>10.26</c:v>
                </c:pt>
                <c:pt idx="9">
                  <c:v>3.1</c:v>
                </c:pt>
                <c:pt idx="10">
                  <c:v>0.68333333333333335</c:v>
                </c:pt>
                <c:pt idx="11">
                  <c:v>2.4</c:v>
                </c:pt>
                <c:pt idx="12">
                  <c:v>0.79999999999999993</c:v>
                </c:pt>
                <c:pt idx="13">
                  <c:v>13.9</c:v>
                </c:pt>
                <c:pt idx="14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40-48FB-AE3F-F9FFBB1D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846239"/>
        <c:axId val="1317846655"/>
      </c:scatterChart>
      <c:valAx>
        <c:axId val="1317846239"/>
        <c:scaling>
          <c:logBase val="10"/>
          <c:orientation val="minMax"/>
          <c:max val="10000"/>
          <c:min val="10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Switching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17846655"/>
        <c:crosses val="autoZero"/>
        <c:crossBetween val="midCat"/>
      </c:valAx>
      <c:valAx>
        <c:axId val="1317846655"/>
        <c:scaling>
          <c:logBase val="10"/>
          <c:orientation val="minMax"/>
          <c:max val="1000"/>
          <c:min val="0.1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Quiescent Current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17846239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Publications!$Y$1</c:f>
              <c:strCache>
                <c:ptCount val="1"/>
                <c:pt idx="0">
                  <c:v>Pidle/Pout,max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9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Publications!$M$2:$M$55</c:f>
              <c:numCache>
                <c:formatCode>General</c:formatCode>
                <c:ptCount val="15"/>
                <c:pt idx="0">
                  <c:v>768</c:v>
                </c:pt>
                <c:pt idx="1">
                  <c:v>350</c:v>
                </c:pt>
                <c:pt idx="2">
                  <c:v>667</c:v>
                </c:pt>
                <c:pt idx="3">
                  <c:v>384</c:v>
                </c:pt>
                <c:pt idx="4">
                  <c:v>384</c:v>
                </c:pt>
                <c:pt idx="5">
                  <c:v>960</c:v>
                </c:pt>
                <c:pt idx="6">
                  <c:v>384</c:v>
                </c:pt>
                <c:pt idx="7">
                  <c:v>501</c:v>
                </c:pt>
                <c:pt idx="8">
                  <c:v>1600</c:v>
                </c:pt>
                <c:pt idx="9">
                  <c:v>390</c:v>
                </c:pt>
                <c:pt idx="10">
                  <c:v>175</c:v>
                </c:pt>
                <c:pt idx="11">
                  <c:v>384</c:v>
                </c:pt>
                <c:pt idx="12">
                  <c:v>175</c:v>
                </c:pt>
                <c:pt idx="13">
                  <c:v>4992</c:v>
                </c:pt>
                <c:pt idx="14">
                  <c:v>2300</c:v>
                </c:pt>
              </c:numCache>
            </c:numRef>
          </c:xVal>
          <c:yVal>
            <c:numRef>
              <c:f>Publications!$Y$2:$Y$55</c:f>
              <c:numCache>
                <c:formatCode>0.00E+00</c:formatCode>
                <c:ptCount val="15"/>
                <c:pt idx="2">
                  <c:v>1.4999999999999999E-2</c:v>
                </c:pt>
                <c:pt idx="3">
                  <c:v>2.2352941176470588E-3</c:v>
                </c:pt>
                <c:pt idx="8">
                  <c:v>1.026E-2</c:v>
                </c:pt>
                <c:pt idx="9">
                  <c:v>1.2916666666666668E-2</c:v>
                </c:pt>
                <c:pt idx="10">
                  <c:v>1.4999999999999999E-2</c:v>
                </c:pt>
                <c:pt idx="11">
                  <c:v>8.0000000000000002E-3</c:v>
                </c:pt>
                <c:pt idx="12">
                  <c:v>1.7560975609756096E-2</c:v>
                </c:pt>
                <c:pt idx="13">
                  <c:v>8.7026086956521736E-3</c:v>
                </c:pt>
                <c:pt idx="14">
                  <c:v>1.6327559055118113E-2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15-48F1-A733-1872BB1A4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881120"/>
        <c:axId val="1979515616"/>
      </c:scatterChart>
      <c:valAx>
        <c:axId val="563881120"/>
        <c:scaling>
          <c:logBase val="10"/>
          <c:orientation val="minMax"/>
          <c:min val="100"/>
        </c:scaling>
        <c:delete val="0"/>
        <c:axPos val="b"/>
        <c:majorGridlines>
          <c:spPr>
            <a:ln w="285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Switching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79515616"/>
        <c:crosses val="autoZero"/>
        <c:crossBetween val="midCat"/>
      </c:valAx>
      <c:valAx>
        <c:axId val="1979515616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285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Idle Power / Maximum Output 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3881120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>
          <a:solidFill>
            <a:sysClr val="windowText" lastClr="000000"/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Publications!$O$1</c:f>
              <c:strCache>
                <c:ptCount val="1"/>
                <c:pt idx="0">
                  <c:v>L [uH]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Publications!$M$2:$M$55</c:f>
              <c:numCache>
                <c:formatCode>General</c:formatCode>
                <c:ptCount val="15"/>
                <c:pt idx="0">
                  <c:v>768</c:v>
                </c:pt>
                <c:pt idx="1">
                  <c:v>350</c:v>
                </c:pt>
                <c:pt idx="2">
                  <c:v>667</c:v>
                </c:pt>
                <c:pt idx="3">
                  <c:v>384</c:v>
                </c:pt>
                <c:pt idx="4">
                  <c:v>384</c:v>
                </c:pt>
                <c:pt idx="5">
                  <c:v>960</c:v>
                </c:pt>
                <c:pt idx="6">
                  <c:v>384</c:v>
                </c:pt>
                <c:pt idx="7">
                  <c:v>501</c:v>
                </c:pt>
                <c:pt idx="8">
                  <c:v>1600</c:v>
                </c:pt>
                <c:pt idx="9">
                  <c:v>390</c:v>
                </c:pt>
                <c:pt idx="10">
                  <c:v>175</c:v>
                </c:pt>
                <c:pt idx="11">
                  <c:v>384</c:v>
                </c:pt>
                <c:pt idx="12">
                  <c:v>175</c:v>
                </c:pt>
                <c:pt idx="13">
                  <c:v>4992</c:v>
                </c:pt>
                <c:pt idx="14">
                  <c:v>2300</c:v>
                </c:pt>
              </c:numCache>
            </c:numRef>
          </c:xVal>
          <c:yVal>
            <c:numRef>
              <c:f>Publications!$Q$2:$Q$55</c:f>
              <c:numCache>
                <c:formatCode>0</c:formatCode>
                <c:ptCount val="15"/>
                <c:pt idx="4">
                  <c:v>49.519937386235895</c:v>
                </c:pt>
                <c:pt idx="13">
                  <c:v>87.656350726621056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E-463F-8C92-9E42D4C0D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208719"/>
        <c:axId val="220209135"/>
      </c:scatterChart>
      <c:valAx>
        <c:axId val="220208719"/>
        <c:scaling>
          <c:orientation val="minMax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Switching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209135"/>
        <c:crosses val="autoZero"/>
        <c:crossBetween val="midCat"/>
      </c:valAx>
      <c:valAx>
        <c:axId val="220209135"/>
        <c:scaling>
          <c:logBase val="10"/>
          <c:orientation val="minMax"/>
          <c:max val="1000"/>
          <c:min val="1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LC Cutoff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208719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Publications!$AG$1</c:f>
              <c:strCache>
                <c:ptCount val="1"/>
                <c:pt idx="0">
                  <c:v>PSRR_L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Publications!$AC$2:$AC$55</c:f>
              <c:numCache>
                <c:formatCode>0.0</c:formatCode>
                <c:ptCount val="15"/>
                <c:pt idx="0">
                  <c:v>94.894549897933871</c:v>
                </c:pt>
                <c:pt idx="1">
                  <c:v>80</c:v>
                </c:pt>
                <c:pt idx="2">
                  <c:v>94</c:v>
                </c:pt>
                <c:pt idx="3">
                  <c:v>76.478174818886373</c:v>
                </c:pt>
                <c:pt idx="4">
                  <c:v>63.098039199714862</c:v>
                </c:pt>
                <c:pt idx="5">
                  <c:v>66.020599913279625</c:v>
                </c:pt>
                <c:pt idx="6">
                  <c:v>64.436974992327137</c:v>
                </c:pt>
                <c:pt idx="7">
                  <c:v>87.95880017344075</c:v>
                </c:pt>
                <c:pt idx="8">
                  <c:v>97.721132953863261</c:v>
                </c:pt>
                <c:pt idx="9">
                  <c:v>96</c:v>
                </c:pt>
                <c:pt idx="10">
                  <c:v>93</c:v>
                </c:pt>
                <c:pt idx="11">
                  <c:v>95.391021572434511</c:v>
                </c:pt>
                <c:pt idx="12">
                  <c:v>93</c:v>
                </c:pt>
                <c:pt idx="13">
                  <c:v>111.2</c:v>
                </c:pt>
                <c:pt idx="14">
                  <c:v>104</c:v>
                </c:pt>
              </c:numCache>
            </c:numRef>
          </c:xVal>
          <c:yVal>
            <c:numRef>
              <c:f>Publications!$AG$2:$AG$55</c:f>
              <c:numCache>
                <c:formatCode>General</c:formatCode>
                <c:ptCount val="15"/>
                <c:pt idx="1">
                  <c:v>80</c:v>
                </c:pt>
                <c:pt idx="3">
                  <c:v>85</c:v>
                </c:pt>
                <c:pt idx="7">
                  <c:v>88</c:v>
                </c:pt>
                <c:pt idx="8">
                  <c:v>80</c:v>
                </c:pt>
                <c:pt idx="10">
                  <c:v>94</c:v>
                </c:pt>
                <c:pt idx="11">
                  <c:v>100</c:v>
                </c:pt>
                <c:pt idx="13">
                  <c:v>97</c:v>
                </c:pt>
                <c:pt idx="14">
                  <c:v>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34-4992-8312-0551506AA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823135"/>
        <c:axId val="2070825631"/>
      </c:scatterChart>
      <c:valAx>
        <c:axId val="2070823135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0825631"/>
        <c:crosses val="autoZero"/>
        <c:crossBetween val="midCat"/>
      </c:valAx>
      <c:valAx>
        <c:axId val="2070825631"/>
        <c:scaling>
          <c:orientation val="minMax"/>
          <c:max val="130"/>
          <c:min val="4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PSRR_L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0823135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Publications!$AH$1</c:f>
              <c:strCache>
                <c:ptCount val="1"/>
                <c:pt idx="0">
                  <c:v>PSRR_H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Publications!$AC$2:$AC$55</c:f>
              <c:numCache>
                <c:formatCode>0.0</c:formatCode>
                <c:ptCount val="15"/>
                <c:pt idx="0">
                  <c:v>94.894549897933871</c:v>
                </c:pt>
                <c:pt idx="1">
                  <c:v>80</c:v>
                </c:pt>
                <c:pt idx="2">
                  <c:v>94</c:v>
                </c:pt>
                <c:pt idx="3">
                  <c:v>76.478174818886373</c:v>
                </c:pt>
                <c:pt idx="4">
                  <c:v>63.098039199714862</c:v>
                </c:pt>
                <c:pt idx="5">
                  <c:v>66.020599913279625</c:v>
                </c:pt>
                <c:pt idx="6">
                  <c:v>64.436974992327137</c:v>
                </c:pt>
                <c:pt idx="7">
                  <c:v>87.95880017344075</c:v>
                </c:pt>
                <c:pt idx="8">
                  <c:v>97.721132953863261</c:v>
                </c:pt>
                <c:pt idx="9">
                  <c:v>96</c:v>
                </c:pt>
                <c:pt idx="10">
                  <c:v>93</c:v>
                </c:pt>
                <c:pt idx="11">
                  <c:v>95.391021572434511</c:v>
                </c:pt>
                <c:pt idx="12">
                  <c:v>93</c:v>
                </c:pt>
                <c:pt idx="13">
                  <c:v>111.2</c:v>
                </c:pt>
                <c:pt idx="14">
                  <c:v>104</c:v>
                </c:pt>
              </c:numCache>
            </c:numRef>
          </c:xVal>
          <c:yVal>
            <c:numRef>
              <c:f>Publications!$AH$2:$AH$55</c:f>
              <c:numCache>
                <c:formatCode>General</c:formatCode>
                <c:ptCount val="15"/>
                <c:pt idx="1">
                  <c:v>60</c:v>
                </c:pt>
                <c:pt idx="7">
                  <c:v>60</c:v>
                </c:pt>
                <c:pt idx="8">
                  <c:v>50</c:v>
                </c:pt>
                <c:pt idx="13">
                  <c:v>78</c:v>
                </c:pt>
                <c:pt idx="14">
                  <c:v>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58-480B-9C19-2D0BE7DA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017871"/>
        <c:axId val="2073025359"/>
      </c:scatterChart>
      <c:valAx>
        <c:axId val="2073017871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3025359"/>
        <c:crosses val="autoZero"/>
        <c:crossBetween val="midCat"/>
      </c:valAx>
      <c:valAx>
        <c:axId val="2073025359"/>
        <c:scaling>
          <c:orientation val="minMax"/>
          <c:max val="90"/>
          <c:min val="4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PSRR_H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3017871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9A07644-240E-4E52-87E9-B0B6BD97612E}">
  <sheetPr/>
  <sheetViews>
    <sheetView tabSelected="1"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DA82455-7504-40D6-8570-550BA2EDA138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1867947-37CA-4F97-B795-E8CA86092BF5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034262-4B2B-4E95-8B75-0366385EEDF4}">
  <sheetPr/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DDB851F-D7AC-437F-9B01-319D2AA634FB}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2F23E0-0D12-4877-B2D3-5CFD54DDE28B}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C88B1B-CB9C-14C9-B1A7-DD347092ED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829735-7B4D-73E0-BD6C-B972BEF873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114B62-ACDD-C163-E568-0F71B5872D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864E76-233F-6C59-B6F8-AF35E7CC20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561539-2A58-FF8C-E762-213C5F6258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874BE8-BA7A-DB5E-3097-7F37897365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43457-26B3-4161-A824-7CD5A792A360}">
  <sheetPr filterMode="1"/>
  <dimension ref="A1:AH55"/>
  <sheetViews>
    <sheetView zoomScale="85" zoomScaleNormal="85" workbookViewId="0">
      <pane ySplit="1" topLeftCell="A2" activePane="bottomLeft" state="frozen"/>
      <selection pane="bottomLeft" activeCell="P16" sqref="P16"/>
    </sheetView>
  </sheetViews>
  <sheetFormatPr defaultRowHeight="15" x14ac:dyDescent="0.25"/>
  <cols>
    <col min="1" max="1" width="5" bestFit="1" customWidth="1"/>
    <col min="2" max="2" width="10.42578125" bestFit="1" customWidth="1"/>
    <col min="3" max="3" width="10.42578125" customWidth="1"/>
    <col min="4" max="4" width="10.7109375" customWidth="1"/>
    <col min="5" max="5" width="9" bestFit="1" customWidth="1"/>
    <col min="6" max="6" width="10.140625" style="3" bestFit="1" customWidth="1"/>
    <col min="7" max="7" width="23.140625" style="7" bestFit="1" customWidth="1"/>
    <col min="8" max="8" width="11" style="4" bestFit="1" customWidth="1"/>
    <col min="9" max="9" width="11" style="4" customWidth="1"/>
    <col min="10" max="10" width="10.7109375" style="3" bestFit="1" customWidth="1"/>
    <col min="11" max="11" width="10.7109375" style="3" customWidth="1"/>
    <col min="12" max="12" width="15" style="3" bestFit="1" customWidth="1"/>
    <col min="13" max="13" width="8.7109375" style="3" bestFit="1" customWidth="1"/>
    <col min="14" max="16" width="8.7109375" style="3" customWidth="1"/>
    <col min="17" max="17" width="12.85546875" style="10" bestFit="1" customWidth="1"/>
    <col min="18" max="18" width="11.28515625" style="3" bestFit="1" customWidth="1"/>
    <col min="19" max="20" width="11" style="3" bestFit="1" customWidth="1"/>
    <col min="21" max="21" width="8.28515625" style="4" bestFit="1" customWidth="1"/>
    <col min="22" max="22" width="10.28515625" style="4" bestFit="1" customWidth="1"/>
    <col min="23" max="23" width="11.28515625" style="3" bestFit="1" customWidth="1"/>
    <col min="24" max="24" width="12.28515625" style="4" bestFit="1" customWidth="1"/>
    <col min="25" max="25" width="19.5703125" style="4" bestFit="1" customWidth="1"/>
    <col min="26" max="26" width="5.28515625" style="3" bestFit="1" customWidth="1"/>
    <col min="27" max="27" width="15.5703125" style="8" bestFit="1" customWidth="1"/>
    <col min="28" max="28" width="10.7109375" style="4" bestFit="1" customWidth="1"/>
    <col min="29" max="29" width="12.7109375" style="4" bestFit="1" customWidth="1"/>
    <col min="30" max="30" width="8.85546875" style="4"/>
    <col min="31" max="31" width="10.5703125" style="3" bestFit="1" customWidth="1"/>
    <col min="32" max="32" width="12.42578125" style="3" bestFit="1" customWidth="1"/>
    <col min="33" max="33" width="15.7109375" style="3" bestFit="1" customWidth="1"/>
    <col min="34" max="34" width="11.5703125" style="3" bestFit="1" customWidth="1"/>
  </cols>
  <sheetData>
    <row r="1" spans="1:34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170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168</v>
      </c>
      <c r="AH1" s="2" t="s">
        <v>169</v>
      </c>
    </row>
    <row r="2" spans="1:34" hidden="1" x14ac:dyDescent="0.25">
      <c r="A2" s="3">
        <v>1996</v>
      </c>
      <c r="B2" s="5" t="s">
        <v>31</v>
      </c>
      <c r="C2" s="5" t="s">
        <v>32</v>
      </c>
      <c r="D2" s="5" t="s">
        <v>33</v>
      </c>
      <c r="E2" s="3"/>
      <c r="F2" s="3" t="s">
        <v>34</v>
      </c>
      <c r="I2" s="4" t="s">
        <v>35</v>
      </c>
      <c r="J2" s="3" t="s">
        <v>36</v>
      </c>
      <c r="K2" s="3" t="s">
        <v>37</v>
      </c>
      <c r="L2" s="3" t="s">
        <v>38</v>
      </c>
      <c r="M2" s="3">
        <v>315</v>
      </c>
      <c r="R2" s="3">
        <v>20</v>
      </c>
      <c r="S2" s="3">
        <v>70</v>
      </c>
      <c r="T2" s="3">
        <v>70</v>
      </c>
      <c r="U2" s="4">
        <f>V2/T2</f>
        <v>171.42857142857142</v>
      </c>
      <c r="V2" s="4">
        <v>12000</v>
      </c>
      <c r="W2" s="3" t="s">
        <v>39</v>
      </c>
      <c r="X2" s="4">
        <v>200</v>
      </c>
      <c r="Y2" s="12">
        <f>V2/X2/1000</f>
        <v>0.06</v>
      </c>
      <c r="Z2" s="3">
        <v>90</v>
      </c>
      <c r="AA2" s="8">
        <v>3.0000000000000001E-3</v>
      </c>
      <c r="AB2" s="4">
        <f t="shared" ref="AB2:AB14" si="0">20*LOG10(AA2/100)</f>
        <v>-90.457574905606748</v>
      </c>
      <c r="AC2" s="4">
        <f>ABS(AB2)</f>
        <v>90.457574905606748</v>
      </c>
      <c r="AD2" s="4">
        <v>113</v>
      </c>
      <c r="AE2" s="3">
        <v>80</v>
      </c>
    </row>
    <row r="3" spans="1:34" hidden="1" x14ac:dyDescent="0.25">
      <c r="A3">
        <v>2003</v>
      </c>
      <c r="B3" t="s">
        <v>40</v>
      </c>
      <c r="C3" t="s">
        <v>41</v>
      </c>
      <c r="D3" t="s">
        <v>42</v>
      </c>
      <c r="F3" s="3" t="s">
        <v>43</v>
      </c>
      <c r="G3" s="7" t="s">
        <v>44</v>
      </c>
      <c r="H3" s="4">
        <v>22</v>
      </c>
      <c r="I3" s="4" t="s">
        <v>35</v>
      </c>
      <c r="J3" s="3" t="s">
        <v>45</v>
      </c>
      <c r="K3" s="3" t="s">
        <v>37</v>
      </c>
      <c r="L3" s="3" t="s">
        <v>46</v>
      </c>
      <c r="M3" s="3">
        <v>350</v>
      </c>
      <c r="R3" s="3">
        <v>0</v>
      </c>
      <c r="S3" s="3">
        <v>30</v>
      </c>
      <c r="T3" s="3">
        <v>30</v>
      </c>
      <c r="U3" s="4">
        <v>55</v>
      </c>
      <c r="V3" s="4">
        <f>T3*U3</f>
        <v>1650</v>
      </c>
      <c r="W3" s="3">
        <v>4</v>
      </c>
      <c r="X3" s="4">
        <v>100</v>
      </c>
      <c r="Y3" s="12">
        <f t="shared" ref="Y3:Y55" si="1">V3/X3/1000</f>
        <v>1.6500000000000001E-2</v>
      </c>
      <c r="Z3" s="3">
        <v>90</v>
      </c>
      <c r="AA3" s="8">
        <v>1.7000000000000001E-2</v>
      </c>
      <c r="AB3" s="4">
        <f t="shared" si="0"/>
        <v>-75.391021572434511</v>
      </c>
      <c r="AC3" s="4">
        <f t="shared" ref="AC3:AC55" si="2">ABS(AB3)</f>
        <v>75.391021572434511</v>
      </c>
      <c r="AD3" s="4">
        <v>103</v>
      </c>
      <c r="AE3" s="3">
        <v>200</v>
      </c>
    </row>
    <row r="4" spans="1:34" hidden="1" x14ac:dyDescent="0.25">
      <c r="A4">
        <v>2003</v>
      </c>
      <c r="B4" t="s">
        <v>40</v>
      </c>
      <c r="C4" t="s">
        <v>47</v>
      </c>
      <c r="D4" t="s">
        <v>48</v>
      </c>
      <c r="E4" t="s">
        <v>167</v>
      </c>
      <c r="F4" s="3" t="s">
        <v>43</v>
      </c>
      <c r="G4" s="7" t="s">
        <v>49</v>
      </c>
      <c r="I4" s="4" t="s">
        <v>35</v>
      </c>
      <c r="J4" s="3" t="s">
        <v>50</v>
      </c>
      <c r="K4" s="3" t="s">
        <v>37</v>
      </c>
      <c r="L4" s="3" t="s">
        <v>51</v>
      </c>
      <c r="M4" s="3">
        <v>352.8</v>
      </c>
      <c r="R4" s="3">
        <v>0</v>
      </c>
      <c r="S4" s="3">
        <v>30</v>
      </c>
      <c r="T4" s="3">
        <v>30</v>
      </c>
      <c r="W4" s="3">
        <v>6</v>
      </c>
      <c r="X4" s="4">
        <v>60</v>
      </c>
      <c r="Y4" s="12"/>
      <c r="AA4" s="8">
        <v>0.03</v>
      </c>
      <c r="AB4" s="4">
        <f t="shared" si="0"/>
        <v>-70.457574905606748</v>
      </c>
      <c r="AC4" s="4">
        <f t="shared" si="2"/>
        <v>70.457574905606748</v>
      </c>
      <c r="AD4" s="11">
        <v>80</v>
      </c>
    </row>
    <row r="5" spans="1:34" hidden="1" x14ac:dyDescent="0.25">
      <c r="A5">
        <v>2004</v>
      </c>
      <c r="B5" t="s">
        <v>52</v>
      </c>
      <c r="C5" t="s">
        <v>53</v>
      </c>
      <c r="D5" t="s">
        <v>54</v>
      </c>
      <c r="F5" s="3" t="s">
        <v>43</v>
      </c>
      <c r="G5" s="7" t="s">
        <v>55</v>
      </c>
      <c r="H5" s="4">
        <v>1.44</v>
      </c>
      <c r="I5" s="4" t="s">
        <v>35</v>
      </c>
      <c r="J5" s="3" t="s">
        <v>45</v>
      </c>
      <c r="K5" s="3" t="s">
        <v>56</v>
      </c>
      <c r="L5" s="3" t="s">
        <v>51</v>
      </c>
      <c r="M5" s="3">
        <v>300</v>
      </c>
      <c r="N5" s="3" t="s">
        <v>43</v>
      </c>
      <c r="R5" s="3">
        <v>0</v>
      </c>
      <c r="S5" s="3">
        <v>1.6</v>
      </c>
      <c r="T5" s="3">
        <v>3.6</v>
      </c>
      <c r="U5" s="4">
        <v>1.3</v>
      </c>
      <c r="V5" s="4">
        <f>T5*U5</f>
        <v>4.6800000000000006</v>
      </c>
      <c r="W5" s="3" t="s">
        <v>57</v>
      </c>
      <c r="X5" s="4">
        <v>1.5780000000000001</v>
      </c>
      <c r="Y5" s="12">
        <f t="shared" si="1"/>
        <v>2.9657794676806082E-3</v>
      </c>
      <c r="Z5" s="3">
        <v>91</v>
      </c>
      <c r="AA5" s="8">
        <v>8.9999999999999993E-3</v>
      </c>
      <c r="AB5" s="4">
        <f t="shared" si="0"/>
        <v>-80.915149811213496</v>
      </c>
      <c r="AC5" s="4">
        <f t="shared" si="2"/>
        <v>80.915149811213496</v>
      </c>
      <c r="AD5" s="11">
        <f>20*LOG10(T5/SQRT(2)/AF5*1000000)</f>
        <v>104.03335040558744</v>
      </c>
      <c r="AE5" s="3">
        <v>24</v>
      </c>
      <c r="AF5" s="3">
        <v>16</v>
      </c>
      <c r="AG5" s="3">
        <v>80</v>
      </c>
    </row>
    <row r="6" spans="1:34" hidden="1" x14ac:dyDescent="0.25">
      <c r="A6">
        <v>2005</v>
      </c>
      <c r="B6" t="s">
        <v>58</v>
      </c>
      <c r="C6" t="s">
        <v>59</v>
      </c>
      <c r="D6" t="s">
        <v>42</v>
      </c>
      <c r="F6" s="3" t="s">
        <v>43</v>
      </c>
      <c r="G6" s="7" t="s">
        <v>60</v>
      </c>
      <c r="H6" s="4">
        <v>20.3</v>
      </c>
      <c r="I6" s="4" t="s">
        <v>35</v>
      </c>
      <c r="J6" s="3" t="s">
        <v>45</v>
      </c>
      <c r="K6" s="3" t="s">
        <v>61</v>
      </c>
      <c r="L6" s="3" t="s">
        <v>62</v>
      </c>
      <c r="M6" s="3">
        <v>450</v>
      </c>
      <c r="O6" s="3">
        <v>15</v>
      </c>
      <c r="P6" s="3">
        <v>1</v>
      </c>
      <c r="Q6" s="10">
        <f>1/2/3.14/SQRT(O6*P6)*1000</f>
        <v>41.114472889675334</v>
      </c>
      <c r="R6" s="3">
        <v>0</v>
      </c>
      <c r="S6" s="3">
        <v>12</v>
      </c>
      <c r="T6" s="3">
        <v>20</v>
      </c>
      <c r="U6" s="4">
        <v>12</v>
      </c>
      <c r="V6" s="4">
        <f>T6*U6</f>
        <v>240</v>
      </c>
      <c r="W6" s="3" t="s">
        <v>63</v>
      </c>
      <c r="X6" s="4">
        <v>40</v>
      </c>
      <c r="Y6" s="12">
        <f t="shared" si="1"/>
        <v>6.0000000000000001E-3</v>
      </c>
      <c r="Z6" s="3">
        <v>88</v>
      </c>
      <c r="AA6" s="8">
        <v>1.1999999999999999E-3</v>
      </c>
      <c r="AB6" s="4">
        <f t="shared" si="0"/>
        <v>-98.416375079047498</v>
      </c>
      <c r="AC6" s="4">
        <f t="shared" si="2"/>
        <v>98.416375079047498</v>
      </c>
      <c r="AD6" s="4">
        <v>106</v>
      </c>
      <c r="AE6" s="3">
        <v>50</v>
      </c>
      <c r="AG6" s="3">
        <v>65</v>
      </c>
    </row>
    <row r="7" spans="1:34" x14ac:dyDescent="0.25">
      <c r="A7">
        <v>2006</v>
      </c>
      <c r="B7" t="s">
        <v>64</v>
      </c>
      <c r="C7" t="s">
        <v>65</v>
      </c>
      <c r="D7" t="s">
        <v>48</v>
      </c>
      <c r="F7" s="3" t="s">
        <v>34</v>
      </c>
      <c r="H7" s="4">
        <f>4.8*4.8</f>
        <v>23.04</v>
      </c>
      <c r="I7" s="4" t="s">
        <v>66</v>
      </c>
      <c r="J7" s="3" t="s">
        <v>45</v>
      </c>
      <c r="K7" s="3" t="s">
        <v>37</v>
      </c>
      <c r="L7" s="3" t="s">
        <v>67</v>
      </c>
      <c r="M7" s="3">
        <v>768</v>
      </c>
      <c r="R7" s="3">
        <v>0</v>
      </c>
      <c r="S7" s="3">
        <v>35</v>
      </c>
      <c r="T7" s="3">
        <v>35</v>
      </c>
      <c r="X7" s="4">
        <v>130</v>
      </c>
      <c r="Y7" s="12"/>
      <c r="Z7" s="3">
        <v>81</v>
      </c>
      <c r="AA7" s="8">
        <v>1.8E-3</v>
      </c>
      <c r="AB7" s="4">
        <f t="shared" si="0"/>
        <v>-94.894549897933871</v>
      </c>
      <c r="AC7" s="4">
        <f t="shared" si="2"/>
        <v>94.894549897933871</v>
      </c>
      <c r="AD7" s="4">
        <v>113</v>
      </c>
    </row>
    <row r="8" spans="1:34" hidden="1" x14ac:dyDescent="0.25">
      <c r="A8">
        <v>2006</v>
      </c>
      <c r="B8" t="s">
        <v>68</v>
      </c>
      <c r="C8" t="s">
        <v>69</v>
      </c>
      <c r="D8" t="s">
        <v>48</v>
      </c>
      <c r="F8" s="3" t="s">
        <v>43</v>
      </c>
      <c r="G8" s="7" t="s">
        <v>70</v>
      </c>
      <c r="I8" s="4" t="s">
        <v>35</v>
      </c>
      <c r="J8" s="3" t="s">
        <v>50</v>
      </c>
      <c r="K8" s="3" t="s">
        <v>37</v>
      </c>
      <c r="L8" s="3" t="s">
        <v>51</v>
      </c>
      <c r="M8" s="3">
        <v>384</v>
      </c>
      <c r="O8" s="3">
        <v>10</v>
      </c>
      <c r="R8" s="3">
        <v>0</v>
      </c>
      <c r="S8" s="3">
        <v>50</v>
      </c>
      <c r="T8" s="3">
        <v>50</v>
      </c>
      <c r="U8" s="4">
        <v>42</v>
      </c>
      <c r="V8" s="4">
        <f>T8*U8</f>
        <v>2100</v>
      </c>
      <c r="W8" s="3" t="s">
        <v>39</v>
      </c>
      <c r="X8" s="4">
        <v>322</v>
      </c>
      <c r="Y8" s="12">
        <f t="shared" si="1"/>
        <v>6.5217391304347823E-3</v>
      </c>
      <c r="AA8" s="8">
        <v>7.0000000000000007E-2</v>
      </c>
      <c r="AB8" s="4">
        <f t="shared" si="0"/>
        <v>-63.098039199714862</v>
      </c>
      <c r="AC8" s="4">
        <f t="shared" si="2"/>
        <v>63.098039199714862</v>
      </c>
      <c r="AD8" s="4">
        <v>110</v>
      </c>
    </row>
    <row r="9" spans="1:34" hidden="1" x14ac:dyDescent="0.25">
      <c r="A9">
        <v>2006</v>
      </c>
      <c r="B9" t="s">
        <v>71</v>
      </c>
      <c r="C9" t="s">
        <v>72</v>
      </c>
      <c r="D9" t="s">
        <v>73</v>
      </c>
      <c r="F9" s="3" t="s">
        <v>34</v>
      </c>
      <c r="I9" s="4" t="s">
        <v>35</v>
      </c>
      <c r="J9" s="3" t="s">
        <v>36</v>
      </c>
      <c r="K9" s="3" t="s">
        <v>37</v>
      </c>
      <c r="L9" s="3" t="s">
        <v>51</v>
      </c>
      <c r="M9" s="3">
        <v>350</v>
      </c>
      <c r="R9" s="3">
        <v>0</v>
      </c>
      <c r="W9" s="3">
        <v>8</v>
      </c>
      <c r="X9" s="4">
        <v>400</v>
      </c>
      <c r="Y9" s="12"/>
      <c r="AA9" s="8">
        <v>3.0000000000000001E-3</v>
      </c>
      <c r="AB9" s="4">
        <f t="shared" si="0"/>
        <v>-90.457574905606748</v>
      </c>
      <c r="AC9" s="4">
        <f t="shared" si="2"/>
        <v>90.457574905606748</v>
      </c>
    </row>
    <row r="10" spans="1:34" hidden="1" x14ac:dyDescent="0.25">
      <c r="A10">
        <v>2009</v>
      </c>
      <c r="B10" t="s">
        <v>40</v>
      </c>
      <c r="C10" t="s">
        <v>74</v>
      </c>
      <c r="D10" t="s">
        <v>48</v>
      </c>
      <c r="F10" s="3" t="s">
        <v>43</v>
      </c>
      <c r="G10" s="7" t="s">
        <v>49</v>
      </c>
      <c r="I10" s="4" t="s">
        <v>35</v>
      </c>
      <c r="J10" s="3" t="s">
        <v>45</v>
      </c>
      <c r="K10" s="3" t="s">
        <v>37</v>
      </c>
      <c r="L10" s="3" t="s">
        <v>51</v>
      </c>
      <c r="R10" s="3">
        <v>0</v>
      </c>
      <c r="S10" s="3">
        <v>85</v>
      </c>
      <c r="T10" s="3">
        <v>85</v>
      </c>
      <c r="W10" s="3">
        <v>8</v>
      </c>
      <c r="X10" s="4">
        <v>460</v>
      </c>
      <c r="Y10" s="12"/>
      <c r="AA10" s="8">
        <v>1.4999999999999999E-2</v>
      </c>
      <c r="AB10" s="4">
        <f t="shared" si="0"/>
        <v>-76.478174818886373</v>
      </c>
      <c r="AC10" s="4">
        <f t="shared" si="2"/>
        <v>76.478174818886373</v>
      </c>
    </row>
    <row r="11" spans="1:34" hidden="1" x14ac:dyDescent="0.25">
      <c r="A11">
        <v>2009</v>
      </c>
      <c r="B11" t="s">
        <v>75</v>
      </c>
      <c r="C11" t="s">
        <v>76</v>
      </c>
      <c r="D11" t="s">
        <v>77</v>
      </c>
      <c r="F11" s="3" t="s">
        <v>43</v>
      </c>
      <c r="G11" s="7" t="s">
        <v>55</v>
      </c>
      <c r="H11" s="4">
        <v>2.25</v>
      </c>
      <c r="I11" s="4" t="s">
        <v>35</v>
      </c>
      <c r="J11" s="3" t="s">
        <v>45</v>
      </c>
      <c r="K11" s="3" t="s">
        <v>61</v>
      </c>
      <c r="L11" s="3" t="s">
        <v>62</v>
      </c>
      <c r="M11" s="3">
        <v>300</v>
      </c>
      <c r="N11" s="3" t="s">
        <v>43</v>
      </c>
      <c r="R11" s="3">
        <v>0</v>
      </c>
      <c r="S11" s="3">
        <v>3.6</v>
      </c>
      <c r="T11" s="3">
        <v>5</v>
      </c>
      <c r="U11" s="4">
        <v>3.2</v>
      </c>
      <c r="V11" s="4">
        <f>T11*U11</f>
        <v>16</v>
      </c>
      <c r="W11" s="3">
        <v>8</v>
      </c>
      <c r="X11" s="4">
        <v>2</v>
      </c>
      <c r="Y11" s="12">
        <f t="shared" si="1"/>
        <v>8.0000000000000002E-3</v>
      </c>
      <c r="Z11" s="3">
        <v>93</v>
      </c>
      <c r="AA11" s="8">
        <v>3.0000000000000001E-3</v>
      </c>
      <c r="AB11" s="4">
        <f t="shared" si="0"/>
        <v>-90.457574905606748</v>
      </c>
      <c r="AC11" s="4">
        <f t="shared" si="2"/>
        <v>90.457574905606748</v>
      </c>
      <c r="AD11" s="4">
        <v>103</v>
      </c>
      <c r="AF11" s="3">
        <v>21</v>
      </c>
      <c r="AG11" s="3">
        <v>60</v>
      </c>
    </row>
    <row r="12" spans="1:34" hidden="1" x14ac:dyDescent="0.25">
      <c r="A12">
        <v>2009</v>
      </c>
      <c r="B12" t="s">
        <v>78</v>
      </c>
      <c r="C12" t="s">
        <v>79</v>
      </c>
      <c r="D12" t="s">
        <v>42</v>
      </c>
      <c r="F12" s="3" t="s">
        <v>43</v>
      </c>
      <c r="G12" s="7" t="s">
        <v>80</v>
      </c>
      <c r="H12" s="4">
        <v>1.49</v>
      </c>
      <c r="I12" s="4" t="s">
        <v>35</v>
      </c>
      <c r="J12" s="3" t="s">
        <v>36</v>
      </c>
      <c r="K12" s="3" t="s">
        <v>61</v>
      </c>
      <c r="L12" s="3" t="s">
        <v>51</v>
      </c>
      <c r="M12" s="3">
        <v>500</v>
      </c>
      <c r="O12" s="3">
        <v>45</v>
      </c>
      <c r="P12" s="3">
        <v>1.4</v>
      </c>
      <c r="Q12" s="10">
        <f t="shared" ref="Q12:Q51" si="3">1/2/3.14/SQRT(O12*P12)*1000</f>
        <v>20.061808546137328</v>
      </c>
      <c r="S12" s="3">
        <v>2.7</v>
      </c>
      <c r="T12" s="3">
        <v>2.7</v>
      </c>
      <c r="U12" s="4">
        <v>0.21</v>
      </c>
      <c r="V12" s="4">
        <f>T12*U12</f>
        <v>0.56700000000000006</v>
      </c>
      <c r="W12" s="3">
        <v>8</v>
      </c>
      <c r="X12" s="4">
        <v>0.25</v>
      </c>
      <c r="Y12" s="12">
        <f t="shared" si="1"/>
        <v>2.2680000000000001E-3</v>
      </c>
      <c r="Z12" s="3">
        <v>90</v>
      </c>
      <c r="AA12" s="8">
        <v>0.02</v>
      </c>
      <c r="AB12" s="4">
        <f t="shared" si="0"/>
        <v>-73.979400086720375</v>
      </c>
      <c r="AC12" s="4">
        <f t="shared" si="2"/>
        <v>73.979400086720375</v>
      </c>
      <c r="AD12" s="4">
        <v>94</v>
      </c>
      <c r="AG12" s="3">
        <v>81</v>
      </c>
      <c r="AH12" s="3">
        <v>66</v>
      </c>
    </row>
    <row r="13" spans="1:34" hidden="1" x14ac:dyDescent="0.25">
      <c r="A13">
        <v>2009</v>
      </c>
      <c r="B13" t="s">
        <v>81</v>
      </c>
      <c r="C13" t="s">
        <v>82</v>
      </c>
      <c r="D13" t="s">
        <v>42</v>
      </c>
      <c r="F13" s="3" t="s">
        <v>43</v>
      </c>
      <c r="G13" s="7" t="s">
        <v>83</v>
      </c>
      <c r="H13" s="4">
        <v>1.8</v>
      </c>
      <c r="I13" s="4" t="s">
        <v>35</v>
      </c>
      <c r="J13" s="3" t="s">
        <v>45</v>
      </c>
      <c r="K13" s="3" t="s">
        <v>37</v>
      </c>
      <c r="L13" s="3" t="s">
        <v>84</v>
      </c>
      <c r="M13" s="3">
        <v>500</v>
      </c>
      <c r="N13" s="3" t="s">
        <v>43</v>
      </c>
      <c r="R13" s="3">
        <v>0</v>
      </c>
      <c r="S13" s="3">
        <v>12</v>
      </c>
      <c r="T13" s="3">
        <v>24</v>
      </c>
      <c r="X13" s="4">
        <v>20</v>
      </c>
      <c r="Y13" s="12"/>
      <c r="Z13" s="3">
        <v>90</v>
      </c>
      <c r="AA13" s="8">
        <v>0.19</v>
      </c>
      <c r="AB13" s="4">
        <f t="shared" si="0"/>
        <v>-54.424927980943423</v>
      </c>
      <c r="AC13" s="4">
        <f t="shared" si="2"/>
        <v>54.424927980943423</v>
      </c>
    </row>
    <row r="14" spans="1:34" x14ac:dyDescent="0.25">
      <c r="A14">
        <v>2010</v>
      </c>
      <c r="B14" t="s">
        <v>40</v>
      </c>
      <c r="C14" t="s">
        <v>85</v>
      </c>
      <c r="D14" t="s">
        <v>86</v>
      </c>
      <c r="F14" s="3" t="s">
        <v>43</v>
      </c>
      <c r="G14" s="7" t="s">
        <v>87</v>
      </c>
      <c r="H14" s="4">
        <v>4</v>
      </c>
      <c r="I14" s="4" t="s">
        <v>66</v>
      </c>
      <c r="J14" s="3" t="s">
        <v>45</v>
      </c>
      <c r="K14" s="3" t="s">
        <v>37</v>
      </c>
      <c r="L14" s="3" t="s">
        <v>38</v>
      </c>
      <c r="M14" s="3">
        <v>350</v>
      </c>
      <c r="N14" s="3" t="s">
        <v>43</v>
      </c>
      <c r="R14" s="3">
        <v>0</v>
      </c>
      <c r="S14" s="3">
        <v>3.7</v>
      </c>
      <c r="T14" s="3">
        <v>5</v>
      </c>
      <c r="W14" s="3">
        <v>8</v>
      </c>
      <c r="X14" s="4">
        <v>1</v>
      </c>
      <c r="Y14" s="12"/>
      <c r="Z14" s="3">
        <v>92</v>
      </c>
      <c r="AA14" s="8">
        <v>0.01</v>
      </c>
      <c r="AB14" s="4">
        <f t="shared" si="0"/>
        <v>-80</v>
      </c>
      <c r="AC14" s="4">
        <f t="shared" si="2"/>
        <v>80</v>
      </c>
      <c r="AD14" s="4">
        <v>92</v>
      </c>
      <c r="AG14" s="3">
        <v>80</v>
      </c>
      <c r="AH14" s="3">
        <v>60</v>
      </c>
    </row>
    <row r="15" spans="1:34" hidden="1" x14ac:dyDescent="0.25">
      <c r="A15">
        <v>2010</v>
      </c>
      <c r="B15" t="s">
        <v>88</v>
      </c>
      <c r="C15" t="s">
        <v>89</v>
      </c>
      <c r="D15" t="s">
        <v>90</v>
      </c>
      <c r="F15" s="3" t="s">
        <v>43</v>
      </c>
      <c r="G15" s="7" t="s">
        <v>91</v>
      </c>
      <c r="H15" s="4">
        <v>2.25</v>
      </c>
      <c r="I15" s="4" t="s">
        <v>35</v>
      </c>
      <c r="J15" s="3" t="s">
        <v>45</v>
      </c>
      <c r="K15" s="3" t="s">
        <v>37</v>
      </c>
      <c r="L15" s="3" t="s">
        <v>38</v>
      </c>
      <c r="M15" s="3">
        <v>280</v>
      </c>
      <c r="N15" s="3" t="s">
        <v>43</v>
      </c>
      <c r="R15" s="3">
        <v>0</v>
      </c>
      <c r="S15" s="3">
        <v>2.2999999999999998</v>
      </c>
      <c r="T15" s="3">
        <v>3.6</v>
      </c>
      <c r="U15" s="4">
        <v>2.0499999999999998</v>
      </c>
      <c r="V15" s="4">
        <f t="shared" ref="V15:V20" si="4">T15*U15</f>
        <v>7.38</v>
      </c>
      <c r="Y15" s="12"/>
      <c r="AG15" s="3">
        <v>86</v>
      </c>
      <c r="AH15" s="3">
        <v>56</v>
      </c>
    </row>
    <row r="16" spans="1:34" x14ac:dyDescent="0.25">
      <c r="A16">
        <v>2010</v>
      </c>
      <c r="B16" t="s">
        <v>92</v>
      </c>
      <c r="C16" t="s">
        <v>93</v>
      </c>
      <c r="D16" t="s">
        <v>42</v>
      </c>
      <c r="F16" s="3" t="s">
        <v>43</v>
      </c>
      <c r="G16" s="7" t="s">
        <v>94</v>
      </c>
      <c r="H16" s="4">
        <v>0.76</v>
      </c>
      <c r="I16" s="4" t="s">
        <v>66</v>
      </c>
      <c r="J16" s="3" t="s">
        <v>50</v>
      </c>
      <c r="K16" s="3" t="s">
        <v>37</v>
      </c>
      <c r="L16" s="3" t="s">
        <v>67</v>
      </c>
      <c r="M16" s="3">
        <v>667</v>
      </c>
      <c r="N16" s="3" t="s">
        <v>43</v>
      </c>
      <c r="R16" s="3">
        <v>0</v>
      </c>
      <c r="S16" s="3">
        <v>3</v>
      </c>
      <c r="T16" s="3">
        <v>3</v>
      </c>
      <c r="U16" s="4">
        <v>2</v>
      </c>
      <c r="V16" s="4">
        <f t="shared" si="4"/>
        <v>6</v>
      </c>
      <c r="W16" s="3">
        <v>8</v>
      </c>
      <c r="X16" s="4">
        <v>0.4</v>
      </c>
      <c r="Y16" s="12">
        <f t="shared" si="1"/>
        <v>1.4999999999999999E-2</v>
      </c>
      <c r="Z16" s="3">
        <v>88</v>
      </c>
      <c r="AA16" s="8">
        <f>10^(AB16/20)*100</f>
        <v>1.9952623149688768E-3</v>
      </c>
      <c r="AB16" s="4">
        <v>-94</v>
      </c>
      <c r="AC16" s="4">
        <f t="shared" si="2"/>
        <v>94</v>
      </c>
      <c r="AD16" s="4">
        <v>120</v>
      </c>
      <c r="AE16" s="3">
        <v>1.7</v>
      </c>
    </row>
    <row r="17" spans="1:34" hidden="1" x14ac:dyDescent="0.25">
      <c r="A17">
        <v>2011</v>
      </c>
      <c r="B17" t="s">
        <v>95</v>
      </c>
      <c r="C17" t="s">
        <v>96</v>
      </c>
      <c r="D17" t="s">
        <v>42</v>
      </c>
      <c r="F17" s="3" t="s">
        <v>43</v>
      </c>
      <c r="G17" s="7" t="s">
        <v>91</v>
      </c>
      <c r="H17" s="4">
        <v>1.44</v>
      </c>
      <c r="I17" s="4" t="s">
        <v>35</v>
      </c>
      <c r="J17" s="3" t="s">
        <v>45</v>
      </c>
      <c r="K17" s="3" t="s">
        <v>37</v>
      </c>
      <c r="L17" s="3" t="s">
        <v>38</v>
      </c>
      <c r="M17" s="3">
        <v>1000</v>
      </c>
      <c r="N17" s="3" t="s">
        <v>43</v>
      </c>
      <c r="R17" s="3">
        <v>0</v>
      </c>
      <c r="S17" s="3">
        <v>2.5</v>
      </c>
      <c r="T17" s="3">
        <v>5.5</v>
      </c>
      <c r="U17" s="4">
        <v>4</v>
      </c>
      <c r="V17" s="4">
        <f t="shared" si="4"/>
        <v>22</v>
      </c>
      <c r="W17" s="3">
        <v>4</v>
      </c>
      <c r="X17" s="4">
        <v>3.6</v>
      </c>
      <c r="Y17" s="12">
        <f t="shared" si="1"/>
        <v>6.1111111111111106E-3</v>
      </c>
      <c r="Z17" s="3">
        <v>93</v>
      </c>
      <c r="AA17" s="8">
        <v>1.2199999999999999E-3</v>
      </c>
      <c r="AB17" s="4">
        <f t="shared" ref="AB17:AB38" si="5">20*LOG10(AA17/100)</f>
        <v>-98.272803386505032</v>
      </c>
      <c r="AC17" s="4">
        <f t="shared" si="2"/>
        <v>98.272803386505032</v>
      </c>
      <c r="AD17" s="4">
        <v>103</v>
      </c>
      <c r="AG17" s="3">
        <v>96</v>
      </c>
      <c r="AH17" s="3">
        <v>76</v>
      </c>
    </row>
    <row r="18" spans="1:34" hidden="1" x14ac:dyDescent="0.25">
      <c r="A18">
        <v>2011</v>
      </c>
      <c r="B18" t="s">
        <v>97</v>
      </c>
      <c r="C18" t="s">
        <v>98</v>
      </c>
      <c r="D18" t="s">
        <v>42</v>
      </c>
      <c r="F18" s="3" t="s">
        <v>43</v>
      </c>
      <c r="G18" s="7" t="s">
        <v>80</v>
      </c>
      <c r="H18" s="4">
        <v>1.65</v>
      </c>
      <c r="I18" s="4" t="s">
        <v>35</v>
      </c>
      <c r="J18" s="3" t="s">
        <v>36</v>
      </c>
      <c r="K18" s="3" t="s">
        <v>56</v>
      </c>
      <c r="L18" s="3" t="s">
        <v>67</v>
      </c>
      <c r="M18" s="3">
        <v>380</v>
      </c>
      <c r="N18" s="3" t="s">
        <v>34</v>
      </c>
      <c r="S18" s="3">
        <v>2.7</v>
      </c>
      <c r="T18" s="3">
        <v>2.7</v>
      </c>
      <c r="U18" s="4">
        <v>0.55000000000000004</v>
      </c>
      <c r="V18" s="4">
        <f t="shared" si="4"/>
        <v>1.4850000000000003</v>
      </c>
      <c r="W18" s="3">
        <v>8</v>
      </c>
      <c r="X18" s="4">
        <v>0.41</v>
      </c>
      <c r="Y18" s="12">
        <f t="shared" si="1"/>
        <v>3.6219512195121962E-3</v>
      </c>
      <c r="Z18" s="3">
        <v>84</v>
      </c>
      <c r="AA18" s="8">
        <v>0.02</v>
      </c>
      <c r="AB18" s="4">
        <f t="shared" si="5"/>
        <v>-73.979400086720375</v>
      </c>
      <c r="AC18" s="4">
        <f t="shared" si="2"/>
        <v>73.979400086720375</v>
      </c>
      <c r="AD18" s="4">
        <v>100</v>
      </c>
      <c r="AG18" s="3">
        <v>82</v>
      </c>
      <c r="AH18" s="3">
        <v>77</v>
      </c>
    </row>
    <row r="19" spans="1:34" hidden="1" x14ac:dyDescent="0.25">
      <c r="A19">
        <v>2012</v>
      </c>
      <c r="B19" t="s">
        <v>99</v>
      </c>
      <c r="C19" t="s">
        <v>100</v>
      </c>
      <c r="D19" t="s">
        <v>42</v>
      </c>
      <c r="F19" s="3" t="s">
        <v>43</v>
      </c>
      <c r="G19" s="7" t="s">
        <v>101</v>
      </c>
      <c r="H19" s="4">
        <v>0.5</v>
      </c>
      <c r="I19" s="4" t="s">
        <v>35</v>
      </c>
      <c r="J19" s="3" t="s">
        <v>45</v>
      </c>
      <c r="K19" s="3" t="s">
        <v>37</v>
      </c>
      <c r="L19" s="3" t="s">
        <v>38</v>
      </c>
      <c r="M19" s="3">
        <v>288</v>
      </c>
      <c r="N19" s="3" t="s">
        <v>43</v>
      </c>
      <c r="R19" s="3">
        <v>0</v>
      </c>
      <c r="S19" s="3">
        <v>3.7</v>
      </c>
      <c r="T19" s="3">
        <v>3.7</v>
      </c>
      <c r="U19" s="4">
        <v>1.9</v>
      </c>
      <c r="V19" s="4">
        <f t="shared" si="4"/>
        <v>7.03</v>
      </c>
      <c r="W19" s="3">
        <v>8</v>
      </c>
      <c r="X19" s="4">
        <v>0.70499999999999996</v>
      </c>
      <c r="Y19" s="12">
        <f t="shared" si="1"/>
        <v>9.9716312056737592E-3</v>
      </c>
      <c r="Z19" s="3">
        <v>90</v>
      </c>
      <c r="AA19" s="8">
        <v>1.6E-2</v>
      </c>
      <c r="AB19" s="4">
        <f t="shared" si="5"/>
        <v>-75.9176003468815</v>
      </c>
      <c r="AC19" s="4">
        <f t="shared" si="2"/>
        <v>75.9176003468815</v>
      </c>
      <c r="AD19" s="4">
        <v>101</v>
      </c>
      <c r="AG19" s="3">
        <v>94</v>
      </c>
      <c r="AH19" s="3">
        <v>81</v>
      </c>
    </row>
    <row r="20" spans="1:34" hidden="1" x14ac:dyDescent="0.25">
      <c r="A20">
        <v>2012</v>
      </c>
      <c r="B20" t="s">
        <v>102</v>
      </c>
      <c r="C20" t="s">
        <v>103</v>
      </c>
      <c r="D20" t="s">
        <v>42</v>
      </c>
      <c r="F20" s="3" t="s">
        <v>43</v>
      </c>
      <c r="G20" s="7" t="s">
        <v>104</v>
      </c>
      <c r="H20" s="4">
        <v>1.01</v>
      </c>
      <c r="I20" s="4" t="s">
        <v>35</v>
      </c>
      <c r="J20" s="3" t="s">
        <v>45</v>
      </c>
      <c r="K20" s="3" t="s">
        <v>37</v>
      </c>
      <c r="L20" s="3" t="s">
        <v>38</v>
      </c>
      <c r="M20" s="3">
        <v>320</v>
      </c>
      <c r="N20" s="3" t="s">
        <v>43</v>
      </c>
      <c r="R20" s="3">
        <v>0</v>
      </c>
      <c r="S20" s="3">
        <v>2.7</v>
      </c>
      <c r="T20" s="3">
        <v>4.9000000000000004</v>
      </c>
      <c r="U20" s="4">
        <v>3.02</v>
      </c>
      <c r="V20" s="4">
        <f t="shared" si="4"/>
        <v>14.798000000000002</v>
      </c>
      <c r="W20" s="3">
        <v>8</v>
      </c>
      <c r="X20" s="4">
        <v>1.1499999999999999</v>
      </c>
      <c r="Y20" s="12">
        <f t="shared" si="1"/>
        <v>1.2867826086956524E-2</v>
      </c>
      <c r="Z20" s="3">
        <v>85.5</v>
      </c>
      <c r="AA20" s="8">
        <v>1.7999999999999999E-2</v>
      </c>
      <c r="AB20" s="4">
        <f t="shared" si="5"/>
        <v>-74.894549897933885</v>
      </c>
      <c r="AC20" s="4">
        <f t="shared" si="2"/>
        <v>74.894549897933885</v>
      </c>
      <c r="AD20" s="4">
        <v>92</v>
      </c>
      <c r="AG20" s="3">
        <v>88</v>
      </c>
      <c r="AH20" s="3">
        <v>58</v>
      </c>
    </row>
    <row r="21" spans="1:34" x14ac:dyDescent="0.25">
      <c r="A21">
        <v>2012</v>
      </c>
      <c r="B21" t="s">
        <v>105</v>
      </c>
      <c r="C21" t="s">
        <v>106</v>
      </c>
      <c r="D21" t="s">
        <v>42</v>
      </c>
      <c r="F21" s="3" t="s">
        <v>43</v>
      </c>
      <c r="G21" s="7" t="s">
        <v>87</v>
      </c>
      <c r="H21" s="4">
        <f>1.24*1.28</f>
        <v>1.5871999999999999</v>
      </c>
      <c r="I21" s="4" t="s">
        <v>66</v>
      </c>
      <c r="J21" s="3" t="s">
        <v>45</v>
      </c>
      <c r="K21" s="3" t="s">
        <v>37</v>
      </c>
      <c r="L21" s="3" t="s">
        <v>38</v>
      </c>
      <c r="M21" s="3">
        <v>384</v>
      </c>
      <c r="N21" s="3" t="s">
        <v>43</v>
      </c>
      <c r="R21" s="3">
        <v>0</v>
      </c>
      <c r="S21" s="3">
        <v>2.5</v>
      </c>
      <c r="T21" s="3">
        <v>5.5</v>
      </c>
      <c r="U21" s="4">
        <f>V21/3.7</f>
        <v>2.0540540540540539</v>
      </c>
      <c r="V21" s="4">
        <v>7.6</v>
      </c>
      <c r="W21" s="3">
        <v>4</v>
      </c>
      <c r="X21" s="4">
        <v>3.4</v>
      </c>
      <c r="Y21" s="12">
        <f t="shared" si="1"/>
        <v>2.2352941176470588E-3</v>
      </c>
      <c r="Z21" s="3">
        <v>90</v>
      </c>
      <c r="AA21" s="8">
        <v>1.4999999999999999E-2</v>
      </c>
      <c r="AB21" s="4">
        <f t="shared" si="5"/>
        <v>-76.478174818886373</v>
      </c>
      <c r="AC21" s="4">
        <f t="shared" si="2"/>
        <v>76.478174818886373</v>
      </c>
      <c r="AD21" s="4">
        <v>103</v>
      </c>
      <c r="AG21" s="3">
        <v>85</v>
      </c>
    </row>
    <row r="22" spans="1:34" hidden="1" x14ac:dyDescent="0.25">
      <c r="A22">
        <v>2012</v>
      </c>
      <c r="B22" t="s">
        <v>107</v>
      </c>
      <c r="C22" t="s">
        <v>108</v>
      </c>
      <c r="D22" t="s">
        <v>48</v>
      </c>
      <c r="F22" s="3" t="s">
        <v>43</v>
      </c>
      <c r="G22" s="7" t="s">
        <v>104</v>
      </c>
      <c r="H22" s="4">
        <v>1.1399999999999999</v>
      </c>
      <c r="I22" s="4" t="s">
        <v>35</v>
      </c>
      <c r="J22" s="3" t="s">
        <v>45</v>
      </c>
      <c r="K22" s="3" t="s">
        <v>37</v>
      </c>
      <c r="L22" s="3" t="s">
        <v>38</v>
      </c>
      <c r="M22" s="3">
        <v>420</v>
      </c>
      <c r="N22" s="3" t="s">
        <v>43</v>
      </c>
      <c r="R22" s="3">
        <v>0</v>
      </c>
      <c r="S22" s="3">
        <v>2.7</v>
      </c>
      <c r="T22" s="3">
        <v>5.2</v>
      </c>
      <c r="U22" s="4">
        <v>2</v>
      </c>
      <c r="V22" s="4">
        <f>T22*U22</f>
        <v>10.4</v>
      </c>
      <c r="W22" s="3">
        <v>8</v>
      </c>
      <c r="X22" s="4">
        <v>0.72499999999999998</v>
      </c>
      <c r="Y22" s="12">
        <f t="shared" si="1"/>
        <v>1.4344827586206896E-2</v>
      </c>
      <c r="Z22" s="3">
        <v>90.9</v>
      </c>
      <c r="AA22" s="8">
        <v>2.8000000000000001E-2</v>
      </c>
      <c r="AB22" s="4">
        <f t="shared" si="5"/>
        <v>-71.056839373155611</v>
      </c>
      <c r="AC22" s="4">
        <f t="shared" si="2"/>
        <v>71.056839373155611</v>
      </c>
      <c r="AD22" s="4">
        <v>97.5</v>
      </c>
      <c r="AG22" s="3">
        <v>72.2</v>
      </c>
    </row>
    <row r="23" spans="1:34" x14ac:dyDescent="0.25">
      <c r="A23">
        <v>2012</v>
      </c>
      <c r="B23" t="s">
        <v>109</v>
      </c>
      <c r="C23" t="s">
        <v>110</v>
      </c>
      <c r="D23" t="s">
        <v>42</v>
      </c>
      <c r="E23" t="s">
        <v>111</v>
      </c>
      <c r="F23" s="3" t="s">
        <v>43</v>
      </c>
      <c r="G23" s="7" t="s">
        <v>55</v>
      </c>
      <c r="H23" s="4">
        <f>48.9/6</f>
        <v>8.15</v>
      </c>
      <c r="I23" s="4" t="s">
        <v>66</v>
      </c>
      <c r="J23" s="3" t="s">
        <v>50</v>
      </c>
      <c r="K23" s="3" t="s">
        <v>37</v>
      </c>
      <c r="L23" s="3" t="s">
        <v>67</v>
      </c>
      <c r="M23" s="3">
        <v>384</v>
      </c>
      <c r="N23" s="3" t="s">
        <v>34</v>
      </c>
      <c r="O23" s="3">
        <v>22</v>
      </c>
      <c r="P23" s="3">
        <v>0.47</v>
      </c>
      <c r="Q23" s="10">
        <f t="shared" si="3"/>
        <v>49.519937386235895</v>
      </c>
      <c r="R23" s="3">
        <v>0</v>
      </c>
      <c r="S23" s="3">
        <v>18</v>
      </c>
      <c r="T23" s="3">
        <v>18</v>
      </c>
      <c r="W23" s="3" t="s">
        <v>112</v>
      </c>
      <c r="X23" s="4">
        <v>35</v>
      </c>
      <c r="Y23" s="12"/>
      <c r="Z23" s="3">
        <v>88</v>
      </c>
      <c r="AA23" s="8">
        <v>7.0000000000000007E-2</v>
      </c>
      <c r="AB23" s="4">
        <f t="shared" si="5"/>
        <v>-63.098039199714862</v>
      </c>
      <c r="AC23" s="4">
        <f t="shared" si="2"/>
        <v>63.098039199714862</v>
      </c>
      <c r="AD23" s="4">
        <v>84</v>
      </c>
    </row>
    <row r="24" spans="1:34" x14ac:dyDescent="0.25">
      <c r="A24">
        <v>2013</v>
      </c>
      <c r="B24" t="s">
        <v>113</v>
      </c>
      <c r="C24" t="s">
        <v>114</v>
      </c>
      <c r="D24" t="s">
        <v>42</v>
      </c>
      <c r="F24" s="3" t="s">
        <v>43</v>
      </c>
      <c r="G24" s="7" t="s">
        <v>115</v>
      </c>
      <c r="H24" s="4">
        <v>2.06</v>
      </c>
      <c r="I24" s="4" t="s">
        <v>66</v>
      </c>
      <c r="J24" s="3" t="s">
        <v>45</v>
      </c>
      <c r="K24" s="3" t="s">
        <v>37</v>
      </c>
      <c r="L24" s="3" t="s">
        <v>51</v>
      </c>
      <c r="M24" s="3">
        <v>960</v>
      </c>
      <c r="N24" s="3" t="s">
        <v>34</v>
      </c>
      <c r="R24" s="3">
        <v>0</v>
      </c>
      <c r="S24" s="3">
        <v>2.7</v>
      </c>
      <c r="T24" s="3">
        <v>6.6</v>
      </c>
      <c r="W24" s="3" t="s">
        <v>112</v>
      </c>
      <c r="X24" s="4">
        <v>3.5</v>
      </c>
      <c r="Y24" s="12"/>
      <c r="Z24" s="3">
        <v>85</v>
      </c>
      <c r="AA24" s="8">
        <v>0.05</v>
      </c>
      <c r="AB24" s="4">
        <f t="shared" si="5"/>
        <v>-66.020599913279625</v>
      </c>
      <c r="AC24" s="4">
        <f t="shared" si="2"/>
        <v>66.020599913279625</v>
      </c>
      <c r="AD24" s="4">
        <v>95</v>
      </c>
    </row>
    <row r="25" spans="1:34" x14ac:dyDescent="0.25">
      <c r="A25">
        <v>2014</v>
      </c>
      <c r="B25" t="s">
        <v>116</v>
      </c>
      <c r="C25" t="s">
        <v>117</v>
      </c>
      <c r="D25" t="s">
        <v>54</v>
      </c>
      <c r="E25" t="s">
        <v>118</v>
      </c>
      <c r="F25" s="3" t="s">
        <v>43</v>
      </c>
      <c r="G25" s="7" t="s">
        <v>119</v>
      </c>
      <c r="H25" s="4">
        <f>3.74/2</f>
        <v>1.87</v>
      </c>
      <c r="I25" s="4" t="s">
        <v>66</v>
      </c>
      <c r="J25" s="3" t="s">
        <v>50</v>
      </c>
      <c r="K25" s="3" t="s">
        <v>37</v>
      </c>
      <c r="L25" s="3" t="s">
        <v>51</v>
      </c>
      <c r="M25" s="3">
        <v>384</v>
      </c>
      <c r="N25" s="3" t="s">
        <v>43</v>
      </c>
      <c r="R25" s="3">
        <v>0</v>
      </c>
      <c r="S25" s="3">
        <v>24</v>
      </c>
      <c r="T25" s="3">
        <v>24</v>
      </c>
      <c r="W25" s="3">
        <v>8</v>
      </c>
      <c r="X25" s="4">
        <v>30</v>
      </c>
      <c r="Y25" s="12"/>
      <c r="Z25" s="3">
        <v>90</v>
      </c>
      <c r="AA25" s="8">
        <v>0.06</v>
      </c>
      <c r="AB25" s="4">
        <f t="shared" si="5"/>
        <v>-64.436974992327137</v>
      </c>
      <c r="AC25" s="4">
        <f t="shared" si="2"/>
        <v>64.436974992327137</v>
      </c>
    </row>
    <row r="26" spans="1:34" hidden="1" x14ac:dyDescent="0.25">
      <c r="A26">
        <v>2014</v>
      </c>
      <c r="B26" t="s">
        <v>120</v>
      </c>
      <c r="C26" t="s">
        <v>121</v>
      </c>
      <c r="D26" t="s">
        <v>42</v>
      </c>
      <c r="F26" s="3" t="s">
        <v>43</v>
      </c>
      <c r="G26" s="7" t="s">
        <v>104</v>
      </c>
      <c r="H26" s="4">
        <v>0.121</v>
      </c>
      <c r="I26" s="4" t="s">
        <v>35</v>
      </c>
      <c r="J26" s="3" t="s">
        <v>45</v>
      </c>
      <c r="K26" s="3" t="s">
        <v>37</v>
      </c>
      <c r="L26" s="3" t="s">
        <v>46</v>
      </c>
      <c r="M26" s="3">
        <v>500</v>
      </c>
      <c r="N26" s="3" t="s">
        <v>34</v>
      </c>
      <c r="O26" s="3">
        <v>50</v>
      </c>
      <c r="P26" s="3">
        <v>1</v>
      </c>
      <c r="Q26" s="10">
        <f t="shared" si="3"/>
        <v>22.519324241609791</v>
      </c>
      <c r="R26" s="3">
        <v>0</v>
      </c>
      <c r="S26" s="3">
        <v>1.8</v>
      </c>
      <c r="T26" s="3">
        <v>1.8</v>
      </c>
      <c r="U26" s="4">
        <v>0.19700000000000001</v>
      </c>
      <c r="V26" s="4">
        <f>T26*U26</f>
        <v>0.35460000000000003</v>
      </c>
      <c r="W26" s="3">
        <v>8</v>
      </c>
      <c r="X26" s="4">
        <v>0.25</v>
      </c>
      <c r="Y26" s="12">
        <f t="shared" si="1"/>
        <v>1.4184E-3</v>
      </c>
      <c r="Z26" s="3">
        <v>94.6</v>
      </c>
      <c r="AA26" s="8">
        <v>1.49E-2</v>
      </c>
      <c r="AB26" s="4">
        <f t="shared" si="5"/>
        <v>-76.536274631754523</v>
      </c>
      <c r="AC26" s="4">
        <f t="shared" si="2"/>
        <v>76.536274631754523</v>
      </c>
      <c r="AG26" s="3">
        <v>83</v>
      </c>
      <c r="AH26" s="3">
        <v>47</v>
      </c>
    </row>
    <row r="27" spans="1:34" hidden="1" x14ac:dyDescent="0.25">
      <c r="A27">
        <v>2014</v>
      </c>
      <c r="B27" t="s">
        <v>122</v>
      </c>
      <c r="C27" t="s">
        <v>123</v>
      </c>
      <c r="D27" t="s">
        <v>42</v>
      </c>
      <c r="F27" s="3" t="s">
        <v>43</v>
      </c>
      <c r="G27" s="7" t="s">
        <v>94</v>
      </c>
      <c r="H27" s="4">
        <v>0.6</v>
      </c>
      <c r="I27" s="4" t="s">
        <v>35</v>
      </c>
      <c r="J27" s="3" t="s">
        <v>45</v>
      </c>
      <c r="K27" s="3" t="s">
        <v>37</v>
      </c>
      <c r="L27" s="3" t="s">
        <v>38</v>
      </c>
      <c r="M27" s="3">
        <v>370</v>
      </c>
      <c r="N27" s="3" t="s">
        <v>43</v>
      </c>
      <c r="R27" s="3">
        <v>0</v>
      </c>
      <c r="S27" s="3">
        <v>1.2</v>
      </c>
      <c r="T27" s="3">
        <v>3.6</v>
      </c>
      <c r="U27" s="4">
        <v>3.1</v>
      </c>
      <c r="V27" s="4">
        <f>T27*U27</f>
        <v>11.16</v>
      </c>
      <c r="W27" s="3">
        <v>8</v>
      </c>
      <c r="X27" s="4">
        <v>0.85</v>
      </c>
      <c r="Y27" s="12">
        <f t="shared" si="1"/>
        <v>1.3129411764705884E-2</v>
      </c>
      <c r="Z27" s="3">
        <v>94</v>
      </c>
      <c r="AA27" s="8">
        <v>2.7000000000000001E-3</v>
      </c>
      <c r="AB27" s="4">
        <f t="shared" si="5"/>
        <v>-91.372724716820258</v>
      </c>
      <c r="AC27" s="4">
        <f t="shared" si="2"/>
        <v>91.372724716820258</v>
      </c>
      <c r="AD27" s="4">
        <v>97</v>
      </c>
      <c r="AG27" s="3">
        <v>101</v>
      </c>
      <c r="AH27" s="3">
        <v>66</v>
      </c>
    </row>
    <row r="28" spans="1:34" hidden="1" x14ac:dyDescent="0.25">
      <c r="A28">
        <v>2015</v>
      </c>
      <c r="B28" t="s">
        <v>124</v>
      </c>
      <c r="C28" t="s">
        <v>125</v>
      </c>
      <c r="D28" t="s">
        <v>42</v>
      </c>
      <c r="F28" s="3" t="s">
        <v>43</v>
      </c>
      <c r="G28" s="7" t="s">
        <v>126</v>
      </c>
      <c r="H28" s="4">
        <v>1.17</v>
      </c>
      <c r="I28" s="4" t="s">
        <v>35</v>
      </c>
      <c r="J28" s="3" t="s">
        <v>45</v>
      </c>
      <c r="K28" s="3" t="s">
        <v>37</v>
      </c>
      <c r="L28" s="3" t="s">
        <v>38</v>
      </c>
      <c r="M28" s="3">
        <v>2133</v>
      </c>
      <c r="N28" s="3" t="s">
        <v>43</v>
      </c>
      <c r="R28" s="3">
        <v>0</v>
      </c>
      <c r="S28" s="3">
        <v>2.5</v>
      </c>
      <c r="T28" s="3">
        <v>5.5</v>
      </c>
      <c r="U28" s="4">
        <v>2.8</v>
      </c>
      <c r="V28" s="4">
        <f>T28*U28</f>
        <v>15.399999999999999</v>
      </c>
      <c r="W28" s="3">
        <v>8</v>
      </c>
      <c r="X28" s="4">
        <v>1.5</v>
      </c>
      <c r="Y28" s="12">
        <f t="shared" si="1"/>
        <v>1.0266666666666665E-2</v>
      </c>
      <c r="Z28" s="3">
        <v>85</v>
      </c>
      <c r="AA28" s="8">
        <v>3.0999999999999999E-3</v>
      </c>
      <c r="AB28" s="4">
        <f t="shared" si="5"/>
        <v>-90.172766123314545</v>
      </c>
      <c r="AC28" s="4">
        <f t="shared" si="2"/>
        <v>90.172766123314545</v>
      </c>
      <c r="AD28" s="4">
        <v>105</v>
      </c>
      <c r="AG28" s="3">
        <v>92</v>
      </c>
      <c r="AH28" s="3">
        <v>76</v>
      </c>
    </row>
    <row r="29" spans="1:34" hidden="1" x14ac:dyDescent="0.25">
      <c r="A29">
        <v>2015</v>
      </c>
      <c r="B29" t="s">
        <v>127</v>
      </c>
      <c r="C29" t="s">
        <v>128</v>
      </c>
      <c r="D29" t="s">
        <v>42</v>
      </c>
      <c r="F29" s="3" t="s">
        <v>43</v>
      </c>
      <c r="G29" s="7" t="s">
        <v>129</v>
      </c>
      <c r="H29" s="4">
        <f>3.4*2.5</f>
        <v>8.5</v>
      </c>
      <c r="I29" s="4" t="s">
        <v>35</v>
      </c>
      <c r="J29" s="3" t="s">
        <v>45</v>
      </c>
      <c r="K29" s="3" t="s">
        <v>61</v>
      </c>
      <c r="L29" s="3" t="s">
        <v>46</v>
      </c>
      <c r="N29" s="3" t="s">
        <v>34</v>
      </c>
      <c r="O29" s="3">
        <v>100</v>
      </c>
      <c r="R29" s="3">
        <v>0</v>
      </c>
      <c r="S29" s="3">
        <v>80</v>
      </c>
      <c r="T29" s="3">
        <v>80</v>
      </c>
      <c r="U29" s="4">
        <f>V29/T29</f>
        <v>4.5</v>
      </c>
      <c r="V29" s="4">
        <v>360</v>
      </c>
      <c r="W29" s="3">
        <v>12</v>
      </c>
      <c r="X29" s="4">
        <v>45</v>
      </c>
      <c r="Y29" s="12">
        <f t="shared" si="1"/>
        <v>8.0000000000000002E-3</v>
      </c>
      <c r="Z29" s="3">
        <v>93</v>
      </c>
      <c r="AA29" s="8">
        <v>1.4999999999999999E-2</v>
      </c>
      <c r="AB29" s="4">
        <f t="shared" si="5"/>
        <v>-76.478174818886373</v>
      </c>
      <c r="AC29" s="4">
        <f t="shared" si="2"/>
        <v>76.478174818886373</v>
      </c>
    </row>
    <row r="30" spans="1:34" hidden="1" x14ac:dyDescent="0.25">
      <c r="A30">
        <v>2016</v>
      </c>
      <c r="B30" t="s">
        <v>130</v>
      </c>
      <c r="C30" t="s">
        <v>131</v>
      </c>
      <c r="D30" t="s">
        <v>42</v>
      </c>
      <c r="E30" t="s">
        <v>118</v>
      </c>
      <c r="F30" s="3" t="s">
        <v>43</v>
      </c>
      <c r="G30" s="7" t="s">
        <v>119</v>
      </c>
      <c r="H30" s="4">
        <f>13.4/2</f>
        <v>6.7</v>
      </c>
      <c r="I30" s="4" t="s">
        <v>35</v>
      </c>
      <c r="J30" s="3" t="s">
        <v>45</v>
      </c>
      <c r="K30" s="3" t="s">
        <v>37</v>
      </c>
      <c r="L30" s="3" t="s">
        <v>84</v>
      </c>
      <c r="M30" s="3">
        <v>165</v>
      </c>
      <c r="N30" s="3" t="s">
        <v>43</v>
      </c>
      <c r="R30" s="3">
        <v>0</v>
      </c>
      <c r="S30" s="3">
        <v>24</v>
      </c>
      <c r="T30" s="3">
        <v>24</v>
      </c>
      <c r="U30" s="4">
        <f>V30/T30</f>
        <v>2.9166666666666665</v>
      </c>
      <c r="V30" s="4">
        <v>70</v>
      </c>
      <c r="W30" s="3">
        <v>4</v>
      </c>
      <c r="X30" s="4">
        <v>70</v>
      </c>
      <c r="Y30" s="12">
        <f t="shared" si="1"/>
        <v>1E-3</v>
      </c>
      <c r="Z30" s="3">
        <v>90</v>
      </c>
      <c r="AA30" s="8">
        <v>3.0000000000000001E-3</v>
      </c>
      <c r="AB30" s="4">
        <f t="shared" si="5"/>
        <v>-90.457574905606748</v>
      </c>
      <c r="AC30" s="4">
        <f t="shared" si="2"/>
        <v>90.457574905606748</v>
      </c>
      <c r="AD30" s="4">
        <v>110</v>
      </c>
    </row>
    <row r="31" spans="1:34" hidden="1" x14ac:dyDescent="0.25">
      <c r="A31">
        <v>2016</v>
      </c>
      <c r="B31" t="s">
        <v>132</v>
      </c>
      <c r="C31" t="s">
        <v>133</v>
      </c>
      <c r="D31" t="s">
        <v>42</v>
      </c>
      <c r="F31" s="3" t="s">
        <v>43</v>
      </c>
      <c r="G31" s="7" t="s">
        <v>80</v>
      </c>
      <c r="H31" s="4">
        <v>0.86</v>
      </c>
      <c r="I31" s="4" t="s">
        <v>35</v>
      </c>
      <c r="J31" s="3" t="s">
        <v>45</v>
      </c>
      <c r="K31" s="3" t="s">
        <v>37</v>
      </c>
      <c r="L31" s="3" t="s">
        <v>38</v>
      </c>
      <c r="M31" s="3">
        <v>200</v>
      </c>
      <c r="N31" s="3" t="s">
        <v>43</v>
      </c>
      <c r="R31" s="3">
        <v>0</v>
      </c>
      <c r="S31" s="3">
        <v>2.5</v>
      </c>
      <c r="T31" s="3">
        <v>5</v>
      </c>
      <c r="U31" s="4">
        <v>2.4</v>
      </c>
      <c r="V31" s="4">
        <f>T31*U31</f>
        <v>12</v>
      </c>
      <c r="W31" s="3">
        <v>8</v>
      </c>
      <c r="X31" s="4">
        <v>1</v>
      </c>
      <c r="Y31" s="12">
        <f t="shared" si="1"/>
        <v>1.2E-2</v>
      </c>
      <c r="Z31" s="3">
        <v>92</v>
      </c>
      <c r="AA31" s="8">
        <v>3.7000000000000002E-3</v>
      </c>
      <c r="AB31" s="4">
        <f t="shared" si="5"/>
        <v>-88.6359655186601</v>
      </c>
      <c r="AC31" s="4">
        <f t="shared" si="2"/>
        <v>88.6359655186601</v>
      </c>
      <c r="AD31" s="4">
        <v>102</v>
      </c>
      <c r="AG31" s="3">
        <v>71</v>
      </c>
      <c r="AH31" s="3">
        <v>49</v>
      </c>
    </row>
    <row r="32" spans="1:34" hidden="1" x14ac:dyDescent="0.25">
      <c r="A32">
        <v>2016</v>
      </c>
      <c r="B32" t="s">
        <v>92</v>
      </c>
      <c r="C32" t="s">
        <v>134</v>
      </c>
      <c r="D32" t="s">
        <v>42</v>
      </c>
      <c r="F32" s="3" t="s">
        <v>43</v>
      </c>
      <c r="G32" s="7" t="s">
        <v>101</v>
      </c>
      <c r="H32" s="4">
        <v>1.85</v>
      </c>
      <c r="I32" s="4" t="s">
        <v>35</v>
      </c>
      <c r="J32" s="3" t="s">
        <v>45</v>
      </c>
      <c r="K32" s="3" t="s">
        <v>37</v>
      </c>
      <c r="L32" s="3" t="s">
        <v>38</v>
      </c>
      <c r="M32" s="3">
        <v>650</v>
      </c>
      <c r="N32" s="3" t="s">
        <v>43</v>
      </c>
      <c r="R32" s="3">
        <v>0</v>
      </c>
      <c r="S32" s="3">
        <v>3</v>
      </c>
      <c r="T32" s="3">
        <v>5.5</v>
      </c>
      <c r="U32" s="4">
        <v>1.45</v>
      </c>
      <c r="V32" s="4">
        <f>T32*U32</f>
        <v>7.9749999999999996</v>
      </c>
      <c r="W32" s="3" t="s">
        <v>39</v>
      </c>
      <c r="X32" s="4">
        <v>3.1</v>
      </c>
      <c r="Y32" s="12">
        <f t="shared" si="1"/>
        <v>2.5725806451612899E-3</v>
      </c>
      <c r="Z32" s="3">
        <v>92.4</v>
      </c>
      <c r="AA32" s="8">
        <v>6.7000000000000002E-4</v>
      </c>
      <c r="AB32" s="4">
        <f t="shared" si="5"/>
        <v>-103.47850394598348</v>
      </c>
      <c r="AC32" s="4">
        <f t="shared" si="2"/>
        <v>103.47850394598348</v>
      </c>
      <c r="AD32" s="4">
        <v>108</v>
      </c>
      <c r="AG32" s="3">
        <v>118</v>
      </c>
      <c r="AH32" s="3">
        <v>80</v>
      </c>
    </row>
    <row r="33" spans="1:34" hidden="1" x14ac:dyDescent="0.25">
      <c r="A33">
        <v>2017</v>
      </c>
      <c r="B33" t="s">
        <v>135</v>
      </c>
      <c r="C33" t="s">
        <v>136</v>
      </c>
      <c r="D33" t="s">
        <v>77</v>
      </c>
      <c r="F33" s="3" t="s">
        <v>43</v>
      </c>
      <c r="G33" s="7" t="s">
        <v>104</v>
      </c>
      <c r="I33" s="4" t="s">
        <v>35</v>
      </c>
      <c r="J33" s="3" t="s">
        <v>50</v>
      </c>
      <c r="K33" s="3" t="s">
        <v>37</v>
      </c>
      <c r="L33" s="3" t="s">
        <v>46</v>
      </c>
      <c r="M33" s="3">
        <v>400</v>
      </c>
      <c r="N33" s="3" t="s">
        <v>34</v>
      </c>
      <c r="R33" s="3">
        <v>0</v>
      </c>
      <c r="S33" s="3">
        <v>12</v>
      </c>
      <c r="T33" s="3">
        <v>15</v>
      </c>
      <c r="W33" s="3">
        <v>8</v>
      </c>
      <c r="X33" s="4">
        <v>10</v>
      </c>
      <c r="Y33" s="12"/>
      <c r="Z33" s="3">
        <v>88</v>
      </c>
    </row>
    <row r="34" spans="1:34" hidden="1" x14ac:dyDescent="0.25">
      <c r="A34">
        <v>2017</v>
      </c>
      <c r="B34" t="s">
        <v>52</v>
      </c>
      <c r="C34" t="s">
        <v>137</v>
      </c>
      <c r="D34" t="s">
        <v>48</v>
      </c>
      <c r="F34" s="3" t="s">
        <v>43</v>
      </c>
      <c r="G34" s="7" t="s">
        <v>119</v>
      </c>
      <c r="H34" s="4">
        <v>6.45</v>
      </c>
      <c r="I34" s="4" t="s">
        <v>35</v>
      </c>
      <c r="J34" s="3" t="s">
        <v>45</v>
      </c>
      <c r="K34" s="3" t="s">
        <v>37</v>
      </c>
      <c r="L34" s="3" t="s">
        <v>84</v>
      </c>
      <c r="M34" s="3">
        <v>700</v>
      </c>
      <c r="N34" s="3" t="s">
        <v>43</v>
      </c>
      <c r="R34" s="3">
        <v>0</v>
      </c>
      <c r="S34" s="3">
        <v>5</v>
      </c>
      <c r="T34" s="3">
        <v>10</v>
      </c>
      <c r="U34" s="4">
        <v>3.5</v>
      </c>
      <c r="V34" s="4">
        <f>T34*U34</f>
        <v>35</v>
      </c>
      <c r="W34" s="3">
        <v>8</v>
      </c>
      <c r="X34" s="4">
        <v>10</v>
      </c>
      <c r="Y34" s="12">
        <f t="shared" si="1"/>
        <v>3.5000000000000001E-3</v>
      </c>
      <c r="Z34" s="3">
        <v>91</v>
      </c>
      <c r="AA34" s="8">
        <v>2.3E-3</v>
      </c>
      <c r="AB34" s="4">
        <f t="shared" si="5"/>
        <v>-92.765443279648139</v>
      </c>
      <c r="AC34" s="4">
        <f t="shared" si="2"/>
        <v>92.765443279648139</v>
      </c>
      <c r="AD34" s="4">
        <v>106</v>
      </c>
      <c r="AG34" s="3">
        <v>88</v>
      </c>
    </row>
    <row r="35" spans="1:34" x14ac:dyDescent="0.25">
      <c r="A35">
        <v>2017</v>
      </c>
      <c r="B35" t="s">
        <v>138</v>
      </c>
      <c r="C35" t="s">
        <v>139</v>
      </c>
      <c r="D35" t="s">
        <v>42</v>
      </c>
      <c r="F35" s="3" t="s">
        <v>43</v>
      </c>
      <c r="G35" s="7" t="s">
        <v>129</v>
      </c>
      <c r="I35" s="4" t="s">
        <v>66</v>
      </c>
      <c r="J35" s="3" t="s">
        <v>36</v>
      </c>
      <c r="K35" s="3" t="s">
        <v>37</v>
      </c>
      <c r="L35" s="3" t="s">
        <v>140</v>
      </c>
      <c r="M35" s="3">
        <v>501</v>
      </c>
      <c r="N35" s="3" t="s">
        <v>34</v>
      </c>
      <c r="R35" s="3">
        <v>50</v>
      </c>
      <c r="S35" s="3">
        <v>14.4</v>
      </c>
      <c r="T35" s="3">
        <v>25</v>
      </c>
      <c r="W35" s="3">
        <v>4</v>
      </c>
      <c r="X35" s="4">
        <v>80</v>
      </c>
      <c r="Y35" s="12"/>
      <c r="Z35" s="3">
        <v>92</v>
      </c>
      <c r="AA35" s="8">
        <v>4.0000000000000001E-3</v>
      </c>
      <c r="AB35" s="4">
        <f t="shared" si="5"/>
        <v>-87.95880017344075</v>
      </c>
      <c r="AC35" s="4">
        <f t="shared" si="2"/>
        <v>87.95880017344075</v>
      </c>
      <c r="AD35" s="4">
        <v>115</v>
      </c>
      <c r="AF35" s="3">
        <v>19</v>
      </c>
      <c r="AG35" s="3">
        <v>88</v>
      </c>
      <c r="AH35" s="3">
        <v>60</v>
      </c>
    </row>
    <row r="36" spans="1:34" hidden="1" x14ac:dyDescent="0.25">
      <c r="A36">
        <v>2018</v>
      </c>
      <c r="B36" t="s">
        <v>116</v>
      </c>
      <c r="C36" t="s">
        <v>141</v>
      </c>
      <c r="D36" t="s">
        <v>42</v>
      </c>
      <c r="F36" s="3" t="s">
        <v>43</v>
      </c>
      <c r="G36" s="7" t="s">
        <v>80</v>
      </c>
      <c r="H36" s="4">
        <v>0.49</v>
      </c>
      <c r="I36" s="4" t="s">
        <v>35</v>
      </c>
      <c r="J36" s="3" t="s">
        <v>45</v>
      </c>
      <c r="K36" s="3" t="s">
        <v>37</v>
      </c>
      <c r="L36" s="3" t="s">
        <v>38</v>
      </c>
      <c r="M36" s="3">
        <v>215</v>
      </c>
      <c r="N36" s="3" t="s">
        <v>43</v>
      </c>
      <c r="R36" s="3">
        <v>0</v>
      </c>
      <c r="S36" s="3">
        <v>2.5</v>
      </c>
      <c r="T36" s="3">
        <v>5.5</v>
      </c>
      <c r="U36" s="4">
        <v>0.96</v>
      </c>
      <c r="V36" s="4">
        <f>U36*T36</f>
        <v>5.2799999999999994</v>
      </c>
      <c r="W36" s="3">
        <v>8</v>
      </c>
      <c r="X36" s="4">
        <v>1.45</v>
      </c>
      <c r="Y36" s="12">
        <f t="shared" si="1"/>
        <v>3.6413793103448272E-3</v>
      </c>
      <c r="Z36" s="3">
        <v>94</v>
      </c>
      <c r="AA36" s="8">
        <v>3.2000000000000002E-3</v>
      </c>
      <c r="AB36" s="4">
        <f t="shared" si="5"/>
        <v>-89.897000433601875</v>
      </c>
      <c r="AC36" s="4">
        <f t="shared" si="2"/>
        <v>89.897000433601875</v>
      </c>
      <c r="AD36" s="4">
        <v>104</v>
      </c>
    </row>
    <row r="37" spans="1:34" x14ac:dyDescent="0.25">
      <c r="A37">
        <v>2018</v>
      </c>
      <c r="B37" t="s">
        <v>142</v>
      </c>
      <c r="C37" t="s">
        <v>143</v>
      </c>
      <c r="D37" t="s">
        <v>48</v>
      </c>
      <c r="E37" t="s">
        <v>118</v>
      </c>
      <c r="F37" s="3" t="s">
        <v>43</v>
      </c>
      <c r="G37" s="7" t="s">
        <v>119</v>
      </c>
      <c r="H37" s="4">
        <f>4.3/2</f>
        <v>2.15</v>
      </c>
      <c r="I37" s="4" t="s">
        <v>66</v>
      </c>
      <c r="J37" s="3" t="s">
        <v>45</v>
      </c>
      <c r="K37" s="3" t="s">
        <v>37</v>
      </c>
      <c r="L37" s="3" t="s">
        <v>51</v>
      </c>
      <c r="M37" s="3">
        <v>1600</v>
      </c>
      <c r="N37" s="3" t="s">
        <v>34</v>
      </c>
      <c r="R37" s="3">
        <v>0</v>
      </c>
      <c r="S37" s="3">
        <v>8</v>
      </c>
      <c r="T37" s="3">
        <v>20</v>
      </c>
      <c r="U37" s="4">
        <f>20.52/2</f>
        <v>10.26</v>
      </c>
      <c r="V37" s="4">
        <f t="shared" ref="V37:V46" si="6">T37*U37</f>
        <v>205.2</v>
      </c>
      <c r="W37" s="3" t="s">
        <v>39</v>
      </c>
      <c r="X37" s="4">
        <v>20</v>
      </c>
      <c r="Y37" s="12">
        <f t="shared" si="1"/>
        <v>1.026E-2</v>
      </c>
      <c r="Z37" s="3">
        <v>90</v>
      </c>
      <c r="AA37" s="8">
        <v>1.2999999999999999E-3</v>
      </c>
      <c r="AB37" s="4">
        <f t="shared" si="5"/>
        <v>-97.721132953863261</v>
      </c>
      <c r="AC37" s="4">
        <f t="shared" si="2"/>
        <v>97.721132953863261</v>
      </c>
      <c r="AD37" s="4">
        <v>115.5</v>
      </c>
      <c r="AF37" s="3">
        <v>20</v>
      </c>
      <c r="AG37" s="3">
        <v>80</v>
      </c>
      <c r="AH37" s="3">
        <v>50</v>
      </c>
    </row>
    <row r="38" spans="1:34" hidden="1" x14ac:dyDescent="0.25">
      <c r="A38">
        <v>2018</v>
      </c>
      <c r="B38" t="s">
        <v>92</v>
      </c>
      <c r="C38" t="s">
        <v>144</v>
      </c>
      <c r="D38" t="s">
        <v>48</v>
      </c>
      <c r="F38" s="3" t="s">
        <v>43</v>
      </c>
      <c r="G38" s="7" t="s">
        <v>101</v>
      </c>
      <c r="H38" s="4">
        <v>2.2799999999999998</v>
      </c>
      <c r="I38" s="4" t="s">
        <v>35</v>
      </c>
      <c r="J38" s="3" t="s">
        <v>45</v>
      </c>
      <c r="K38" s="3" t="s">
        <v>37</v>
      </c>
      <c r="L38" s="3" t="s">
        <v>38</v>
      </c>
      <c r="M38" s="3">
        <v>650</v>
      </c>
      <c r="N38" s="3" t="s">
        <v>43</v>
      </c>
      <c r="R38" s="3">
        <v>0</v>
      </c>
      <c r="S38" s="3">
        <v>3</v>
      </c>
      <c r="T38" s="3">
        <v>5.5</v>
      </c>
      <c r="U38" s="4">
        <v>1.6</v>
      </c>
      <c r="V38" s="4">
        <f t="shared" si="6"/>
        <v>8.8000000000000007</v>
      </c>
      <c r="W38" s="3" t="s">
        <v>39</v>
      </c>
      <c r="X38" s="4">
        <v>3.15</v>
      </c>
      <c r="Y38" s="12">
        <f t="shared" si="1"/>
        <v>2.7936507936507939E-3</v>
      </c>
      <c r="Z38" s="3">
        <v>91.5</v>
      </c>
      <c r="AA38" s="8">
        <v>4.0000000000000002E-4</v>
      </c>
      <c r="AB38" s="4">
        <f t="shared" si="5"/>
        <v>-107.95880017344075</v>
      </c>
      <c r="AC38" s="4">
        <f t="shared" si="2"/>
        <v>107.95880017344075</v>
      </c>
      <c r="AD38" s="4">
        <v>112</v>
      </c>
      <c r="AG38" s="3">
        <v>118</v>
      </c>
    </row>
    <row r="39" spans="1:34" x14ac:dyDescent="0.25">
      <c r="A39">
        <v>2019</v>
      </c>
      <c r="B39" t="s">
        <v>145</v>
      </c>
      <c r="C39" t="s">
        <v>146</v>
      </c>
      <c r="D39" t="s">
        <v>90</v>
      </c>
      <c r="F39" s="3" t="s">
        <v>43</v>
      </c>
      <c r="G39" s="7" t="s">
        <v>104</v>
      </c>
      <c r="H39" s="4">
        <v>1.5</v>
      </c>
      <c r="I39" s="4" t="s">
        <v>66</v>
      </c>
      <c r="J39" s="3" t="s">
        <v>45</v>
      </c>
      <c r="K39" s="3" t="s">
        <v>37</v>
      </c>
      <c r="L39" s="3" t="s">
        <v>38</v>
      </c>
      <c r="M39" s="3">
        <v>390</v>
      </c>
      <c r="N39" s="3" t="s">
        <v>43</v>
      </c>
      <c r="R39" s="3">
        <v>0</v>
      </c>
      <c r="S39" s="3">
        <v>5</v>
      </c>
      <c r="T39" s="3">
        <v>5</v>
      </c>
      <c r="U39" s="4">
        <v>3.1</v>
      </c>
      <c r="V39" s="4">
        <f t="shared" si="6"/>
        <v>15.5</v>
      </c>
      <c r="W39" s="3">
        <v>8</v>
      </c>
      <c r="X39" s="4">
        <v>1.2</v>
      </c>
      <c r="Y39" s="12">
        <f t="shared" si="1"/>
        <v>1.2916666666666668E-2</v>
      </c>
      <c r="Z39" s="3">
        <v>91</v>
      </c>
      <c r="AA39" s="8">
        <f>100*10^(AB39/20)</f>
        <v>1.584893192461113E-3</v>
      </c>
      <c r="AB39" s="4">
        <v>-96</v>
      </c>
      <c r="AC39" s="4">
        <f t="shared" si="2"/>
        <v>96</v>
      </c>
      <c r="AD39" s="4">
        <v>99.9</v>
      </c>
    </row>
    <row r="40" spans="1:34" hidden="1" x14ac:dyDescent="0.25">
      <c r="A40">
        <v>2020</v>
      </c>
      <c r="B40" t="s">
        <v>147</v>
      </c>
      <c r="C40" t="s">
        <v>148</v>
      </c>
      <c r="D40" t="s">
        <v>149</v>
      </c>
      <c r="F40" s="3" t="s">
        <v>43</v>
      </c>
      <c r="G40" s="7" t="s">
        <v>94</v>
      </c>
      <c r="H40" s="4">
        <v>1.96</v>
      </c>
      <c r="I40" s="4" t="s">
        <v>35</v>
      </c>
      <c r="J40" s="3" t="s">
        <v>45</v>
      </c>
      <c r="K40" s="3" t="s">
        <v>37</v>
      </c>
      <c r="L40" s="3" t="s">
        <v>38</v>
      </c>
      <c r="M40" s="3">
        <v>400</v>
      </c>
      <c r="N40" s="3" t="s">
        <v>43</v>
      </c>
      <c r="R40" s="3">
        <v>0</v>
      </c>
      <c r="S40" s="3">
        <v>3</v>
      </c>
      <c r="T40" s="3">
        <v>3.6</v>
      </c>
      <c r="U40" s="4">
        <v>3</v>
      </c>
      <c r="V40" s="4">
        <f t="shared" si="6"/>
        <v>10.8</v>
      </c>
      <c r="W40" s="3">
        <v>8</v>
      </c>
      <c r="X40" s="4">
        <v>0.8</v>
      </c>
      <c r="Y40" s="12">
        <f t="shared" si="1"/>
        <v>1.35E-2</v>
      </c>
      <c r="Z40" s="3">
        <v>90</v>
      </c>
      <c r="AA40" s="8">
        <v>5.0000000000000001E-3</v>
      </c>
      <c r="AB40" s="4">
        <f>20*LOG10(AA40/100)</f>
        <v>-86.020599913279625</v>
      </c>
      <c r="AC40" s="4">
        <f t="shared" si="2"/>
        <v>86.020599913279625</v>
      </c>
      <c r="AD40" s="11">
        <f>20*LOG10(T40/SQRT(2)/AF40*1000000)</f>
        <v>104.03335040558744</v>
      </c>
      <c r="AF40" s="3">
        <v>16</v>
      </c>
      <c r="AG40" s="3">
        <v>101</v>
      </c>
      <c r="AH40" s="3">
        <v>77</v>
      </c>
    </row>
    <row r="41" spans="1:34" hidden="1" x14ac:dyDescent="0.25">
      <c r="A41">
        <v>2020</v>
      </c>
      <c r="B41" t="s">
        <v>150</v>
      </c>
      <c r="C41" t="s">
        <v>151</v>
      </c>
      <c r="D41" t="s">
        <v>42</v>
      </c>
      <c r="F41" s="3" t="s">
        <v>43</v>
      </c>
      <c r="G41" s="7" t="s">
        <v>119</v>
      </c>
      <c r="H41" s="4">
        <v>4.8</v>
      </c>
      <c r="I41" s="4" t="s">
        <v>35</v>
      </c>
      <c r="J41" s="3" t="s">
        <v>45</v>
      </c>
      <c r="K41" s="3" t="s">
        <v>37</v>
      </c>
      <c r="L41" s="3" t="s">
        <v>67</v>
      </c>
      <c r="M41" s="3">
        <v>2000</v>
      </c>
      <c r="N41" s="3" t="s">
        <v>34</v>
      </c>
      <c r="O41" s="3">
        <v>2.2000000000000002</v>
      </c>
      <c r="P41" s="3">
        <v>1</v>
      </c>
      <c r="Q41" s="10">
        <f t="shared" si="3"/>
        <v>107.35666599733153</v>
      </c>
      <c r="R41" s="3">
        <v>0</v>
      </c>
      <c r="S41" s="3">
        <v>14.4</v>
      </c>
      <c r="T41" s="3">
        <v>14.4</v>
      </c>
      <c r="U41" s="4">
        <v>17</v>
      </c>
      <c r="V41" s="4">
        <f t="shared" si="6"/>
        <v>244.8</v>
      </c>
      <c r="W41" s="3">
        <v>4</v>
      </c>
      <c r="X41" s="4">
        <v>28</v>
      </c>
      <c r="Y41" s="12">
        <f t="shared" si="1"/>
        <v>8.7428571428571442E-3</v>
      </c>
      <c r="Z41" s="3">
        <v>91</v>
      </c>
      <c r="AA41" s="8">
        <v>7.7999999999999999E-4</v>
      </c>
      <c r="AB41" s="4">
        <f>20*LOG10(AA41/100)</f>
        <v>-102.15810794619038</v>
      </c>
      <c r="AC41" s="4">
        <f t="shared" si="2"/>
        <v>102.15810794619038</v>
      </c>
      <c r="AD41" s="4">
        <v>110.6</v>
      </c>
      <c r="AF41" s="3">
        <v>31</v>
      </c>
      <c r="AG41" s="3">
        <v>70</v>
      </c>
      <c r="AH41" s="3">
        <v>62</v>
      </c>
    </row>
    <row r="42" spans="1:34" x14ac:dyDescent="0.25">
      <c r="A42">
        <v>2021</v>
      </c>
      <c r="B42" t="s">
        <v>75</v>
      </c>
      <c r="C42" t="s">
        <v>152</v>
      </c>
      <c r="D42" t="s">
        <v>42</v>
      </c>
      <c r="F42" s="3" t="s">
        <v>43</v>
      </c>
      <c r="G42" s="7" t="s">
        <v>153</v>
      </c>
      <c r="H42" s="4">
        <v>1.33</v>
      </c>
      <c r="I42" s="4" t="s">
        <v>66</v>
      </c>
      <c r="J42" s="3" t="s">
        <v>45</v>
      </c>
      <c r="K42" s="3" t="s">
        <v>61</v>
      </c>
      <c r="L42" s="3" t="s">
        <v>62</v>
      </c>
      <c r="M42" s="3">
        <v>175</v>
      </c>
      <c r="N42" s="3" t="s">
        <v>43</v>
      </c>
      <c r="R42" s="3">
        <v>0</v>
      </c>
      <c r="S42" s="3">
        <v>1.8</v>
      </c>
      <c r="T42" s="3">
        <v>1.8</v>
      </c>
      <c r="U42" s="4">
        <f>1.23/1.8</f>
        <v>0.68333333333333335</v>
      </c>
      <c r="V42" s="4">
        <v>1.23</v>
      </c>
      <c r="W42" s="3">
        <v>16</v>
      </c>
      <c r="X42" s="4">
        <v>8.2000000000000003E-2</v>
      </c>
      <c r="Y42" s="12">
        <f t="shared" si="1"/>
        <v>1.4999999999999999E-2</v>
      </c>
      <c r="Z42" s="3">
        <v>93</v>
      </c>
      <c r="AA42" s="8">
        <f>100*10^(AB42/20)</f>
        <v>2.238721138568336E-3</v>
      </c>
      <c r="AB42" s="4">
        <v>-93</v>
      </c>
      <c r="AC42" s="4">
        <f t="shared" si="2"/>
        <v>93</v>
      </c>
      <c r="AD42" s="4">
        <v>113</v>
      </c>
      <c r="AG42" s="3">
        <v>94</v>
      </c>
    </row>
    <row r="43" spans="1:34" hidden="1" x14ac:dyDescent="0.25">
      <c r="A43">
        <v>2021</v>
      </c>
      <c r="B43" t="s">
        <v>154</v>
      </c>
      <c r="C43" t="s">
        <v>155</v>
      </c>
      <c r="D43" t="s">
        <v>42</v>
      </c>
      <c r="F43" s="3" t="s">
        <v>43</v>
      </c>
      <c r="G43" s="7" t="s">
        <v>80</v>
      </c>
      <c r="H43" s="4">
        <v>1.56</v>
      </c>
      <c r="I43" s="4" t="s">
        <v>35</v>
      </c>
      <c r="J43" s="3" t="s">
        <v>45</v>
      </c>
      <c r="K43" s="3" t="s">
        <v>37</v>
      </c>
      <c r="L43" s="3" t="s">
        <v>38</v>
      </c>
      <c r="M43" s="3">
        <v>168</v>
      </c>
      <c r="N43" s="3" t="s">
        <v>43</v>
      </c>
      <c r="R43" s="3">
        <v>0</v>
      </c>
      <c r="S43" s="3">
        <v>2.5</v>
      </c>
      <c r="T43" s="3">
        <v>5.5</v>
      </c>
      <c r="U43" s="4">
        <v>0.4</v>
      </c>
      <c r="V43" s="4">
        <f t="shared" si="6"/>
        <v>2.2000000000000002</v>
      </c>
      <c r="W43" s="3">
        <v>8</v>
      </c>
      <c r="X43" s="4">
        <v>1.42</v>
      </c>
      <c r="Y43" s="12">
        <f t="shared" si="1"/>
        <v>1.5492957746478875E-3</v>
      </c>
      <c r="Z43" s="3">
        <v>92.3</v>
      </c>
      <c r="AA43" s="8">
        <v>9.1E-4</v>
      </c>
      <c r="AB43" s="4">
        <f>20*LOG10(AA43/100)</f>
        <v>-100.81917215357812</v>
      </c>
      <c r="AC43" s="4">
        <f t="shared" si="2"/>
        <v>100.81917215357812</v>
      </c>
      <c r="AD43" s="4">
        <v>106</v>
      </c>
      <c r="AG43" s="3">
        <v>100</v>
      </c>
      <c r="AH43" s="3">
        <v>72</v>
      </c>
    </row>
    <row r="44" spans="1:34" hidden="1" x14ac:dyDescent="0.25">
      <c r="A44">
        <v>2021</v>
      </c>
      <c r="B44" t="s">
        <v>156</v>
      </c>
      <c r="C44" t="s">
        <v>157</v>
      </c>
      <c r="D44" t="s">
        <v>42</v>
      </c>
      <c r="F44" s="3" t="s">
        <v>43</v>
      </c>
      <c r="G44" s="7" t="s">
        <v>119</v>
      </c>
      <c r="H44" s="4">
        <v>5</v>
      </c>
      <c r="I44" s="4" t="s">
        <v>35</v>
      </c>
      <c r="J44" s="3" t="s">
        <v>45</v>
      </c>
      <c r="K44" s="3" t="s">
        <v>37</v>
      </c>
      <c r="L44" s="3" t="s">
        <v>84</v>
      </c>
      <c r="M44" s="3">
        <v>4200</v>
      </c>
      <c r="N44" s="3" t="s">
        <v>34</v>
      </c>
      <c r="O44" s="3">
        <v>0.47</v>
      </c>
      <c r="P44" s="3">
        <v>0.16</v>
      </c>
      <c r="Q44" s="10">
        <f t="shared" si="3"/>
        <v>580.6727368546758</v>
      </c>
      <c r="R44" s="3">
        <v>0</v>
      </c>
      <c r="S44" s="3">
        <v>14.4</v>
      </c>
      <c r="T44" s="3">
        <v>14.4</v>
      </c>
      <c r="U44" s="4">
        <v>7</v>
      </c>
      <c r="V44" s="4">
        <f t="shared" si="6"/>
        <v>100.8</v>
      </c>
      <c r="W44" s="3" t="s">
        <v>39</v>
      </c>
      <c r="X44" s="4">
        <v>28</v>
      </c>
      <c r="Y44" s="12">
        <f t="shared" si="1"/>
        <v>3.5999999999999999E-3</v>
      </c>
      <c r="Z44" s="3">
        <v>91</v>
      </c>
      <c r="AA44" s="8">
        <v>4.0000000000000002E-4</v>
      </c>
      <c r="AB44" s="4">
        <f>20*LOG10(AA44/100)</f>
        <v>-107.95880017344075</v>
      </c>
      <c r="AC44" s="4">
        <f t="shared" si="2"/>
        <v>107.95880017344075</v>
      </c>
      <c r="AD44" s="4">
        <v>111.2</v>
      </c>
    </row>
    <row r="45" spans="1:34" hidden="1" x14ac:dyDescent="0.25">
      <c r="A45">
        <v>2022</v>
      </c>
      <c r="B45" t="s">
        <v>150</v>
      </c>
      <c r="C45" t="s">
        <v>158</v>
      </c>
      <c r="D45" t="s">
        <v>42</v>
      </c>
      <c r="F45" s="3" t="s">
        <v>43</v>
      </c>
      <c r="G45" s="7" t="s">
        <v>119</v>
      </c>
      <c r="H45" s="4">
        <v>7</v>
      </c>
      <c r="I45" s="4" t="s">
        <v>35</v>
      </c>
      <c r="J45" s="3" t="s">
        <v>45</v>
      </c>
      <c r="K45" s="3" t="s">
        <v>37</v>
      </c>
      <c r="L45" s="3" t="s">
        <v>159</v>
      </c>
      <c r="M45" s="3">
        <v>2000</v>
      </c>
      <c r="N45" s="3" t="s">
        <v>34</v>
      </c>
      <c r="O45" s="3">
        <v>1.1000000000000001</v>
      </c>
      <c r="P45" s="3">
        <v>4</v>
      </c>
      <c r="Q45" s="10">
        <f t="shared" si="3"/>
        <v>75.912626532292379</v>
      </c>
      <c r="R45" s="3">
        <v>0</v>
      </c>
      <c r="S45" s="3">
        <v>14.4</v>
      </c>
      <c r="T45" s="3">
        <v>14.4</v>
      </c>
      <c r="U45" s="4">
        <v>8.5</v>
      </c>
      <c r="V45" s="4">
        <f t="shared" si="6"/>
        <v>122.4</v>
      </c>
      <c r="Y45" s="12"/>
      <c r="AA45" s="8">
        <f>100*10^(AB45/20)</f>
        <v>4.3151907682776481E-3</v>
      </c>
      <c r="AB45" s="4">
        <v>-87.3</v>
      </c>
      <c r="AC45" s="4">
        <f t="shared" si="2"/>
        <v>87.3</v>
      </c>
      <c r="AD45" s="4">
        <v>106.5</v>
      </c>
      <c r="AF45" s="3">
        <v>45</v>
      </c>
      <c r="AG45" s="3">
        <v>90</v>
      </c>
      <c r="AH45" s="3">
        <v>68</v>
      </c>
    </row>
    <row r="46" spans="1:34" x14ac:dyDescent="0.25">
      <c r="A46">
        <v>2022</v>
      </c>
      <c r="B46" t="s">
        <v>160</v>
      </c>
      <c r="C46" t="s">
        <v>161</v>
      </c>
      <c r="D46" t="s">
        <v>48</v>
      </c>
      <c r="F46" s="3" t="s">
        <v>43</v>
      </c>
      <c r="G46" s="7" t="s">
        <v>80</v>
      </c>
      <c r="H46" s="4">
        <v>1.96</v>
      </c>
      <c r="I46" s="4" t="s">
        <v>66</v>
      </c>
      <c r="J46" s="3" t="s">
        <v>162</v>
      </c>
      <c r="K46" s="3" t="s">
        <v>37</v>
      </c>
      <c r="L46" s="3" t="s">
        <v>84</v>
      </c>
      <c r="M46" s="3">
        <v>384</v>
      </c>
      <c r="N46" s="3" t="s">
        <v>43</v>
      </c>
      <c r="R46" s="3">
        <v>0</v>
      </c>
      <c r="S46" s="3">
        <v>0.625</v>
      </c>
      <c r="T46" s="3">
        <v>5</v>
      </c>
      <c r="U46" s="4">
        <v>2.4</v>
      </c>
      <c r="V46" s="4">
        <f t="shared" si="6"/>
        <v>12</v>
      </c>
      <c r="W46" s="3">
        <v>8</v>
      </c>
      <c r="X46" s="4">
        <v>1.5</v>
      </c>
      <c r="Y46" s="12">
        <f t="shared" si="1"/>
        <v>8.0000000000000002E-3</v>
      </c>
      <c r="Z46" s="3">
        <v>81</v>
      </c>
      <c r="AA46" s="8">
        <v>1.6999999999999999E-3</v>
      </c>
      <c r="AB46" s="4">
        <f>20*LOG10(AA46/100)</f>
        <v>-95.391021572434511</v>
      </c>
      <c r="AC46" s="4">
        <f t="shared" si="2"/>
        <v>95.391021572434511</v>
      </c>
      <c r="AD46" s="4">
        <v>121</v>
      </c>
      <c r="AF46" s="3">
        <v>3.15</v>
      </c>
      <c r="AG46" s="3">
        <v>100</v>
      </c>
    </row>
    <row r="47" spans="1:34" x14ac:dyDescent="0.25">
      <c r="A47">
        <v>2022</v>
      </c>
      <c r="B47" t="s">
        <v>171</v>
      </c>
      <c r="C47" t="s">
        <v>172</v>
      </c>
      <c r="D47" t="s">
        <v>173</v>
      </c>
      <c r="E47" t="s">
        <v>174</v>
      </c>
      <c r="F47" s="3" t="s">
        <v>43</v>
      </c>
      <c r="G47" s="7" t="s">
        <v>153</v>
      </c>
      <c r="H47" s="4">
        <v>0.18</v>
      </c>
      <c r="I47" s="4" t="s">
        <v>66</v>
      </c>
      <c r="J47" s="3" t="s">
        <v>45</v>
      </c>
      <c r="K47" s="3" t="s">
        <v>61</v>
      </c>
      <c r="L47" s="3" t="s">
        <v>62</v>
      </c>
      <c r="M47" s="3">
        <v>175</v>
      </c>
      <c r="N47" s="3" t="s">
        <v>43</v>
      </c>
      <c r="R47" s="3">
        <v>0</v>
      </c>
      <c r="S47" s="3">
        <v>1.8</v>
      </c>
      <c r="T47" s="3">
        <v>1.8</v>
      </c>
      <c r="U47" s="4">
        <f>1.44/1.8</f>
        <v>0.79999999999999993</v>
      </c>
      <c r="V47" s="4">
        <v>1.44</v>
      </c>
      <c r="W47" s="3">
        <v>16</v>
      </c>
      <c r="X47" s="4">
        <v>8.2000000000000003E-2</v>
      </c>
      <c r="Y47" s="12">
        <f t="shared" si="1"/>
        <v>1.7560975609756096E-2</v>
      </c>
      <c r="AA47" s="8">
        <f>100*10^(AB47/20)</f>
        <v>2.238721138568336E-3</v>
      </c>
      <c r="AB47" s="4">
        <v>-93</v>
      </c>
      <c r="AC47" s="4">
        <f t="shared" si="2"/>
        <v>93</v>
      </c>
      <c r="AD47" s="4">
        <v>113</v>
      </c>
    </row>
    <row r="48" spans="1:34" hidden="1" x14ac:dyDescent="0.25">
      <c r="A48">
        <v>2022</v>
      </c>
      <c r="B48" t="s">
        <v>156</v>
      </c>
      <c r="C48" t="s">
        <v>163</v>
      </c>
      <c r="D48" t="s">
        <v>42</v>
      </c>
      <c r="F48" s="3" t="s">
        <v>43</v>
      </c>
      <c r="G48" s="7" t="s">
        <v>119</v>
      </c>
      <c r="H48" s="4">
        <v>5</v>
      </c>
      <c r="I48" s="4" t="s">
        <v>35</v>
      </c>
      <c r="J48" s="3" t="s">
        <v>36</v>
      </c>
      <c r="K48" s="3" t="s">
        <v>37</v>
      </c>
      <c r="L48" s="3" t="s">
        <v>84</v>
      </c>
      <c r="M48" s="3">
        <v>4200</v>
      </c>
      <c r="N48" s="3" t="s">
        <v>34</v>
      </c>
      <c r="O48" s="3">
        <v>3.3</v>
      </c>
      <c r="P48" s="3">
        <v>1</v>
      </c>
      <c r="Q48" s="10">
        <f t="shared" si="3"/>
        <v>87.656350726621056</v>
      </c>
      <c r="R48" s="3">
        <v>49</v>
      </c>
      <c r="S48" s="3">
        <v>14.4</v>
      </c>
      <c r="T48" s="3">
        <v>14.4</v>
      </c>
      <c r="U48" s="4">
        <f>V48/T48</f>
        <v>8.3333333333333339</v>
      </c>
      <c r="V48" s="4">
        <v>120</v>
      </c>
      <c r="W48" s="3" t="s">
        <v>39</v>
      </c>
      <c r="X48" s="4">
        <v>21</v>
      </c>
      <c r="Y48" s="12">
        <f t="shared" si="1"/>
        <v>5.7142857142857143E-3</v>
      </c>
      <c r="Z48" s="3">
        <v>91</v>
      </c>
      <c r="AA48" s="8">
        <f>100*10^(AB48/20)</f>
        <v>4.415704473533124E-4</v>
      </c>
      <c r="AB48" s="4">
        <v>-107.1</v>
      </c>
      <c r="AC48" s="4">
        <f t="shared" si="2"/>
        <v>107.1</v>
      </c>
      <c r="AD48" s="4">
        <v>110.8</v>
      </c>
      <c r="AG48" s="3">
        <v>70</v>
      </c>
    </row>
    <row r="49" spans="1:34" hidden="1" x14ac:dyDescent="0.25">
      <c r="A49">
        <v>2022</v>
      </c>
      <c r="B49" t="s">
        <v>156</v>
      </c>
      <c r="C49" t="s">
        <v>164</v>
      </c>
      <c r="D49" t="s">
        <v>42</v>
      </c>
      <c r="F49" s="3" t="s">
        <v>43</v>
      </c>
      <c r="G49" s="7" t="s">
        <v>119</v>
      </c>
      <c r="H49" s="4">
        <v>5</v>
      </c>
      <c r="I49" s="4" t="s">
        <v>35</v>
      </c>
      <c r="J49" s="3" t="s">
        <v>45</v>
      </c>
      <c r="K49" s="3" t="s">
        <v>37</v>
      </c>
      <c r="L49" s="3" t="s">
        <v>67</v>
      </c>
      <c r="M49" s="3">
        <v>2100</v>
      </c>
      <c r="N49" s="3" t="s">
        <v>43</v>
      </c>
      <c r="R49" s="3">
        <v>0</v>
      </c>
      <c r="S49" s="3">
        <v>14.4</v>
      </c>
      <c r="T49" s="3">
        <v>14.4</v>
      </c>
      <c r="U49" s="4">
        <v>21</v>
      </c>
      <c r="V49" s="4">
        <f>T49*U49</f>
        <v>302.40000000000003</v>
      </c>
      <c r="W49" s="3">
        <v>8</v>
      </c>
      <c r="X49" s="4">
        <v>14</v>
      </c>
      <c r="Y49" s="12">
        <f t="shared" si="1"/>
        <v>2.1600000000000001E-2</v>
      </c>
      <c r="Z49" s="3">
        <v>93</v>
      </c>
      <c r="AA49" s="8">
        <v>1E-3</v>
      </c>
      <c r="AB49" s="4">
        <v>-100</v>
      </c>
      <c r="AC49" s="4">
        <f t="shared" si="2"/>
        <v>100</v>
      </c>
      <c r="AD49" s="4">
        <v>110.2</v>
      </c>
      <c r="AF49" s="3">
        <v>32.700000000000003</v>
      </c>
      <c r="AG49" s="3">
        <v>110</v>
      </c>
      <c r="AH49" s="3">
        <v>79</v>
      </c>
    </row>
    <row r="50" spans="1:34" hidden="1" x14ac:dyDescent="0.25">
      <c r="A50">
        <v>2022</v>
      </c>
      <c r="B50" t="s">
        <v>156</v>
      </c>
      <c r="C50" t="s">
        <v>165</v>
      </c>
      <c r="D50" t="s">
        <v>42</v>
      </c>
      <c r="F50" s="3" t="s">
        <v>43</v>
      </c>
      <c r="G50" s="7" t="s">
        <v>119</v>
      </c>
      <c r="H50" s="4">
        <v>6.9</v>
      </c>
      <c r="I50" s="4" t="s">
        <v>35</v>
      </c>
      <c r="J50" s="3" t="s">
        <v>36</v>
      </c>
      <c r="K50" s="3" t="s">
        <v>37</v>
      </c>
      <c r="L50" s="3" t="s">
        <v>84</v>
      </c>
      <c r="M50" s="3">
        <v>4200</v>
      </c>
      <c r="N50" s="3" t="s">
        <v>34</v>
      </c>
      <c r="O50" s="3">
        <v>3.3</v>
      </c>
      <c r="P50" s="3">
        <v>1</v>
      </c>
      <c r="Q50" s="10">
        <f t="shared" si="3"/>
        <v>87.656350726621056</v>
      </c>
      <c r="S50" s="3">
        <v>14.4</v>
      </c>
      <c r="T50" s="3">
        <v>14.4</v>
      </c>
      <c r="U50" s="4">
        <v>9</v>
      </c>
      <c r="V50" s="4">
        <f>T50*U50</f>
        <v>129.6</v>
      </c>
      <c r="W50" s="3" t="s">
        <v>39</v>
      </c>
      <c r="X50" s="4">
        <v>26</v>
      </c>
      <c r="Y50" s="12">
        <f t="shared" si="1"/>
        <v>4.9846153846153851E-3</v>
      </c>
      <c r="Z50" s="3">
        <v>93</v>
      </c>
      <c r="AA50" s="8">
        <f t="shared" ref="AA50:AA55" si="7">100*10^(AB50/20)</f>
        <v>3.23593656929628E-4</v>
      </c>
      <c r="AB50" s="4">
        <v>-109.8</v>
      </c>
      <c r="AC50" s="4">
        <f t="shared" si="2"/>
        <v>109.8</v>
      </c>
      <c r="AD50" s="4">
        <v>121.4</v>
      </c>
      <c r="AF50" s="3">
        <v>8</v>
      </c>
      <c r="AG50" s="3">
        <v>89</v>
      </c>
      <c r="AH50" s="3">
        <v>71</v>
      </c>
    </row>
    <row r="51" spans="1:34" ht="14.45" customHeight="1" x14ac:dyDescent="0.25">
      <c r="A51">
        <v>2023</v>
      </c>
      <c r="B51" t="s">
        <v>156</v>
      </c>
      <c r="C51" s="9" t="s">
        <v>166</v>
      </c>
      <c r="D51" t="s">
        <v>48</v>
      </c>
      <c r="F51" s="3" t="s">
        <v>43</v>
      </c>
      <c r="G51" s="7" t="s">
        <v>119</v>
      </c>
      <c r="H51" s="4">
        <v>7.5</v>
      </c>
      <c r="I51" s="4" t="s">
        <v>66</v>
      </c>
      <c r="J51" s="3" t="s">
        <v>36</v>
      </c>
      <c r="K51" s="3" t="s">
        <v>37</v>
      </c>
      <c r="L51" s="3" t="s">
        <v>84</v>
      </c>
      <c r="M51" s="3">
        <v>4992</v>
      </c>
      <c r="N51" s="3" t="s">
        <v>34</v>
      </c>
      <c r="O51" s="3">
        <v>3.3</v>
      </c>
      <c r="P51" s="3">
        <v>1</v>
      </c>
      <c r="Q51" s="10">
        <f t="shared" si="3"/>
        <v>87.656350726621056</v>
      </c>
      <c r="S51" s="3">
        <v>14.4</v>
      </c>
      <c r="T51" s="3">
        <v>14.4</v>
      </c>
      <c r="U51" s="4">
        <v>13.9</v>
      </c>
      <c r="V51" s="4">
        <f>T51*U51</f>
        <v>200.16</v>
      </c>
      <c r="W51" s="3" t="s">
        <v>39</v>
      </c>
      <c r="X51" s="4">
        <v>23</v>
      </c>
      <c r="Y51" s="12">
        <f t="shared" si="1"/>
        <v>8.7026086956521736E-3</v>
      </c>
      <c r="Z51" s="3">
        <v>90</v>
      </c>
      <c r="AA51" s="8">
        <f t="shared" si="7"/>
        <v>2.7542287033381613E-4</v>
      </c>
      <c r="AB51" s="4">
        <v>-111.2</v>
      </c>
      <c r="AC51" s="4">
        <f t="shared" si="2"/>
        <v>111.2</v>
      </c>
      <c r="AD51" s="4">
        <v>120.9</v>
      </c>
      <c r="AF51" s="3">
        <v>9.3000000000000007</v>
      </c>
      <c r="AG51" s="3">
        <v>97</v>
      </c>
      <c r="AH51" s="3">
        <v>78</v>
      </c>
    </row>
    <row r="52" spans="1:34" hidden="1" x14ac:dyDescent="0.25">
      <c r="A52">
        <v>2023</v>
      </c>
      <c r="B52" t="s">
        <v>150</v>
      </c>
      <c r="C52" t="s">
        <v>175</v>
      </c>
      <c r="D52" t="s">
        <v>173</v>
      </c>
      <c r="F52" s="3" t="s">
        <v>43</v>
      </c>
      <c r="G52" s="7" t="s">
        <v>119</v>
      </c>
      <c r="H52" s="4">
        <v>7.1</v>
      </c>
      <c r="I52" s="4" t="s">
        <v>35</v>
      </c>
      <c r="J52" s="3" t="s">
        <v>45</v>
      </c>
      <c r="K52" s="3" t="s">
        <v>37</v>
      </c>
      <c r="L52" s="3" t="s">
        <v>159</v>
      </c>
      <c r="M52" s="3">
        <v>2000</v>
      </c>
      <c r="N52" s="3" t="s">
        <v>34</v>
      </c>
      <c r="O52" s="3">
        <v>1.1000000000000001</v>
      </c>
      <c r="P52" s="3">
        <v>4</v>
      </c>
      <c r="Q52" s="10">
        <f t="shared" ref="Q52" si="8">1/2/3.14/SQRT(O52*P52)*1000</f>
        <v>75.912626532292379</v>
      </c>
      <c r="R52" s="3">
        <v>0</v>
      </c>
      <c r="S52" s="3">
        <v>14.4</v>
      </c>
      <c r="T52" s="3">
        <v>14.4</v>
      </c>
      <c r="U52" s="4">
        <v>8.6999999999999993</v>
      </c>
      <c r="V52" s="4">
        <f>8.7*14.4+5*1.8</f>
        <v>134.27999999999997</v>
      </c>
      <c r="AA52" s="8">
        <f t="shared" si="7"/>
        <v>2.3713737056616545E-3</v>
      </c>
      <c r="AB52" s="4">
        <v>-92.5</v>
      </c>
      <c r="AC52" s="4">
        <f t="shared" si="2"/>
        <v>92.5</v>
      </c>
      <c r="AD52" s="4">
        <v>108.9</v>
      </c>
      <c r="AF52" s="3">
        <v>37</v>
      </c>
      <c r="AG52" s="3">
        <v>119</v>
      </c>
      <c r="AH52" s="3">
        <v>80</v>
      </c>
    </row>
    <row r="53" spans="1:34" x14ac:dyDescent="0.25">
      <c r="A53">
        <v>2024</v>
      </c>
      <c r="B53" t="s">
        <v>176</v>
      </c>
      <c r="C53" t="s">
        <v>177</v>
      </c>
      <c r="D53" t="s">
        <v>48</v>
      </c>
      <c r="F53" s="3" t="s">
        <v>43</v>
      </c>
      <c r="G53" s="7" t="s">
        <v>119</v>
      </c>
      <c r="H53" s="4">
        <v>7.9</v>
      </c>
      <c r="I53" s="4" t="s">
        <v>66</v>
      </c>
      <c r="J53" s="3" t="s">
        <v>45</v>
      </c>
      <c r="K53" s="3" t="s">
        <v>37</v>
      </c>
      <c r="L53" s="3" t="s">
        <v>67</v>
      </c>
      <c r="M53" s="3">
        <v>2300</v>
      </c>
      <c r="N53" s="3" t="s">
        <v>43</v>
      </c>
      <c r="R53" s="3">
        <v>0</v>
      </c>
      <c r="S53" s="3">
        <v>14.4</v>
      </c>
      <c r="T53" s="3">
        <v>14.4</v>
      </c>
      <c r="U53" s="4">
        <v>22</v>
      </c>
      <c r="V53" s="4">
        <f>S53*T53</f>
        <v>207.36</v>
      </c>
      <c r="W53" s="3">
        <v>8</v>
      </c>
      <c r="X53" s="4">
        <v>12.7</v>
      </c>
      <c r="Y53" s="12">
        <f t="shared" si="1"/>
        <v>1.6327559055118113E-2</v>
      </c>
      <c r="Z53" s="3">
        <v>90</v>
      </c>
      <c r="AA53" s="8">
        <f t="shared" si="7"/>
        <v>6.3095734448019212E-4</v>
      </c>
      <c r="AB53" s="4">
        <v>-104</v>
      </c>
      <c r="AC53" s="4">
        <f t="shared" si="2"/>
        <v>104</v>
      </c>
      <c r="AD53" s="4">
        <v>121.7</v>
      </c>
      <c r="AF53" s="3">
        <v>8</v>
      </c>
      <c r="AG53" s="3">
        <v>93</v>
      </c>
      <c r="AH53" s="3">
        <v>71</v>
      </c>
    </row>
    <row r="54" spans="1:34" hidden="1" x14ac:dyDescent="0.25">
      <c r="A54">
        <v>2024</v>
      </c>
      <c r="B54" t="s">
        <v>178</v>
      </c>
      <c r="C54" t="s">
        <v>179</v>
      </c>
      <c r="D54" t="s">
        <v>48</v>
      </c>
      <c r="F54" s="3" t="s">
        <v>43</v>
      </c>
      <c r="G54" s="7" t="s">
        <v>104</v>
      </c>
      <c r="H54" s="4">
        <v>1.8</v>
      </c>
      <c r="I54" s="4" t="s">
        <v>35</v>
      </c>
      <c r="J54" s="3" t="s">
        <v>45</v>
      </c>
      <c r="K54" s="3" t="s">
        <v>37</v>
      </c>
      <c r="L54" s="3" t="s">
        <v>67</v>
      </c>
      <c r="M54" s="3">
        <v>350</v>
      </c>
      <c r="N54" s="3" t="s">
        <v>43</v>
      </c>
      <c r="R54" s="3">
        <v>0</v>
      </c>
      <c r="S54" s="3">
        <v>2.5</v>
      </c>
      <c r="T54" s="3">
        <v>5.5</v>
      </c>
      <c r="U54" s="4">
        <v>0.81</v>
      </c>
      <c r="V54" s="4">
        <f>T54*U54</f>
        <v>4.4550000000000001</v>
      </c>
      <c r="W54" s="3">
        <v>8</v>
      </c>
      <c r="X54" s="4">
        <v>1.76</v>
      </c>
      <c r="Y54" s="12">
        <f t="shared" si="1"/>
        <v>2.5312500000000001E-3</v>
      </c>
      <c r="Z54" s="3">
        <v>94.4</v>
      </c>
      <c r="AA54" s="8">
        <f t="shared" si="7"/>
        <v>5.4954087385762379E-4</v>
      </c>
      <c r="AB54" s="4">
        <v>-105.2</v>
      </c>
      <c r="AC54" s="4">
        <f t="shared" si="2"/>
        <v>105.2</v>
      </c>
      <c r="AD54" s="4">
        <v>112</v>
      </c>
      <c r="AG54" s="3">
        <v>85.6</v>
      </c>
    </row>
    <row r="55" spans="1:34" hidden="1" x14ac:dyDescent="0.25">
      <c r="A55">
        <v>2024</v>
      </c>
      <c r="B55" t="s">
        <v>156</v>
      </c>
      <c r="C55" t="s">
        <v>180</v>
      </c>
      <c r="D55" t="s">
        <v>48</v>
      </c>
      <c r="E55" t="s">
        <v>181</v>
      </c>
      <c r="F55" s="3" t="s">
        <v>43</v>
      </c>
      <c r="G55" s="7" t="s">
        <v>119</v>
      </c>
      <c r="H55" s="4">
        <v>8.3000000000000007</v>
      </c>
      <c r="I55" s="4" t="s">
        <v>35</v>
      </c>
      <c r="J55" s="3" t="s">
        <v>36</v>
      </c>
      <c r="K55" s="3" t="s">
        <v>37</v>
      </c>
      <c r="L55" s="3" t="s">
        <v>84</v>
      </c>
      <c r="M55" s="3">
        <v>4800</v>
      </c>
      <c r="N55" s="3" t="s">
        <v>34</v>
      </c>
      <c r="O55" s="3">
        <v>0.68</v>
      </c>
      <c r="P55" s="3">
        <v>0.27</v>
      </c>
      <c r="Q55" s="10">
        <f t="shared" ref="Q55" si="9">1/2/3.14/SQRT(O55*P55)*1000</f>
        <v>371.62422612208331</v>
      </c>
      <c r="R55" s="3">
        <v>64</v>
      </c>
      <c r="S55" s="3">
        <v>14.4</v>
      </c>
      <c r="T55" s="3">
        <v>14.4</v>
      </c>
      <c r="U55" s="4">
        <v>7.6</v>
      </c>
      <c r="V55" s="4">
        <f>T55*U55</f>
        <v>109.44</v>
      </c>
      <c r="W55" s="3">
        <v>8</v>
      </c>
      <c r="X55" s="4">
        <v>14</v>
      </c>
      <c r="Y55" s="12">
        <f t="shared" si="1"/>
        <v>7.8171428571428576E-3</v>
      </c>
      <c r="Z55" s="3">
        <v>90.3</v>
      </c>
      <c r="AA55" s="8">
        <f t="shared" si="7"/>
        <v>5.6234132519034834E-4</v>
      </c>
      <c r="AB55" s="4">
        <v>-105</v>
      </c>
      <c r="AC55" s="4">
        <f t="shared" si="2"/>
        <v>105</v>
      </c>
      <c r="AD55" s="4">
        <v>109</v>
      </c>
      <c r="AG55" s="3">
        <v>86</v>
      </c>
      <c r="AH55" s="3">
        <v>68</v>
      </c>
    </row>
  </sheetData>
  <autoFilter ref="A1:AG55" xr:uid="{7B743457-26B3-4161-A824-7CD5A792A360}">
    <filterColumn colId="8">
      <filters>
        <filter val="Digital"/>
      </filters>
    </filterColumn>
  </autoFilter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9D052BA2BFB14FB625FADD7E4C949A" ma:contentTypeVersion="18" ma:contentTypeDescription="Een nieuw document maken." ma:contentTypeScope="" ma:versionID="1478f542252ebb3de125d3a3c39dbd25">
  <xsd:schema xmlns:xsd="http://www.w3.org/2001/XMLSchema" xmlns:xs="http://www.w3.org/2001/XMLSchema" xmlns:p="http://schemas.microsoft.com/office/2006/metadata/properties" xmlns:ns2="d03d2198-8d35-4cc0-a739-01c03c710b1c" xmlns:ns3="36c1366f-7ef1-4268-b676-51a99b2b453a" targetNamespace="http://schemas.microsoft.com/office/2006/metadata/properties" ma:root="true" ma:fieldsID="7cdd9b57eefcdded378d609daacb3300" ns2:_="" ns3:_="">
    <xsd:import namespace="d03d2198-8d35-4cc0-a739-01c03c710b1c"/>
    <xsd:import namespace="36c1366f-7ef1-4268-b676-51a99b2b45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d2198-8d35-4cc0-a739-01c03c710b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c1366f-7ef1-4268-b676-51a99b2b453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9251f1cc-b4a9-4c39-8e66-e275a462eca3}" ma:internalName="TaxCatchAll" ma:showField="CatchAllData" ma:web="36c1366f-7ef1-4268-b676-51a99b2b45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c1366f-7ef1-4268-b676-51a99b2b453a" xsi:nil="true"/>
    <lcf76f155ced4ddcb4097134ff3c332f xmlns="d03d2198-8d35-4cc0-a739-01c03c710b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E625BA-0110-4541-B193-B2461AAEB6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A4949D-A470-4687-BE52-39F0CC3343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d2198-8d35-4cc0-a739-01c03c710b1c"/>
    <ds:schemaRef ds:uri="36c1366f-7ef1-4268-b676-51a99b2b45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DEF279-0E7F-42D0-A1B7-5906D68C641F}">
  <ds:schemaRefs>
    <ds:schemaRef ds:uri="http://schemas.microsoft.com/office/2006/metadata/properties"/>
    <ds:schemaRef ds:uri="http://schemas.microsoft.com/office/infopath/2007/PartnerControls"/>
    <ds:schemaRef ds:uri="36c1366f-7ef1-4268-b676-51a99b2b453a"/>
    <ds:schemaRef ds:uri="d03d2198-8d35-4cc0-a739-01c03c710b1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Publications</vt:lpstr>
      <vt:lpstr>THD+N vs. SNR</vt:lpstr>
      <vt:lpstr>fsw vs. Iq</vt:lpstr>
      <vt:lpstr>Pidle_div_Pout,max vs. fsw</vt:lpstr>
      <vt:lpstr>flc vs. fsw</vt:lpstr>
      <vt:lpstr>PSRR_L vs. THD+N</vt:lpstr>
      <vt:lpstr>PSRR_H vs. THD+N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张华骏</dc:creator>
  <cp:keywords/>
  <dc:description/>
  <cp:lastModifiedBy>Huajun Zhang</cp:lastModifiedBy>
  <cp:revision/>
  <dcterms:created xsi:type="dcterms:W3CDTF">2023-01-04T13:21:30Z</dcterms:created>
  <dcterms:modified xsi:type="dcterms:W3CDTF">2024-03-11T12:23:27Z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0x010100639D052BA2BFB14FB625FADD7E4C949A</vt:lpwstr>
  </property>
  <property fmtid="{D5CDD505-2E9C-101B-9397-08002B2CF9AE}" pid="3" name="MediaServiceImageTags">
    <vt:lpwstr/>
  </property>
</Properties>
</file>