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Chapter4\"/>
    </mc:Choice>
  </mc:AlternateContent>
  <xr:revisionPtr revIDLastSave="0" documentId="13_ncr:1_{64B9B6A5-D510-46F5-9D91-99B5F66992E1}" xr6:coauthVersionLast="47" xr6:coauthVersionMax="47" xr10:uidLastSave="{00000000-0000-0000-0000-000000000000}"/>
  <bookViews>
    <workbookView xWindow="-110" yWindow="-110" windowWidth="19420" windowHeight="11620" firstSheet="1" activeTab="1" xr2:uid="{00000000-000D-0000-FFFF-FFFF00000000}"/>
  </bookViews>
  <sheets>
    <sheet name="Results_toynetwork" sheetId="1" r:id="rId1"/>
    <sheet name="Results_userclass_triplength" sheetId="2" r:id="rId2"/>
    <sheet name="Optimisation_results" sheetId="3" r:id="rId3"/>
    <sheet name="Scenario_descrip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3" l="1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N9" i="3"/>
  <c r="M9" i="3"/>
  <c r="L9" i="3"/>
  <c r="K9" i="3"/>
  <c r="J9" i="3"/>
  <c r="I9" i="3"/>
  <c r="H9" i="3"/>
  <c r="G9" i="3"/>
  <c r="F9" i="3"/>
  <c r="E9" i="3"/>
  <c r="D9" i="3"/>
  <c r="C9" i="3"/>
  <c r="B9" i="3"/>
  <c r="A1" i="3"/>
  <c r="B1" i="3"/>
  <c r="C1" i="3"/>
  <c r="D1" i="3"/>
  <c r="E1" i="3"/>
  <c r="F1" i="3"/>
  <c r="G1" i="3"/>
  <c r="H1" i="3"/>
  <c r="I1" i="3"/>
  <c r="J1" i="3"/>
  <c r="K1" i="3"/>
  <c r="L1" i="3"/>
  <c r="M1" i="3"/>
  <c r="N1" i="3"/>
  <c r="A2" i="3"/>
  <c r="B2" i="3"/>
  <c r="C2" i="3"/>
  <c r="D2" i="3"/>
  <c r="E2" i="3"/>
  <c r="F2" i="3"/>
  <c r="G2" i="3"/>
  <c r="H2" i="3"/>
  <c r="I2" i="3"/>
  <c r="J2" i="3"/>
  <c r="K2" i="3"/>
  <c r="L2" i="3"/>
  <c r="M2" i="3"/>
  <c r="N2" i="3"/>
  <c r="A3" i="3"/>
  <c r="B3" i="3"/>
  <c r="C3" i="3"/>
  <c r="D3" i="3"/>
  <c r="E3" i="3"/>
  <c r="F3" i="3"/>
  <c r="G3" i="3"/>
  <c r="H3" i="3"/>
  <c r="I3" i="3"/>
  <c r="J3" i="3"/>
  <c r="K3" i="3"/>
  <c r="L3" i="3"/>
  <c r="M3" i="3"/>
  <c r="N3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A6" i="3"/>
  <c r="B6" i="3"/>
  <c r="C6" i="3"/>
  <c r="D6" i="3"/>
  <c r="E6" i="3"/>
  <c r="F6" i="3"/>
  <c r="G6" i="3"/>
  <c r="H6" i="3"/>
  <c r="I6" i="3"/>
  <c r="J6" i="3"/>
  <c r="K6" i="3"/>
  <c r="L6" i="3"/>
  <c r="M6" i="3"/>
  <c r="N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A8" i="3"/>
  <c r="B8" i="3"/>
  <c r="C8" i="3"/>
  <c r="D8" i="3"/>
  <c r="E8" i="3"/>
  <c r="F8" i="3"/>
  <c r="G8" i="3"/>
  <c r="H8" i="3"/>
  <c r="I8" i="3"/>
  <c r="J8" i="3"/>
  <c r="K8" i="3"/>
  <c r="L8" i="3"/>
  <c r="M8" i="3"/>
  <c r="N8" i="3"/>
  <c r="A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A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A19" i="3"/>
  <c r="B19" i="3"/>
  <c r="C19" i="3"/>
  <c r="D19" i="3"/>
  <c r="E19" i="3"/>
  <c r="F19" i="3"/>
  <c r="H19" i="3"/>
  <c r="I19" i="3"/>
  <c r="J19" i="3"/>
  <c r="K19" i="3"/>
  <c r="L19" i="3"/>
  <c r="M19" i="3"/>
  <c r="N19" i="3"/>
  <c r="A3" i="2"/>
  <c r="E10" i="2"/>
  <c r="D10" i="2"/>
  <c r="C10" i="2"/>
  <c r="E6" i="2"/>
  <c r="D6" i="2"/>
  <c r="C6" i="2"/>
  <c r="E2" i="2"/>
  <c r="D2" i="2"/>
  <c r="C2" i="2"/>
  <c r="A1" i="2"/>
  <c r="B1" i="2"/>
  <c r="C1" i="2"/>
  <c r="D1" i="2"/>
  <c r="A2" i="2"/>
  <c r="B2" i="2"/>
  <c r="B3" i="2"/>
  <c r="C3" i="2"/>
  <c r="D3" i="2"/>
  <c r="E3" i="2"/>
  <c r="A4" i="2"/>
  <c r="B4" i="2"/>
  <c r="C4" i="2"/>
  <c r="D4" i="2"/>
  <c r="E4" i="2"/>
  <c r="A5" i="2"/>
  <c r="B5" i="2"/>
  <c r="C5" i="2"/>
  <c r="D5" i="2"/>
  <c r="E5" i="2"/>
  <c r="A6" i="2"/>
  <c r="B6" i="2"/>
  <c r="A7" i="2"/>
  <c r="B7" i="2"/>
  <c r="C7" i="2"/>
  <c r="D7" i="2"/>
  <c r="E7" i="2"/>
  <c r="A8" i="2"/>
  <c r="B8" i="2"/>
  <c r="C8" i="2"/>
  <c r="D8" i="2"/>
  <c r="E8" i="2"/>
  <c r="A9" i="2"/>
  <c r="B9" i="2"/>
  <c r="C9" i="2"/>
  <c r="D9" i="2"/>
  <c r="E9" i="2"/>
  <c r="A10" i="2"/>
  <c r="B10" i="2"/>
  <c r="A11" i="2"/>
  <c r="B11" i="2"/>
  <c r="C11" i="2"/>
  <c r="D11" i="2"/>
  <c r="E11" i="2"/>
  <c r="A12" i="2"/>
  <c r="B12" i="2"/>
  <c r="C12" i="2"/>
  <c r="D12" i="2"/>
  <c r="E12" i="2"/>
  <c r="A13" i="2"/>
  <c r="B13" i="2"/>
  <c r="C13" i="2"/>
  <c r="D13" i="2"/>
  <c r="E13" i="2"/>
  <c r="H5" i="1"/>
  <c r="H6" i="1"/>
  <c r="H7" i="1"/>
  <c r="H8" i="1"/>
  <c r="H9" i="1"/>
  <c r="H10" i="1"/>
  <c r="H11" i="1"/>
  <c r="H12" i="1"/>
  <c r="G14" i="1"/>
  <c r="G13" i="1"/>
  <c r="G12" i="1"/>
  <c r="G11" i="1"/>
  <c r="G10" i="1"/>
  <c r="G9" i="1"/>
  <c r="G8" i="1"/>
  <c r="G7" i="1"/>
  <c r="G6" i="1"/>
  <c r="G5" i="1"/>
  <c r="G15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  <c r="B1" i="1"/>
  <c r="C1" i="1"/>
  <c r="D1" i="1"/>
  <c r="E1" i="1"/>
  <c r="F1" i="1"/>
  <c r="G1" i="1"/>
  <c r="H1" i="1"/>
  <c r="B2" i="1"/>
  <c r="C2" i="1"/>
  <c r="D2" i="1"/>
  <c r="E2" i="1"/>
  <c r="F2" i="1"/>
  <c r="G2" i="1"/>
  <c r="H2" i="1"/>
  <c r="B3" i="1"/>
  <c r="C3" i="1"/>
  <c r="D3" i="1"/>
  <c r="E3" i="1"/>
  <c r="F3" i="1"/>
  <c r="G3" i="1"/>
  <c r="H3" i="1"/>
  <c r="B4" i="1"/>
  <c r="C4" i="1"/>
  <c r="D4" i="1"/>
  <c r="E4" i="1"/>
  <c r="F4" i="1"/>
  <c r="G4" i="1"/>
  <c r="H4" i="1"/>
  <c r="B5" i="1"/>
  <c r="C5" i="1"/>
  <c r="D5" i="1"/>
  <c r="E5" i="1"/>
  <c r="F5" i="1"/>
  <c r="B6" i="1"/>
  <c r="C6" i="1"/>
  <c r="D6" i="1"/>
  <c r="E6" i="1"/>
  <c r="F6" i="1"/>
  <c r="B7" i="1"/>
  <c r="C7" i="1"/>
  <c r="D7" i="1"/>
  <c r="E7" i="1"/>
  <c r="F7" i="1"/>
  <c r="B8" i="1"/>
  <c r="C8" i="1"/>
  <c r="D8" i="1"/>
  <c r="E8" i="1"/>
  <c r="F8" i="1"/>
  <c r="B9" i="1"/>
  <c r="C9" i="1"/>
  <c r="D9" i="1"/>
  <c r="E9" i="1"/>
  <c r="F9" i="1"/>
  <c r="B10" i="1"/>
  <c r="C10" i="1"/>
  <c r="D10" i="1"/>
  <c r="E10" i="1"/>
  <c r="F10" i="1"/>
  <c r="B11" i="1"/>
  <c r="C11" i="1"/>
  <c r="D11" i="1"/>
  <c r="E11" i="1"/>
  <c r="F11" i="1"/>
  <c r="B12" i="1"/>
  <c r="C12" i="1"/>
  <c r="D12" i="1"/>
  <c r="E12" i="1"/>
  <c r="F12" i="1"/>
  <c r="B13" i="1"/>
  <c r="C13" i="1"/>
  <c r="D13" i="1"/>
  <c r="E13" i="1"/>
  <c r="F13" i="1"/>
  <c r="H13" i="1"/>
  <c r="B14" i="1"/>
  <c r="C14" i="1"/>
  <c r="D14" i="1"/>
  <c r="E14" i="1"/>
  <c r="F14" i="1"/>
  <c r="H14" i="1"/>
  <c r="B15" i="1"/>
  <c r="C15" i="1"/>
  <c r="D15" i="1"/>
  <c r="E15" i="1"/>
  <c r="F15" i="1"/>
  <c r="H15" i="1"/>
</calcChain>
</file>

<file path=xl/sharedStrings.xml><?xml version="1.0" encoding="utf-8"?>
<sst xmlns="http://schemas.openxmlformats.org/spreadsheetml/2006/main" count="35" uniqueCount="23">
  <si>
    <t>&gt;10km</t>
  </si>
  <si>
    <t>Scenario description</t>
  </si>
  <si>
    <t>p^0 (euro)</t>
  </si>
  <si>
    <t>p (euro/km)</t>
  </si>
  <si>
    <t>co (euro/km)</t>
  </si>
  <si>
    <t>α</t>
  </si>
  <si>
    <t>cd (euro/min)</t>
  </si>
  <si>
    <t>β0 (utility/euro)</t>
  </si>
  <si>
    <t>β1</t>
  </si>
  <si>
    <t>S1 Base scenario</t>
  </si>
  <si>
    <t>-</t>
  </si>
  <si>
    <t>S2 Lower price</t>
  </si>
  <si>
    <t>S3 Lower operational cost</t>
  </si>
  <si>
    <t>S4 No delay penalty</t>
  </si>
  <si>
    <t>S5 Higher β0</t>
  </si>
  <si>
    <t>S6 Higher β0 with lower price</t>
  </si>
  <si>
    <t>S7 Base scenario without congestion</t>
  </si>
  <si>
    <t>S8 Lower price without congestion</t>
  </si>
  <si>
    <t>S9 Higher β0 with lower price without congestion</t>
  </si>
  <si>
    <t>S10 Base scenario with rejection</t>
  </si>
  <si>
    <t>S11 Lower price with rejection</t>
  </si>
  <si>
    <t>S12 Base scenario with rejection and lower β1</t>
  </si>
  <si>
    <t>S13 Lower price with rejection and lower β1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</si>
</sst>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workbookViewId="0">
      <selection activeCell="C20" sqref="C20"/>
    </sheetView>
  </sheetViews>
  <sheetFormatPr defaultRowHeight="14.5" x14ac:dyDescent="0.35"/>
  <cols>
    <col min="1" max="1" width="27.26953125" customWidth="1"/>
    <col min="7" max="7" width="21.453125" customWidth="1"/>
    <col min="8" max="8" width="24.81640625" customWidth="1"/>
  </cols>
  <sheetData>
    <row r="1" spans="1:8" x14ac:dyDescent="0.35">
      <c r="A1" t="str">
        <f>"Configuration"</f>
        <v>Configuration</v>
      </c>
      <c r="B1" t="str">
        <f>"N"</f>
        <v>N</v>
      </c>
      <c r="C1" t="str">
        <f>"L"</f>
        <v>L</v>
      </c>
      <c r="D1" t="str">
        <f>"P"</f>
        <v>P</v>
      </c>
      <c r="E1" t="str">
        <f>"R"</f>
        <v>R</v>
      </c>
      <c r="F1" t="str">
        <f>"G"</f>
        <v>G</v>
      </c>
      <c r="G1" t="str">
        <f>"Computational time"</f>
        <v>Computational time</v>
      </c>
      <c r="H1" t="str">
        <f>"MIP Gap"</f>
        <v>MIP Gap</v>
      </c>
    </row>
    <row r="2" spans="1:8" x14ac:dyDescent="0.35">
      <c r="A2" t="str">
        <f>"N16_L48_P4_R1000_G30"</f>
        <v>N16_L48_P4_R1000_G30</v>
      </c>
      <c r="B2" t="str">
        <f>"16"</f>
        <v>16</v>
      </c>
      <c r="C2" t="str">
        <f>"48"</f>
        <v>48</v>
      </c>
      <c r="D2" t="str">
        <f>"4"</f>
        <v>4</v>
      </c>
      <c r="E2" t="str">
        <f>"1000"</f>
        <v>1000</v>
      </c>
      <c r="F2" t="str">
        <f>"30"</f>
        <v>30</v>
      </c>
      <c r="G2" t="str">
        <f>"15s"</f>
        <v>15s</v>
      </c>
      <c r="H2" t="str">
        <f>"0"</f>
        <v>0</v>
      </c>
    </row>
    <row r="3" spans="1:8" x14ac:dyDescent="0.35">
      <c r="A3" t="str">
        <f>"N16_L48_P4_R2000_G60"</f>
        <v>N16_L48_P4_R2000_G60</v>
      </c>
      <c r="B3" t="str">
        <f>"16"</f>
        <v>16</v>
      </c>
      <c r="C3" t="str">
        <f>"48"</f>
        <v>48</v>
      </c>
      <c r="D3" t="str">
        <f>"4"</f>
        <v>4</v>
      </c>
      <c r="E3" t="str">
        <f>"2000"</f>
        <v>2000</v>
      </c>
      <c r="F3" t="str">
        <f>"60"</f>
        <v>60</v>
      </c>
      <c r="G3" t="str">
        <f>"19s"</f>
        <v>19s</v>
      </c>
      <c r="H3" t="str">
        <f>"0"</f>
        <v>0</v>
      </c>
    </row>
    <row r="4" spans="1:8" x14ac:dyDescent="0.35">
      <c r="A4" t="str">
        <f>"N16_L48_P4_R3000_G90"</f>
        <v>N16_L48_P4_R3000_G90</v>
      </c>
      <c r="B4" t="str">
        <f>"16"</f>
        <v>16</v>
      </c>
      <c r="C4" t="str">
        <f>"48"</f>
        <v>48</v>
      </c>
      <c r="D4" t="str">
        <f>"4"</f>
        <v>4</v>
      </c>
      <c r="E4" t="str">
        <f>"3000"</f>
        <v>3000</v>
      </c>
      <c r="F4" t="str">
        <f>"90"</f>
        <v>90</v>
      </c>
      <c r="G4" t="str">
        <f>"60s"</f>
        <v>60s</v>
      </c>
      <c r="H4" t="str">
        <f>"0"</f>
        <v>0</v>
      </c>
    </row>
    <row r="5" spans="1:8" x14ac:dyDescent="0.35">
      <c r="A5" t="str">
        <f>"N64_L224_P8_R1000_G30"</f>
        <v>N64_L224_P8_R1000_G30</v>
      </c>
      <c r="B5" t="str">
        <f>"64"</f>
        <v>64</v>
      </c>
      <c r="C5" t="str">
        <f>"224"</f>
        <v>224</v>
      </c>
      <c r="D5" t="str">
        <f>"8"</f>
        <v>8</v>
      </c>
      <c r="E5" t="str">
        <f>"1000"</f>
        <v>1000</v>
      </c>
      <c r="F5" t="str">
        <f>"30"</f>
        <v>30</v>
      </c>
      <c r="G5" t="str">
        <f>"1112s"</f>
        <v>1112s</v>
      </c>
      <c r="H5" t="str">
        <f t="shared" ref="H5:H12" si="0">"0"</f>
        <v>0</v>
      </c>
    </row>
    <row r="6" spans="1:8" x14ac:dyDescent="0.35">
      <c r="A6" t="str">
        <f>"N64_L224_P8_R2000_G60"</f>
        <v>N64_L224_P8_R2000_G60</v>
      </c>
      <c r="B6" t="str">
        <f>"64"</f>
        <v>64</v>
      </c>
      <c r="C6" t="str">
        <f>"224"</f>
        <v>224</v>
      </c>
      <c r="D6" t="str">
        <f>"8"</f>
        <v>8</v>
      </c>
      <c r="E6" t="str">
        <f>"2000"</f>
        <v>2000</v>
      </c>
      <c r="F6" t="str">
        <f>"60"</f>
        <v>60</v>
      </c>
      <c r="G6" t="str">
        <f>"1270s"</f>
        <v>1270s</v>
      </c>
      <c r="H6" t="str">
        <f t="shared" si="0"/>
        <v>0</v>
      </c>
    </row>
    <row r="7" spans="1:8" x14ac:dyDescent="0.35">
      <c r="A7" t="str">
        <f>"N64_L224_P8_R3000_G90"</f>
        <v>N64_L224_P8_R3000_G90</v>
      </c>
      <c r="B7" t="str">
        <f>"64"</f>
        <v>64</v>
      </c>
      <c r="C7" t="str">
        <f>"224"</f>
        <v>224</v>
      </c>
      <c r="D7" t="str">
        <f>"8"</f>
        <v>8</v>
      </c>
      <c r="E7" t="str">
        <f>"3000"</f>
        <v>3000</v>
      </c>
      <c r="F7" t="str">
        <f>"90"</f>
        <v>90</v>
      </c>
      <c r="G7" t="str">
        <f>"7142s"</f>
        <v>7142s</v>
      </c>
      <c r="H7" t="str">
        <f t="shared" si="0"/>
        <v>0</v>
      </c>
    </row>
    <row r="8" spans="1:8" x14ac:dyDescent="0.35">
      <c r="A8" t="str">
        <f>"N144_L528_P12_R1000_G30"</f>
        <v>N144_L528_P12_R1000_G30</v>
      </c>
      <c r="B8" t="str">
        <f>"144"</f>
        <v>144</v>
      </c>
      <c r="C8" t="str">
        <f>"528"</f>
        <v>528</v>
      </c>
      <c r="D8" t="str">
        <f>"12"</f>
        <v>12</v>
      </c>
      <c r="E8" t="str">
        <f>"1000"</f>
        <v>1000</v>
      </c>
      <c r="F8" t="str">
        <f>"30"</f>
        <v>30</v>
      </c>
      <c r="G8" t="str">
        <f>"1984s"</f>
        <v>1984s</v>
      </c>
      <c r="H8" t="str">
        <f t="shared" si="0"/>
        <v>0</v>
      </c>
    </row>
    <row r="9" spans="1:8" x14ac:dyDescent="0.35">
      <c r="A9" t="str">
        <f>"N144_L528_P12_R2000_G60"</f>
        <v>N144_L528_P12_R2000_G60</v>
      </c>
      <c r="B9" t="str">
        <f>"144"</f>
        <v>144</v>
      </c>
      <c r="C9" t="str">
        <f>"528"</f>
        <v>528</v>
      </c>
      <c r="D9" t="str">
        <f>"12"</f>
        <v>12</v>
      </c>
      <c r="E9" t="str">
        <f>"2000"</f>
        <v>2000</v>
      </c>
      <c r="F9" t="str">
        <f>"60"</f>
        <v>60</v>
      </c>
      <c r="G9" t="str">
        <f>"4192s"</f>
        <v>4192s</v>
      </c>
      <c r="H9" t="str">
        <f t="shared" si="0"/>
        <v>0</v>
      </c>
    </row>
    <row r="10" spans="1:8" x14ac:dyDescent="0.35">
      <c r="A10" t="str">
        <f>"N144_L528_P12_R3000_G90"</f>
        <v>N144_L528_P12_R3000_G90</v>
      </c>
      <c r="B10" t="str">
        <f>"144"</f>
        <v>144</v>
      </c>
      <c r="C10" t="str">
        <f>"528"</f>
        <v>528</v>
      </c>
      <c r="D10" t="str">
        <f>"12"</f>
        <v>12</v>
      </c>
      <c r="E10" t="str">
        <f>"3000"</f>
        <v>3000</v>
      </c>
      <c r="F10" t="str">
        <f>"90"</f>
        <v>90</v>
      </c>
      <c r="G10" t="str">
        <f>"9874s"</f>
        <v>9874s</v>
      </c>
      <c r="H10" t="str">
        <f t="shared" si="0"/>
        <v>0</v>
      </c>
    </row>
    <row r="11" spans="1:8" x14ac:dyDescent="0.35">
      <c r="A11" t="str">
        <f>"N144_L528_P12_R6000_G90"</f>
        <v>N144_L528_P12_R6000_G90</v>
      </c>
      <c r="B11" t="str">
        <f>"144"</f>
        <v>144</v>
      </c>
      <c r="C11" t="str">
        <f>"528"</f>
        <v>528</v>
      </c>
      <c r="D11" t="str">
        <f>"12"</f>
        <v>12</v>
      </c>
      <c r="E11" t="str">
        <f>"6000"</f>
        <v>6000</v>
      </c>
      <c r="F11" t="str">
        <f>"90"</f>
        <v>90</v>
      </c>
      <c r="G11" t="str">
        <f>"10637s"</f>
        <v>10637s</v>
      </c>
      <c r="H11" t="str">
        <f t="shared" si="0"/>
        <v>0</v>
      </c>
    </row>
    <row r="12" spans="1:8" x14ac:dyDescent="0.35">
      <c r="A12" t="str">
        <f>"N144_L528_P12_R9000_G90"</f>
        <v>N144_L528_P12_R9000_G90</v>
      </c>
      <c r="B12" t="str">
        <f>"144"</f>
        <v>144</v>
      </c>
      <c r="C12" t="str">
        <f>"528"</f>
        <v>528</v>
      </c>
      <c r="D12" t="str">
        <f>"12"</f>
        <v>12</v>
      </c>
      <c r="E12" t="str">
        <f>"9000"</f>
        <v>9000</v>
      </c>
      <c r="F12" t="str">
        <f>"90"</f>
        <v>90</v>
      </c>
      <c r="G12" t="str">
        <f>"21925s"</f>
        <v>21925s</v>
      </c>
      <c r="H12" t="str">
        <f t="shared" si="0"/>
        <v>0</v>
      </c>
    </row>
    <row r="13" spans="1:8" x14ac:dyDescent="0.35">
      <c r="A13" t="str">
        <f>"N144_L528_P12_R6000_G180"</f>
        <v>N144_L528_P12_R6000_G180</v>
      </c>
      <c r="B13" t="str">
        <f>"144"</f>
        <v>144</v>
      </c>
      <c r="C13" t="str">
        <f>"528"</f>
        <v>528</v>
      </c>
      <c r="D13" t="str">
        <f>"12"</f>
        <v>12</v>
      </c>
      <c r="E13" t="str">
        <f>"6000"</f>
        <v>6000</v>
      </c>
      <c r="F13" t="str">
        <f>"180"</f>
        <v>180</v>
      </c>
      <c r="G13" t="str">
        <f>"26892s"</f>
        <v>26892s</v>
      </c>
      <c r="H13" t="str">
        <f>"0"</f>
        <v>0</v>
      </c>
    </row>
    <row r="14" spans="1:8" x14ac:dyDescent="0.35">
      <c r="A14" t="str">
        <f>"N144_L528_P12_R9000_G180"</f>
        <v>N144_L528_P12_R9000_G180</v>
      </c>
      <c r="B14" t="str">
        <f>"144"</f>
        <v>144</v>
      </c>
      <c r="C14" t="str">
        <f>"528"</f>
        <v>528</v>
      </c>
      <c r="D14" t="str">
        <f>"12"</f>
        <v>12</v>
      </c>
      <c r="E14" t="str">
        <f>"9000"</f>
        <v>9000</v>
      </c>
      <c r="F14" t="str">
        <f>"180"</f>
        <v>180</v>
      </c>
      <c r="G14" t="str">
        <f>"36615s"</f>
        <v>36615s</v>
      </c>
      <c r="H14" t="str">
        <f>"0"</f>
        <v>0</v>
      </c>
    </row>
    <row r="15" spans="1:8" x14ac:dyDescent="0.35">
      <c r="A15" t="str">
        <f>"N144_L528_P12_R12000_G180"</f>
        <v>N144_L528_P12_R12000_G180</v>
      </c>
      <c r="B15" t="str">
        <f>"144"</f>
        <v>144</v>
      </c>
      <c r="C15" t="str">
        <f>"528"</f>
        <v>528</v>
      </c>
      <c r="D15" t="str">
        <f>"12"</f>
        <v>12</v>
      </c>
      <c r="E15" t="str">
        <f>"12000"</f>
        <v>12000</v>
      </c>
      <c r="F15" t="str">
        <f>"180"</f>
        <v>180</v>
      </c>
      <c r="G15" t="str">
        <f>"&gt; 24h"</f>
        <v>&gt; 24h</v>
      </c>
      <c r="H15" t="str">
        <f>"-"</f>
        <v>-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F2207-C075-49E8-8A87-14EF222479CA}">
  <dimension ref="A1:E13"/>
  <sheetViews>
    <sheetView tabSelected="1" workbookViewId="0">
      <selection activeCell="B22" sqref="B22"/>
    </sheetView>
  </sheetViews>
  <sheetFormatPr defaultRowHeight="14.5" x14ac:dyDescent="0.35"/>
  <cols>
    <col min="1" max="1" width="22.26953125" customWidth="1"/>
    <col min="2" max="2" width="54" customWidth="1"/>
    <col min="3" max="3" width="11.6328125" customWidth="1"/>
  </cols>
  <sheetData>
    <row r="1" spans="1:5" x14ac:dyDescent="0.35">
      <c r="A1" t="str">
        <f>"User class"</f>
        <v>User class</v>
      </c>
      <c r="B1" t="str">
        <f>""</f>
        <v/>
      </c>
      <c r="C1" t="str">
        <f>"0-5km"</f>
        <v>0-5km</v>
      </c>
      <c r="D1" t="str">
        <f>"5-10km"</f>
        <v>5-10km</v>
      </c>
      <c r="E1" t="s">
        <v>0</v>
      </c>
    </row>
    <row r="2" spans="1:5" x14ac:dyDescent="0.35">
      <c r="A2" t="str">
        <f>"High VOTT"</f>
        <v>High VOTT</v>
      </c>
      <c r="B2" t="str">
        <f>"SAV demand share"</f>
        <v>SAV demand share</v>
      </c>
      <c r="C2" t="str">
        <f>"46.90%"</f>
        <v>46.90%</v>
      </c>
      <c r="D2" t="str">
        <f>"50.23%"</f>
        <v>50.23%</v>
      </c>
      <c r="E2" t="str">
        <f>"59.22%"</f>
        <v>59.22%</v>
      </c>
    </row>
    <row r="3" spans="1:5" x14ac:dyDescent="0.35">
      <c r="A3" t="str">
        <f>"~"</f>
        <v>~</v>
      </c>
      <c r="B3" t="str">
        <f>"Average price per trip"</f>
        <v>Average price per trip</v>
      </c>
      <c r="C3" t="str">
        <f>"8.04"</f>
        <v>8.04</v>
      </c>
      <c r="D3" t="str">
        <f>"12.32"</f>
        <v>12.32</v>
      </c>
      <c r="E3" t="str">
        <f>"20.81"</f>
        <v>20.81</v>
      </c>
    </row>
    <row r="4" spans="1:5" x14ac:dyDescent="0.35">
      <c r="A4" t="str">
        <f>"~"</f>
        <v>~</v>
      </c>
      <c r="B4" t="str">
        <f>"Average travel time-related cost per trip for using an SAV"</f>
        <v>Average travel time-related cost per trip for using an SAV</v>
      </c>
      <c r="C4" t="str">
        <f>"0.99"</f>
        <v>0.99</v>
      </c>
      <c r="D4" t="str">
        <f>"1.79"</f>
        <v>1.79</v>
      </c>
      <c r="E4" t="str">
        <f>"2.70"</f>
        <v>2.70</v>
      </c>
    </row>
    <row r="5" spans="1:5" x14ac:dyDescent="0.35">
      <c r="A5" t="str">
        <f>"~"</f>
        <v>~</v>
      </c>
      <c r="B5" t="str">
        <f>"Average travel time-related cost per trip for using a bicycle"</f>
        <v>Average travel time-related cost per trip for using a bicycle</v>
      </c>
      <c r="C5" t="str">
        <f>"7.53"</f>
        <v>7.53</v>
      </c>
      <c r="D5" t="str">
        <f>"13.82"</f>
        <v>13.82</v>
      </c>
      <c r="E5" t="str">
        <f>"27.03"</f>
        <v>27.03</v>
      </c>
    </row>
    <row r="6" spans="1:5" x14ac:dyDescent="0.35">
      <c r="A6" t="str">
        <f>"Middle VOTT"</f>
        <v>Middle VOTT</v>
      </c>
      <c r="B6" t="str">
        <f>"SAV demand share"</f>
        <v>SAV demand share</v>
      </c>
      <c r="C6" t="str">
        <f>"41.59%"</f>
        <v>41.59%</v>
      </c>
      <c r="D6" t="str">
        <f>"40.93%"</f>
        <v>40.93%</v>
      </c>
      <c r="E6" t="str">
        <f>"40.78%"</f>
        <v>40.78%</v>
      </c>
    </row>
    <row r="7" spans="1:5" x14ac:dyDescent="0.35">
      <c r="A7" t="str">
        <f>"~"</f>
        <v>~</v>
      </c>
      <c r="B7" t="str">
        <f>"Average price per trip"</f>
        <v>Average price per trip</v>
      </c>
      <c r="C7" t="str">
        <f>"8.04"</f>
        <v>8.04</v>
      </c>
      <c r="D7" t="str">
        <f>"12.32"</f>
        <v>12.32</v>
      </c>
      <c r="E7" t="str">
        <f>"20.81"</f>
        <v>20.81</v>
      </c>
    </row>
    <row r="8" spans="1:5" x14ac:dyDescent="0.35">
      <c r="A8" t="str">
        <f>"~"</f>
        <v>~</v>
      </c>
      <c r="B8" t="str">
        <f>"Average travel time-related cost per trip for using an SAV"</f>
        <v>Average travel time-related cost per trip for using an SAV</v>
      </c>
      <c r="C8" t="str">
        <f>"0.76"</f>
        <v>0.76</v>
      </c>
      <c r="D8" t="str">
        <f>"1.36"</f>
        <v>1.36</v>
      </c>
      <c r="E8" t="str">
        <f>"1.98"</f>
        <v>1.98</v>
      </c>
    </row>
    <row r="9" spans="1:5" x14ac:dyDescent="0.35">
      <c r="A9" t="str">
        <f>"~"</f>
        <v>~</v>
      </c>
      <c r="B9" t="str">
        <f>"Average travel time-related cost per trip for using a bicycle"</f>
        <v>Average travel time-related cost per trip for using a bicycle</v>
      </c>
      <c r="C9" t="str">
        <f>"5.23"</f>
        <v>5.23</v>
      </c>
      <c r="D9" t="str">
        <f>"9.63"</f>
        <v>9.63</v>
      </c>
      <c r="E9" t="str">
        <f>"18.78"</f>
        <v>18.78</v>
      </c>
    </row>
    <row r="10" spans="1:5" x14ac:dyDescent="0.35">
      <c r="A10" t="str">
        <f>"Low VOTT"</f>
        <v>Low VOTT</v>
      </c>
      <c r="B10" t="str">
        <f>"SAV demand share"</f>
        <v>SAV demand share</v>
      </c>
      <c r="C10" t="str">
        <f>"40.00%"</f>
        <v>40.00%</v>
      </c>
      <c r="D10" t="str">
        <f>"37.33%"</f>
        <v>37.33%</v>
      </c>
      <c r="E10" t="str">
        <f>"33.33%"</f>
        <v>33.33%</v>
      </c>
    </row>
    <row r="11" spans="1:5" x14ac:dyDescent="0.35">
      <c r="A11" t="str">
        <f>"~"</f>
        <v>~</v>
      </c>
      <c r="B11" t="str">
        <f>"Average price per trip"</f>
        <v>Average price per trip</v>
      </c>
      <c r="C11" t="str">
        <f>"8.04"</f>
        <v>8.04</v>
      </c>
      <c r="D11" t="str">
        <f>"12.32"</f>
        <v>12.32</v>
      </c>
      <c r="E11" t="str">
        <f>"20.81"</f>
        <v>20.81</v>
      </c>
    </row>
    <row r="12" spans="1:5" x14ac:dyDescent="0.35">
      <c r="A12" t="str">
        <f>"~"</f>
        <v>~</v>
      </c>
      <c r="B12" t="str">
        <f>"Average travel time-related cost per trip for using an SAV"</f>
        <v>Average travel time-related cost per trip for using an SAV</v>
      </c>
      <c r="C12" t="str">
        <f>"0.62"</f>
        <v>0.62</v>
      </c>
      <c r="D12" t="str">
        <f>"1.07"</f>
        <v>1.07</v>
      </c>
      <c r="E12" t="str">
        <f>"1.75"</f>
        <v>1.75</v>
      </c>
    </row>
    <row r="13" spans="1:5" x14ac:dyDescent="0.35">
      <c r="A13" t="str">
        <f>"~"</f>
        <v>~</v>
      </c>
      <c r="B13" t="str">
        <f>"Average travel time-related cost per trip for using a bicycle"</f>
        <v>Average travel time-related cost per trip for using a bicycle</v>
      </c>
      <c r="C13" t="str">
        <f>"4.27"</f>
        <v>4.27</v>
      </c>
      <c r="D13" t="str">
        <f>"7.85"</f>
        <v>7.85</v>
      </c>
      <c r="E13" t="str">
        <f>"15.31"</f>
        <v>15.31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0A365-0649-40AA-ABCB-B19998FEFE16}">
  <dimension ref="A1:N19"/>
  <sheetViews>
    <sheetView workbookViewId="0">
      <selection sqref="A1:N19"/>
    </sheetView>
  </sheetViews>
  <sheetFormatPr defaultRowHeight="14.5" x14ac:dyDescent="0.35"/>
  <cols>
    <col min="1" max="1" width="29.1796875" customWidth="1"/>
    <col min="2" max="2" width="16.7265625" customWidth="1"/>
  </cols>
  <sheetData>
    <row r="1" spans="1:14" x14ac:dyDescent="0.35">
      <c r="A1" t="str">
        <f>"Scenario"</f>
        <v>Scenario</v>
      </c>
      <c r="B1" t="str">
        <f>"S1"</f>
        <v>S1</v>
      </c>
      <c r="C1" t="str">
        <f>"S2"</f>
        <v>S2</v>
      </c>
      <c r="D1" t="str">
        <f>"S3"</f>
        <v>S3</v>
      </c>
      <c r="E1" t="str">
        <f>"S4"</f>
        <v>S4</v>
      </c>
      <c r="F1" t="str">
        <f>"S5"</f>
        <v>S5</v>
      </c>
      <c r="G1" t="str">
        <f>"S6"</f>
        <v>S6</v>
      </c>
      <c r="H1" t="str">
        <f>"S7"</f>
        <v>S7</v>
      </c>
      <c r="I1" t="str">
        <f>"S8"</f>
        <v>S8</v>
      </c>
      <c r="J1" t="str">
        <f>"S9"</f>
        <v>S9</v>
      </c>
      <c r="K1" t="str">
        <f>"S10"</f>
        <v>S10</v>
      </c>
      <c r="L1" t="str">
        <f>"S11"</f>
        <v>S11</v>
      </c>
      <c r="M1" t="str">
        <f>"S12"</f>
        <v>S12</v>
      </c>
      <c r="N1" t="str">
        <f>"S13"</f>
        <v>S13</v>
      </c>
    </row>
    <row r="2" spans="1:14" x14ac:dyDescent="0.35">
      <c r="A2" t="str">
        <f>"Total profit (euro)"</f>
        <v>Total profit (euro)</v>
      </c>
      <c r="B2" t="str">
        <f>"11143.31"</f>
        <v>11143.31</v>
      </c>
      <c r="C2" t="str">
        <f>"3389.07"</f>
        <v>3389.07</v>
      </c>
      <c r="D2" t="str">
        <f>"13904.24"</f>
        <v>13904.24</v>
      </c>
      <c r="E2" t="str">
        <f>"11695.33"</f>
        <v>11695.33</v>
      </c>
      <c r="F2" t="str">
        <f>"7530.06"</f>
        <v>7530.06</v>
      </c>
      <c r="G2" t="str">
        <f>"3653.06"</f>
        <v>3653.06</v>
      </c>
      <c r="H2" t="str">
        <f>"11924.48"</f>
        <v>11924.48</v>
      </c>
      <c r="I2" t="str">
        <f>"4905.77"</f>
        <v>4905.77</v>
      </c>
      <c r="J2" t="str">
        <f>"6437.42"</f>
        <v>6437.42</v>
      </c>
      <c r="K2" t="str">
        <f>"11143.31"</f>
        <v>11143.31</v>
      </c>
      <c r="L2" t="str">
        <f>"3463.92"</f>
        <v>3463.92</v>
      </c>
      <c r="M2" t="str">
        <f>"11152.51"</f>
        <v>11152.51</v>
      </c>
      <c r="N2" t="str">
        <f>"3505.19"</f>
        <v>3505.19</v>
      </c>
    </row>
    <row r="3" spans="1:14" x14ac:dyDescent="0.35">
      <c r="A3" t="str">
        <f>"Total revenue (euro)"</f>
        <v>Total revenue (euro)</v>
      </c>
      <c r="B3" t="str">
        <f>"16663.61"</f>
        <v>16663.61</v>
      </c>
      <c r="C3" t="str">
        <f>"11729.52"</f>
        <v>11729.52</v>
      </c>
      <c r="D3" t="str">
        <f>"16672.16"</f>
        <v>16672.16</v>
      </c>
      <c r="E3" t="str">
        <f>"16601.24"</f>
        <v>16601.24</v>
      </c>
      <c r="F3" t="str">
        <f>"10846.61"</f>
        <v>10846.61</v>
      </c>
      <c r="G3" t="str">
        <f>"15113.09"</f>
        <v>15113.09</v>
      </c>
      <c r="H3" t="str">
        <f>"16836.59"</f>
        <v>16836.59</v>
      </c>
      <c r="I3" t="str">
        <f>"11874.50"</f>
        <v>11874.50</v>
      </c>
      <c r="J3" t="str">
        <f>"15667.01"</f>
        <v>15667.01</v>
      </c>
      <c r="K3" t="str">
        <f>"16663.61"</f>
        <v>16663.61</v>
      </c>
      <c r="L3" t="str">
        <f>"11159.4"</f>
        <v>11159.4</v>
      </c>
      <c r="M3" t="str">
        <f>"16599.62"</f>
        <v>16599.62</v>
      </c>
      <c r="N3" t="str">
        <f>"10691.84"</f>
        <v>10691.84</v>
      </c>
    </row>
    <row r="4" spans="1:14" x14ac:dyDescent="0.35">
      <c r="A4" t="str">
        <f>"Average price per trip (euro)"</f>
        <v>Average price per trip (euro)</v>
      </c>
      <c r="B4" t="str">
        <f>"13.11"</f>
        <v>13.11</v>
      </c>
      <c r="C4" t="str">
        <f>"6.84"</f>
        <v>6.84</v>
      </c>
      <c r="D4" t="str">
        <f>"13.11"</f>
        <v>13.11</v>
      </c>
      <c r="E4" t="str">
        <f>"13.10"</f>
        <v>13.10</v>
      </c>
      <c r="F4" t="str">
        <f>"14.23"</f>
        <v>14.23</v>
      </c>
      <c r="G4" t="str">
        <f>"7.07"</f>
        <v>7.07</v>
      </c>
      <c r="H4" t="str">
        <f>"13.12"</f>
        <v>13.12</v>
      </c>
      <c r="I4" t="str">
        <f>"6.84"</f>
        <v>6.84</v>
      </c>
      <c r="J4" t="str">
        <f>"7.02"</f>
        <v>7.02</v>
      </c>
      <c r="K4" t="str">
        <f>"13.11"</f>
        <v>13.11</v>
      </c>
      <c r="L4" t="str">
        <f>"6.92"</f>
        <v>6.92</v>
      </c>
      <c r="M4" t="str">
        <f>"13.15"</f>
        <v>13.15</v>
      </c>
      <c r="N4" t="str">
        <f>"6.81"</f>
        <v>6.81</v>
      </c>
    </row>
    <row r="5" spans="1:14" x14ac:dyDescent="0.35">
      <c r="A5" t="str">
        <f>"Total depreciation cost (euro)"</f>
        <v>Total depreciation cost (euro)</v>
      </c>
      <c r="B5" t="str">
        <f>"1069.20"</f>
        <v>1069.20</v>
      </c>
      <c r="C5" t="str">
        <f>"1501.20"</f>
        <v>1501.20</v>
      </c>
      <c r="D5" t="str">
        <f>"1009.20"</f>
        <v>1009.20</v>
      </c>
      <c r="E5" t="str">
        <f>"1064.40"</f>
        <v>1064.40</v>
      </c>
      <c r="F5" t="str">
        <f>"673.20"</f>
        <v>673.20</v>
      </c>
      <c r="G5" t="str">
        <f>"1930.80"</f>
        <v>1930.80</v>
      </c>
      <c r="H5" t="str">
        <f>"1077.60"</f>
        <v>1077.60</v>
      </c>
      <c r="I5" t="str">
        <f>"1519.20"</f>
        <v>1519.20</v>
      </c>
      <c r="J5" t="str">
        <f>"2006.40"</f>
        <v>2006.40</v>
      </c>
      <c r="K5" t="str">
        <f>"1069.20"</f>
        <v>1069.20</v>
      </c>
      <c r="L5" t="str">
        <f>"1453.2"</f>
        <v>1453.2</v>
      </c>
      <c r="M5" t="str">
        <f>"1080.0"</f>
        <v>1080.0</v>
      </c>
      <c r="N5" t="str">
        <f>"1377.6"</f>
        <v>1377.6</v>
      </c>
    </row>
    <row r="6" spans="1:14" x14ac:dyDescent="0.35">
      <c r="A6" t="str">
        <f>"Total operational cost (euro)"</f>
        <v>Total operational cost (euro)</v>
      </c>
      <c r="B6" t="str">
        <f>"3962.10"</f>
        <v>3962.10</v>
      </c>
      <c r="C6" t="str">
        <f>"5765.25"</f>
        <v>5765.25</v>
      </c>
      <c r="D6" t="str">
        <f>"1285.72"</f>
        <v>1285.72</v>
      </c>
      <c r="E6" t="str">
        <f>"3841.51"</f>
        <v>3841.51</v>
      </c>
      <c r="F6" t="str">
        <f>"2559.35"</f>
        <v>2559.35</v>
      </c>
      <c r="G6" t="str">
        <f>"7510.24"</f>
        <v>7510.24</v>
      </c>
      <c r="H6" t="str">
        <f>"3834.51"</f>
        <v>3834.51</v>
      </c>
      <c r="I6" t="str">
        <f>"5449.54"</f>
        <v>5449.54</v>
      </c>
      <c r="J6" t="str">
        <f>"7223.18"</f>
        <v>7223.18</v>
      </c>
      <c r="K6" t="str">
        <f>"3962.10"</f>
        <v>3962.10</v>
      </c>
      <c r="L6" t="str">
        <f>"5485.27"</f>
        <v>5485.27</v>
      </c>
      <c r="M6" t="str">
        <f>"3934.11"</f>
        <v>3934.11</v>
      </c>
      <c r="N6" t="str">
        <f>"5245.55"</f>
        <v>5245.55</v>
      </c>
    </row>
    <row r="7" spans="1:14" x14ac:dyDescent="0.35">
      <c r="A7" t="str">
        <f>"Total delay penalty cost (euro)"</f>
        <v>Total delay penalty cost (euro)</v>
      </c>
      <c r="B7" t="str">
        <f>"489"</f>
        <v>489</v>
      </c>
      <c r="C7" t="str">
        <f>"1074"</f>
        <v>1074</v>
      </c>
      <c r="D7" t="str">
        <f>"473"</f>
        <v>473</v>
      </c>
      <c r="E7" t="str">
        <f>"0"</f>
        <v>0</v>
      </c>
      <c r="F7" t="str">
        <f>"84"</f>
        <v>84</v>
      </c>
      <c r="G7" t="str">
        <f>"2019"</f>
        <v>2019</v>
      </c>
      <c r="H7" t="str">
        <f>"0"</f>
        <v>0</v>
      </c>
      <c r="I7" t="str">
        <f>"0"</f>
        <v>0</v>
      </c>
      <c r="J7" t="str">
        <f>"0"</f>
        <v>0</v>
      </c>
      <c r="K7" t="str">
        <f>"489"</f>
        <v>489</v>
      </c>
      <c r="L7" t="str">
        <f>"757.0"</f>
        <v>757.0</v>
      </c>
      <c r="M7" t="str">
        <f>"433"</f>
        <v>433</v>
      </c>
      <c r="N7" t="str">
        <f>"563.5"</f>
        <v>563.5</v>
      </c>
    </row>
    <row r="8" spans="1:14" x14ac:dyDescent="0.35">
      <c r="A8" t="str">
        <f>"Total demand for SAVs"</f>
        <v>Total demand for SAVs</v>
      </c>
      <c r="B8" t="str">
        <f>"1271"</f>
        <v>1271</v>
      </c>
      <c r="C8" t="str">
        <f>"1715"</f>
        <v>1715</v>
      </c>
      <c r="D8" t="str">
        <f>"1272"</f>
        <v>1272</v>
      </c>
      <c r="E8" t="str">
        <f>"1267"</f>
        <v>1267</v>
      </c>
      <c r="F8" t="str">
        <f>"762"</f>
        <v>762</v>
      </c>
      <c r="G8" t="str">
        <f>"2138"</f>
        <v>2138</v>
      </c>
      <c r="H8" t="str">
        <f>"1283"</f>
        <v>1283</v>
      </c>
      <c r="I8" t="str">
        <f>"1737"</f>
        <v>1737</v>
      </c>
      <c r="J8" t="str">
        <f>"2232"</f>
        <v>2232</v>
      </c>
      <c r="K8" t="str">
        <f>"1271"</f>
        <v>1271</v>
      </c>
      <c r="L8" t="str">
        <f>"1690"</f>
        <v>1690</v>
      </c>
      <c r="M8" t="str">
        <f>"1273"</f>
        <v>1273</v>
      </c>
      <c r="N8" t="str">
        <f>"1714.0"</f>
        <v>1714.0</v>
      </c>
    </row>
    <row r="9" spans="1:14" x14ac:dyDescent="0.35">
      <c r="A9" t="str">
        <f>"SAV demand share"</f>
        <v>SAV demand share</v>
      </c>
      <c r="B9" t="str">
        <f>"43.33%"</f>
        <v>43.33%</v>
      </c>
      <c r="C9" t="str">
        <f>"58.47%"</f>
        <v>58.47%</v>
      </c>
      <c r="D9" t="str">
        <f>"43.37%"</f>
        <v>43.37%</v>
      </c>
      <c r="E9" t="str">
        <f>"43.20%"</f>
        <v>43.20%</v>
      </c>
      <c r="F9" t="str">
        <f>"25.98%"</f>
        <v>25.98%</v>
      </c>
      <c r="G9" t="str">
        <f>"72.89%"</f>
        <v>72.89%</v>
      </c>
      <c r="H9" t="str">
        <f>"43.74%"</f>
        <v>43.74%</v>
      </c>
      <c r="I9" t="str">
        <f>"59.22%"</f>
        <v>59.22%</v>
      </c>
      <c r="J9" t="str">
        <f>"76.10%"</f>
        <v>76.10%</v>
      </c>
      <c r="K9" t="str">
        <f>"43.33%"</f>
        <v>43.33%</v>
      </c>
      <c r="L9" t="str">
        <f>"57.62%"</f>
        <v>57.62%</v>
      </c>
      <c r="M9" t="str">
        <f>"43.4%"</f>
        <v>43.4%</v>
      </c>
      <c r="N9" t="str">
        <f>"58.44%"</f>
        <v>58.44%</v>
      </c>
    </row>
    <row r="10" spans="1:14" x14ac:dyDescent="0.35">
      <c r="A10" t="str">
        <f>"Total satisfied trips for SAVs"</f>
        <v>Total satisfied trips for SAVs</v>
      </c>
      <c r="B10" t="str">
        <f>"1271"</f>
        <v>1271</v>
      </c>
      <c r="C10" t="str">
        <f>"1715"</f>
        <v>1715</v>
      </c>
      <c r="D10" t="str">
        <f>"1272"</f>
        <v>1272</v>
      </c>
      <c r="E10" t="str">
        <f>"1267"</f>
        <v>1267</v>
      </c>
      <c r="F10" t="str">
        <f>"762"</f>
        <v>762</v>
      </c>
      <c r="G10" t="str">
        <f>"2138"</f>
        <v>2138</v>
      </c>
      <c r="H10" t="str">
        <f>"1283"</f>
        <v>1283</v>
      </c>
      <c r="I10" t="str">
        <f>"1737"</f>
        <v>1737</v>
      </c>
      <c r="J10" t="str">
        <f>"2232"</f>
        <v>2232</v>
      </c>
      <c r="K10" t="str">
        <f>"1271"</f>
        <v>1271</v>
      </c>
      <c r="L10" t="str">
        <f>"1613"</f>
        <v>1613</v>
      </c>
      <c r="M10" t="str">
        <f>"1262"</f>
        <v>1262</v>
      </c>
      <c r="N10" t="str">
        <f>"1570"</f>
        <v>1570</v>
      </c>
    </row>
    <row r="11" spans="1:14" x14ac:dyDescent="0.35">
      <c r="A11" t="str">
        <f>"Percentage of satisfied demand"</f>
        <v>Percentage of satisfied demand</v>
      </c>
      <c r="B11" t="str">
        <f>"100%"</f>
        <v>100%</v>
      </c>
      <c r="C11" t="str">
        <f>"100%"</f>
        <v>100%</v>
      </c>
      <c r="D11" t="str">
        <f>"100%"</f>
        <v>100%</v>
      </c>
      <c r="E11" t="str">
        <f>"100%"</f>
        <v>100%</v>
      </c>
      <c r="F11" t="str">
        <f>"100%"</f>
        <v>100%</v>
      </c>
      <c r="G11" t="str">
        <f>"100%"</f>
        <v>100%</v>
      </c>
      <c r="H11" t="str">
        <f>"100%"</f>
        <v>100%</v>
      </c>
      <c r="I11" t="str">
        <f>"100%"</f>
        <v>100%</v>
      </c>
      <c r="J11" t="str">
        <f>"100%"</f>
        <v>100%</v>
      </c>
      <c r="K11" t="str">
        <f>"100%"</f>
        <v>100%</v>
      </c>
      <c r="L11" t="str">
        <f>"95.44%"</f>
        <v>95.44%</v>
      </c>
      <c r="M11" t="str">
        <f>"99.14%"</f>
        <v>99.14%</v>
      </c>
      <c r="N11" t="str">
        <f>"91.6%"</f>
        <v>91.6%</v>
      </c>
    </row>
    <row r="12" spans="1:14" x14ac:dyDescent="0.35">
      <c r="A12" t="str">
        <f>"Average delay per trip (minute)"</f>
        <v>Average delay per trip (minute)</v>
      </c>
      <c r="B12" t="str">
        <f>"1.93"</f>
        <v>1.93</v>
      </c>
      <c r="C12" t="str">
        <f>"3.13"</f>
        <v>3.13</v>
      </c>
      <c r="D12" t="str">
        <f>"1.85"</f>
        <v>1.85</v>
      </c>
      <c r="E12" t="str">
        <f>"3.25"</f>
        <v>3.25</v>
      </c>
      <c r="F12" t="str">
        <f>"0.55"</f>
        <v>0.55</v>
      </c>
      <c r="G12" t="str">
        <f>"4.73"</f>
        <v>4.73</v>
      </c>
      <c r="H12" t="str">
        <f>"0"</f>
        <v>0</v>
      </c>
      <c r="I12" t="str">
        <f>"0"</f>
        <v>0</v>
      </c>
      <c r="J12" t="str">
        <f>"0"</f>
        <v>0</v>
      </c>
      <c r="K12" t="str">
        <f>"1.93"</f>
        <v>1.93</v>
      </c>
      <c r="L12" t="str">
        <f>"2.35"</f>
        <v>2.35</v>
      </c>
      <c r="M12" t="str">
        <f>"1.68"</f>
        <v>1.68</v>
      </c>
      <c r="N12" t="str">
        <f>"1.8"</f>
        <v>1.8</v>
      </c>
    </row>
    <row r="13" spans="1:14" x14ac:dyDescent="0.35">
      <c r="A13" t="str">
        <f>"SAVs total travel distance (km)"</f>
        <v>SAVs total travel distance (km)</v>
      </c>
      <c r="B13" t="str">
        <f>"12381.57"</f>
        <v>12381.57</v>
      </c>
      <c r="C13" t="str">
        <f>"18016.39"</f>
        <v>18016.39</v>
      </c>
      <c r="D13" t="str">
        <f>"12857.21"</f>
        <v>12857.21</v>
      </c>
      <c r="E13" t="str">
        <f>"12004.73"</f>
        <v>12004.73</v>
      </c>
      <c r="F13" t="str">
        <f>"7997.96"</f>
        <v>7997.96</v>
      </c>
      <c r="G13" t="str">
        <f>"23469.50"</f>
        <v>23469.50</v>
      </c>
      <c r="H13" t="str">
        <f>"11982.85"</f>
        <v>11982.85</v>
      </c>
      <c r="I13" t="str">
        <f>"17029.80"</f>
        <v>17029.80</v>
      </c>
      <c r="J13" t="str">
        <f>"22572.45"</f>
        <v>22572.45</v>
      </c>
      <c r="K13" t="str">
        <f>"12381.57"</f>
        <v>12381.57</v>
      </c>
      <c r="L13" t="str">
        <f>"17141.48"</f>
        <v>17141.48</v>
      </c>
      <c r="M13" t="str">
        <f>"12294.10"</f>
        <v>12294.10</v>
      </c>
      <c r="N13" t="str">
        <f>"16392.34"</f>
        <v>16392.34</v>
      </c>
    </row>
    <row r="14" spans="1:14" x14ac:dyDescent="0.35">
      <c r="A14" t="str">
        <f>"SAVs total deliver distance (km)"</f>
        <v>SAVs total deliver distance (km)</v>
      </c>
      <c r="B14" t="str">
        <f>"10552.54"</f>
        <v>10552.54</v>
      </c>
      <c r="C14" t="str">
        <f>"15554.53"</f>
        <v>15554.53</v>
      </c>
      <c r="D14" t="str">
        <f>"10807.14"</f>
        <v>10807.14</v>
      </c>
      <c r="E14" t="str">
        <f>"10324.48"</f>
        <v>10324.48</v>
      </c>
      <c r="F14" t="str">
        <f>"6843.03"</f>
        <v>6843.03</v>
      </c>
      <c r="G14" t="str">
        <f>"20266.68"</f>
        <v>20266.68</v>
      </c>
      <c r="H14" t="str">
        <f>"10146.56"</f>
        <v>10146.56</v>
      </c>
      <c r="I14" t="str">
        <f>"14482.82"</f>
        <v>14482.82</v>
      </c>
      <c r="J14" t="str">
        <f>"19248.45"</f>
        <v>19248.45</v>
      </c>
      <c r="K14" t="str">
        <f>"10552.54"</f>
        <v>10552.54</v>
      </c>
      <c r="L14" t="str">
        <f>"14907.98"</f>
        <v>14907.98</v>
      </c>
      <c r="M14" t="str">
        <f>"10523.65"</f>
        <v>10523.65</v>
      </c>
      <c r="N14" t="str">
        <f>"14041.77"</f>
        <v>14041.77</v>
      </c>
    </row>
    <row r="15" spans="1:14" x14ac:dyDescent="0.35">
      <c r="A15" t="str">
        <f>"SAVs total relocate distance (km)"</f>
        <v>SAVs total relocate distance (km)</v>
      </c>
      <c r="B15" t="str">
        <f>"1829.03"</f>
        <v>1829.03</v>
      </c>
      <c r="C15" t="str">
        <f>"2461.86"</f>
        <v>2461.86</v>
      </c>
      <c r="D15" t="str">
        <f>"2050.06"</f>
        <v>2050.06</v>
      </c>
      <c r="E15" t="str">
        <f>"1680.25"</f>
        <v>1680.25</v>
      </c>
      <c r="F15" t="str">
        <f>"1154.92"</f>
        <v>1154.92</v>
      </c>
      <c r="G15" t="str">
        <f>"3202.82"</f>
        <v>3202.82</v>
      </c>
      <c r="H15" t="str">
        <f>"1836.29"</f>
        <v>1836.29</v>
      </c>
      <c r="I15" t="str">
        <f>"2546.98"</f>
        <v>2546.98</v>
      </c>
      <c r="J15" t="str">
        <f>"3324"</f>
        <v>3324</v>
      </c>
      <c r="K15" t="str">
        <f>"1829.03"</f>
        <v>1829.03</v>
      </c>
      <c r="L15" t="str">
        <f>"2233.49"</f>
        <v>2233.49</v>
      </c>
      <c r="M15" t="str">
        <f>"1770.46"</f>
        <v>1770.46</v>
      </c>
      <c r="N15" t="str">
        <f>"2350.57"</f>
        <v>2350.57</v>
      </c>
    </row>
    <row r="16" spans="1:14" x14ac:dyDescent="0.35">
      <c r="A16" t="str">
        <f>"SAVs total delivery time (hour)"</f>
        <v>SAVs total delivery time (hour)</v>
      </c>
      <c r="B16" t="str">
        <f>"339.5"</f>
        <v>339.5</v>
      </c>
      <c r="C16" t="str">
        <f>"512.08"</f>
        <v>512.08</v>
      </c>
      <c r="D16" t="str">
        <f>"338.29"</f>
        <v>338.29</v>
      </c>
      <c r="E16" t="str">
        <f>"366.25"</f>
        <v>366.25</v>
      </c>
      <c r="F16" t="str">
        <f>"201.75"</f>
        <v>201.75</v>
      </c>
      <c r="G16" t="str">
        <f>"715.04"</f>
        <v>715.04</v>
      </c>
      <c r="H16" t="str">
        <f>"301.5"</f>
        <v>301.5</v>
      </c>
      <c r="I16" t="str">
        <f>"427.33"</f>
        <v>427.33</v>
      </c>
      <c r="J16" t="str">
        <f>"567.21"</f>
        <v>567.21</v>
      </c>
      <c r="K16" t="str">
        <f>"339.5"</f>
        <v>339.5</v>
      </c>
      <c r="L16" t="str">
        <f>"467.96"</f>
        <v>467.96</v>
      </c>
      <c r="M16" t="str">
        <f>"334.08"</f>
        <v>334.08</v>
      </c>
      <c r="N16" t="str">
        <f>"435.54"</f>
        <v>435.54</v>
      </c>
    </row>
    <row r="17" spans="1:14" x14ac:dyDescent="0.35">
      <c r="A17" t="str">
        <f>"Average delivery time per trip (minute)"</f>
        <v>Average delivery time per trip (minute)</v>
      </c>
      <c r="B17" t="str">
        <f>"16.03"</f>
        <v>16.03</v>
      </c>
      <c r="C17" t="str">
        <f>"17.93"</f>
        <v>17.93</v>
      </c>
      <c r="D17" t="str">
        <f>"15.95"</f>
        <v>15.95</v>
      </c>
      <c r="E17" t="str">
        <f>"17.35"</f>
        <v>17.35</v>
      </c>
      <c r="F17" t="str">
        <f>"15.88"</f>
        <v>15.88</v>
      </c>
      <c r="G17" t="str">
        <f>"20.08"</f>
        <v>20.08</v>
      </c>
      <c r="H17" t="str">
        <f>"14.1"</f>
        <v>14.1</v>
      </c>
      <c r="I17" t="str">
        <f>"14.75"</f>
        <v>14.75</v>
      </c>
      <c r="J17" t="str">
        <f>"15.25"</f>
        <v>15.25</v>
      </c>
      <c r="K17" t="str">
        <f>"16.03"</f>
        <v>16.03</v>
      </c>
      <c r="L17" t="str">
        <f>"17.4"</f>
        <v>17.4</v>
      </c>
      <c r="M17" t="str">
        <f>"15.88"</f>
        <v>15.88</v>
      </c>
      <c r="N17" t="str">
        <f>"16.65"</f>
        <v>16.65</v>
      </c>
    </row>
    <row r="18" spans="1:14" x14ac:dyDescent="0.35">
      <c r="A18" t="str">
        <f>"Computational time (s)"</f>
        <v>Computational time (s)</v>
      </c>
      <c r="B18" t="str">
        <f>"1986s"</f>
        <v>1986s</v>
      </c>
      <c r="C18" t="str">
        <f>"7846s"</f>
        <v>7846s</v>
      </c>
      <c r="D18" t="str">
        <f>"2398s"</f>
        <v>2398s</v>
      </c>
      <c r="E18" t="str">
        <f>"91545s"</f>
        <v>91545s</v>
      </c>
      <c r="F18" t="str">
        <f>"634s"</f>
        <v>634s</v>
      </c>
      <c r="G18" t="str">
        <f>"86400s"</f>
        <v>86400s</v>
      </c>
      <c r="H18" t="str">
        <f>"337s"</f>
        <v>337s</v>
      </c>
      <c r="I18" t="str">
        <f>"386s"</f>
        <v>386s</v>
      </c>
      <c r="J18" t="str">
        <f>"388s"</f>
        <v>388s</v>
      </c>
      <c r="K18" t="str">
        <f>"9517s"</f>
        <v>9517s</v>
      </c>
      <c r="L18" t="str">
        <f>"60758s"</f>
        <v>60758s</v>
      </c>
      <c r="M18" t="str">
        <f>"6145s"</f>
        <v>6145s</v>
      </c>
      <c r="N18" t="str">
        <f>"11510s"</f>
        <v>11510s</v>
      </c>
    </row>
    <row r="19" spans="1:14" x14ac:dyDescent="0.35">
      <c r="A19" t="str">
        <f>"MIP Gap"</f>
        <v>MIP Gap</v>
      </c>
      <c r="B19" t="str">
        <f>"0"</f>
        <v>0</v>
      </c>
      <c r="C19" t="str">
        <f>"0"</f>
        <v>0</v>
      </c>
      <c r="D19" t="str">
        <f>"0"</f>
        <v>0</v>
      </c>
      <c r="E19" t="str">
        <f>"0"</f>
        <v>0</v>
      </c>
      <c r="F19" t="str">
        <f>"0"</f>
        <v>0</v>
      </c>
      <c r="G19" t="str">
        <f>"0.57%"</f>
        <v>0.57%</v>
      </c>
      <c r="H19" t="str">
        <f>"0"</f>
        <v>0</v>
      </c>
      <c r="I19" t="str">
        <f>"0"</f>
        <v>0</v>
      </c>
      <c r="J19" t="str">
        <f>"0"</f>
        <v>0</v>
      </c>
      <c r="K19" t="str">
        <f>"0"</f>
        <v>0</v>
      </c>
      <c r="L19" t="str">
        <f>"0"</f>
        <v>0</v>
      </c>
      <c r="M19" t="str">
        <f>"0"</f>
        <v>0</v>
      </c>
      <c r="N19" t="str">
        <f>"0"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33B4-DD3C-4F3A-A9AF-BC56BB485E00}">
  <dimension ref="A1:H14"/>
  <sheetViews>
    <sheetView workbookViewId="0">
      <selection activeCell="I20" sqref="I20"/>
    </sheetView>
  </sheetViews>
  <sheetFormatPr defaultRowHeight="14.5" x14ac:dyDescent="0.35"/>
  <cols>
    <col min="1" max="1" width="29" customWidth="1"/>
    <col min="2" max="2" width="14.6328125" customWidth="1"/>
    <col min="3" max="3" width="15" customWidth="1"/>
  </cols>
  <sheetData>
    <row r="1" spans="1:8" x14ac:dyDescent="0.3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</row>
    <row r="2" spans="1:8" x14ac:dyDescent="0.35">
      <c r="A2" s="1" t="s">
        <v>9</v>
      </c>
      <c r="B2" s="1">
        <v>3</v>
      </c>
      <c r="C2" s="1">
        <v>1.28</v>
      </c>
      <c r="D2" s="1">
        <v>0.32</v>
      </c>
      <c r="E2" s="1">
        <v>1</v>
      </c>
      <c r="F2" s="1">
        <v>0.2</v>
      </c>
      <c r="G2" s="1">
        <v>0.1</v>
      </c>
      <c r="H2" s="1" t="s">
        <v>10</v>
      </c>
    </row>
    <row r="3" spans="1:8" x14ac:dyDescent="0.35">
      <c r="A3" s="1" t="s">
        <v>11</v>
      </c>
      <c r="B3" s="1">
        <v>1.5</v>
      </c>
      <c r="C3" s="1">
        <v>0.64</v>
      </c>
      <c r="D3" s="1">
        <v>0.32</v>
      </c>
      <c r="E3" s="1">
        <v>1</v>
      </c>
      <c r="F3" s="1">
        <v>0.2</v>
      </c>
      <c r="G3" s="1">
        <v>0.1</v>
      </c>
      <c r="H3" s="1" t="s">
        <v>10</v>
      </c>
    </row>
    <row r="4" spans="1:8" x14ac:dyDescent="0.35">
      <c r="A4" s="1" t="s">
        <v>12</v>
      </c>
      <c r="B4" s="1">
        <v>3</v>
      </c>
      <c r="C4" s="1">
        <v>1.28</v>
      </c>
      <c r="D4" s="1">
        <v>0.1</v>
      </c>
      <c r="E4" s="1">
        <v>1</v>
      </c>
      <c r="F4" s="1">
        <v>0.2</v>
      </c>
      <c r="G4" s="1">
        <v>0.1</v>
      </c>
      <c r="H4" s="1" t="s">
        <v>10</v>
      </c>
    </row>
    <row r="5" spans="1:8" x14ac:dyDescent="0.35">
      <c r="A5" s="1" t="s">
        <v>13</v>
      </c>
      <c r="B5" s="1">
        <v>3</v>
      </c>
      <c r="C5" s="1">
        <v>1.28</v>
      </c>
      <c r="D5" s="1">
        <v>0.32</v>
      </c>
      <c r="E5" s="1">
        <v>1</v>
      </c>
      <c r="F5" s="1">
        <v>0</v>
      </c>
      <c r="G5" s="1">
        <v>0.1</v>
      </c>
      <c r="H5" s="1" t="s">
        <v>10</v>
      </c>
    </row>
    <row r="6" spans="1:8" x14ac:dyDescent="0.35">
      <c r="A6" s="1" t="s">
        <v>14</v>
      </c>
      <c r="B6" s="1">
        <v>3</v>
      </c>
      <c r="C6" s="1">
        <v>1.28</v>
      </c>
      <c r="D6" s="1">
        <v>0.32</v>
      </c>
      <c r="E6" s="1">
        <v>1</v>
      </c>
      <c r="F6" s="1">
        <v>0.2</v>
      </c>
      <c r="G6" s="1">
        <v>0.5</v>
      </c>
      <c r="H6" s="1" t="s">
        <v>10</v>
      </c>
    </row>
    <row r="7" spans="1:8" x14ac:dyDescent="0.35">
      <c r="A7" s="1" t="s">
        <v>15</v>
      </c>
      <c r="B7" s="1">
        <v>1.5</v>
      </c>
      <c r="C7" s="1">
        <v>0.64</v>
      </c>
      <c r="D7" s="1">
        <v>0.32</v>
      </c>
      <c r="E7" s="1">
        <v>1</v>
      </c>
      <c r="F7" s="1">
        <v>0.2</v>
      </c>
      <c r="G7" s="1">
        <v>0.5</v>
      </c>
      <c r="H7" s="1" t="s">
        <v>10</v>
      </c>
    </row>
    <row r="8" spans="1:8" x14ac:dyDescent="0.35">
      <c r="A8" s="1" t="s">
        <v>16</v>
      </c>
      <c r="B8" s="1">
        <v>3</v>
      </c>
      <c r="C8" s="1">
        <v>1.28</v>
      </c>
      <c r="D8" s="1">
        <v>0.32</v>
      </c>
      <c r="E8" s="1">
        <v>1</v>
      </c>
      <c r="F8" s="1">
        <v>0.2</v>
      </c>
      <c r="G8" s="1">
        <v>0.1</v>
      </c>
      <c r="H8" s="1" t="s">
        <v>10</v>
      </c>
    </row>
    <row r="9" spans="1:8" x14ac:dyDescent="0.35">
      <c r="A9" s="1" t="s">
        <v>17</v>
      </c>
      <c r="B9" s="1">
        <v>1.5</v>
      </c>
      <c r="C9" s="1">
        <v>0.64</v>
      </c>
      <c r="D9" s="1">
        <v>0.32</v>
      </c>
      <c r="E9" s="1">
        <v>1</v>
      </c>
      <c r="F9" s="1">
        <v>0.2</v>
      </c>
      <c r="G9" s="1">
        <v>0.1</v>
      </c>
      <c r="H9" s="1" t="s">
        <v>10</v>
      </c>
    </row>
    <row r="10" spans="1:8" x14ac:dyDescent="0.35">
      <c r="A10" s="1" t="s">
        <v>18</v>
      </c>
      <c r="B10" s="1">
        <v>1.5</v>
      </c>
      <c r="C10" s="1">
        <v>0.64</v>
      </c>
      <c r="D10" s="1">
        <v>0.32</v>
      </c>
      <c r="E10" s="1">
        <v>1</v>
      </c>
      <c r="F10" s="1">
        <v>0.2</v>
      </c>
      <c r="G10" s="1">
        <v>0.5</v>
      </c>
      <c r="H10" s="1" t="s">
        <v>10</v>
      </c>
    </row>
    <row r="11" spans="1:8" x14ac:dyDescent="0.35">
      <c r="A11" s="1" t="s">
        <v>19</v>
      </c>
      <c r="B11" s="1">
        <v>3</v>
      </c>
      <c r="C11" s="1">
        <v>1.28</v>
      </c>
      <c r="D11" s="1">
        <v>0.32</v>
      </c>
      <c r="E11" s="1" t="s">
        <v>10</v>
      </c>
      <c r="F11" s="1">
        <v>0.2</v>
      </c>
      <c r="G11" s="1">
        <v>0.5</v>
      </c>
      <c r="H11" s="1">
        <v>1</v>
      </c>
    </row>
    <row r="12" spans="1:8" x14ac:dyDescent="0.35">
      <c r="A12" s="1" t="s">
        <v>20</v>
      </c>
      <c r="B12" s="1">
        <v>1.5</v>
      </c>
      <c r="C12" s="1">
        <v>0.64</v>
      </c>
      <c r="D12" s="1">
        <v>0.32</v>
      </c>
      <c r="E12" s="1" t="s">
        <v>10</v>
      </c>
      <c r="F12" s="1">
        <v>0.2</v>
      </c>
      <c r="G12" s="1">
        <v>0.5</v>
      </c>
      <c r="H12" s="1">
        <v>1</v>
      </c>
    </row>
    <row r="13" spans="1:8" x14ac:dyDescent="0.35">
      <c r="A13" s="1" t="s">
        <v>21</v>
      </c>
      <c r="B13" s="1">
        <v>3</v>
      </c>
      <c r="C13" s="1">
        <v>1.28</v>
      </c>
      <c r="D13" s="1">
        <v>0.32</v>
      </c>
      <c r="E13" s="1" t="s">
        <v>10</v>
      </c>
      <c r="F13" s="1">
        <v>0.2</v>
      </c>
      <c r="G13" s="1">
        <v>0.5</v>
      </c>
      <c r="H13" s="1">
        <v>0.1</v>
      </c>
    </row>
    <row r="14" spans="1:8" x14ac:dyDescent="0.35">
      <c r="A14" s="1" t="s">
        <v>22</v>
      </c>
      <c r="B14" s="1">
        <v>1.5</v>
      </c>
      <c r="C14" s="1">
        <v>0.64</v>
      </c>
      <c r="D14" s="1">
        <v>0.32</v>
      </c>
      <c r="E14" s="1" t="s">
        <v>10</v>
      </c>
      <c r="F14" s="1">
        <v>0.2</v>
      </c>
      <c r="G14" s="1">
        <v>0.5</v>
      </c>
      <c r="H14" s="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Results_toynetwork</vt:lpstr>
      <vt:lpstr>Results_userclass_triplength</vt:lpstr>
      <vt:lpstr>Optimisation_results</vt:lpstr>
      <vt:lpstr>Scenario_description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2024-12-03T12:03:10Z</dcterms:modified>
</cp:coreProperties>
</file>