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1640" windowHeight="7050" activeTab="5"/>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Group Edges" sheetId="8" r:id="rId8"/>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AD3" i="3"/>
  <c r="AD4" i="3"/>
  <c r="AD5" i="3"/>
  <c r="AD6" i="3"/>
  <c r="AD7" i="3"/>
  <c r="AD8" i="3"/>
  <c r="AD9" i="3"/>
  <c r="AD10" i="3"/>
  <c r="AD11" i="3"/>
  <c r="AD12" i="3"/>
  <c r="AD13" i="3"/>
  <c r="AD14" i="3"/>
  <c r="AD15" i="3"/>
  <c r="AD16" i="3"/>
  <c r="AD17" i="3"/>
  <c r="AD18" i="3"/>
  <c r="AD19" i="3"/>
  <c r="AD20" i="3"/>
  <c r="AD21" i="3"/>
  <c r="AD22" i="3"/>
  <c r="AD23" i="3"/>
  <c r="AD24" i="3"/>
  <c r="AD25" i="3"/>
  <c r="AD26" i="3"/>
  <c r="AD27" i="3"/>
  <c r="AD28" i="3"/>
  <c r="AD29" i="3"/>
  <c r="AD30" i="3"/>
  <c r="AD31" i="3"/>
  <c r="AD32" i="3"/>
  <c r="AD33" i="3"/>
  <c r="AD34" i="3"/>
  <c r="AD35" i="3"/>
  <c r="AD36" i="3"/>
  <c r="C2" i="6"/>
  <c r="C3" i="6"/>
  <c r="C4" i="6"/>
  <c r="C5" i="6"/>
  <c r="C6" i="6"/>
  <c r="C7" i="6"/>
  <c r="C8" i="6"/>
  <c r="C9" i="6"/>
  <c r="C10" i="6"/>
  <c r="C11" i="6"/>
  <c r="C12" i="6"/>
  <c r="C13" i="6"/>
  <c r="C14" i="6"/>
  <c r="C15" i="6"/>
  <c r="C16" i="6"/>
  <c r="C17" i="6"/>
  <c r="C18" i="6"/>
  <c r="C19" i="6"/>
  <c r="C20" i="6"/>
  <c r="C21" i="6"/>
  <c r="C22" i="6"/>
  <c r="C23" i="6"/>
  <c r="C24" i="6"/>
  <c r="C25" i="6"/>
  <c r="C26" i="6"/>
  <c r="C27" i="6"/>
  <c r="C28" i="6"/>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84" i="7"/>
  <c r="B83" i="7"/>
  <c r="B70" i="7"/>
  <c r="B69" i="7"/>
  <c r="B100" i="7"/>
  <c r="B99" i="7"/>
  <c r="J57" i="7"/>
  <c r="K57" i="7" s="1"/>
  <c r="J2" i="7"/>
  <c r="B97" i="7" s="1"/>
  <c r="B86" i="7"/>
  <c r="B85" i="7"/>
  <c r="H57" i="7"/>
  <c r="I57" i="7" s="1"/>
  <c r="H2" i="7"/>
  <c r="B72" i="7"/>
  <c r="B71" i="7"/>
  <c r="F57" i="7"/>
  <c r="G57" i="7" s="1"/>
  <c r="F2" i="7"/>
  <c r="B58" i="7"/>
  <c r="B57" i="7"/>
  <c r="T57" i="7"/>
  <c r="T2" i="7"/>
  <c r="B154" i="7" l="1"/>
  <c r="B112" i="7"/>
  <c r="B98" i="7"/>
  <c r="B126" i="7"/>
  <c r="B14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D2" i="7"/>
  <c r="B55" i="7" s="1"/>
  <c r="U57" i="7"/>
  <c r="E57" i="7" l="1"/>
  <c r="B56" i="7"/>
  <c r="P40" i="7"/>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<sst xmlns="http://schemas.openxmlformats.org/spreadsheetml/2006/main" count="425" uniqueCount="225">
  <si>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</si>
  <si>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</si>
  <si>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</si>
  <si>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</si>
  <si>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</si>
  <si>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</si>
  <si>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</si>
  <si>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</si>
  <si>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</si>
  <si>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</si>
  <si>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</si>
  <si>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</si>
  <si>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</si>
  <si>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</si>
  <si>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</si>
  <si>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</si>
  <si>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</si>
  <si>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</si>
  <si>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</si>
  <si>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</si>
  <si>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</si>
  <si>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</si>
  <si>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</si>
  <si>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</si>
  <si>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</si>
  <si>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</si>
  <si>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</si>
  <si>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</si>
  <si>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</si>
  <si>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</si>
  <si>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</si>
  <si>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</si>
  <si>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</si>
  <si>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</si>
  <si>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</si>
  <si>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</si>
  <si>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</si>
  <si>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</si>
  <si>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</si>
  <si>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</si>
  <si>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</si>
  <si>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</si>
  <si>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</si>
  <si>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</si>
  <si>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</si>
  <si>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</si>
  <si>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</si>
  <si>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</si>
  <si>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</si>
  <si>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</si>
  <si>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</si>
  <si>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</si>
  <si>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</si>
  <si>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</si>
  <si>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</si>
  <si>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</si>
  <si>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</si>
  <si>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</si>
  <si>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</si>
  <si>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</si>
  <si>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</si>
  <si>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</si>
  <si>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</si>
  <si>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</si>
  <si>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</si>
  <si>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</si>
  <si>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</si>
  <si>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</si>
  <si>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</si>
  <si>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</si>
  <si>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</si>
  <si>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</si>
  <si>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</si>
  <si>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</si>
  <si>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</si>
  <si>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</si>
  <si>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</si>
  <si>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</si>
  <si>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</si>
  <si>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</si>
  <si>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</si>
  <si>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</si>
  <si>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</si>
  <si>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</si>
  <si>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</si>
  <si>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</si>
  <si>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</si>
  <si>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</si>
  <si>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</si>
  <si>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</si>
  <si>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</si>
  <si>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</si>
  <si>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</si>
  <si>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</si>
  <si>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</si>
  <si>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</si>
  <si>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</si>
  <si>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</si>
  <si>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</si>
  <si>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</si>
  <si>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</si>
  <si>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</si>
  <si>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</si>
  <si>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</si>
  <si>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</si>
  <si>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</si>
  <si>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</si>
  <si>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</si>
  <si>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</si>
  <si>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</si>
  <si>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</si>
  <si>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</si>
  <si>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</si>
  <si>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</si>
  <si>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</si>
  <si>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</si>
  <si>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</si>
  <si>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</si>
  <si>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</si>
  <si>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</si>
  <si>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</si>
  <si>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</si>
  <si>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</si>
  <si>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</si>
  <si>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</si>
  <si>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</si>
  <si>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</si>
  <si>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</si>
  <si>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</si>
  <si>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</si>
  <si>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</si>
  <si>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</si>
  <si>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</si>
  <si>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</si>
  <si>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</si>
  <si>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</si>
  <si>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</si>
  <si>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</si>
  <si>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</si>
  <si>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</si>
  <si>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</si>
  <si>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</si>
  <si>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</si>
  <si>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</si>
  <si>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</si>
  <si>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</si>
  <si>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</si>
  <si>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</si>
  <si>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</si>
  <si>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</si>
  <si>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</si>
  <si>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</si>
  <si>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</si>
  <si>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</si>
  <si>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</si>
  <si>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</si>
  <si>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</si>
  <si>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</si>
  <si>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</si>
  <si>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</si>
  <si>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</si>
  <si>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</si>
  <si>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</si>
  <si>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</si>
  <si>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</si>
  <si>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</si>
  <si>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</si>
  <si>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</si>
  <si>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</si>
  <si>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</si>
  <si>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</si>
  <si>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</si>
  <si>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</si>
  <si>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</si>
  <si>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</si>
  <si>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Argentina</t>
  </si>
  <si>
    <t>Chile</t>
  </si>
  <si>
    <t>Germany</t>
  </si>
  <si>
    <t>Australia</t>
  </si>
  <si>
    <t>New Zealand</t>
  </si>
  <si>
    <t>Belgium</t>
  </si>
  <si>
    <t>Singapore</t>
  </si>
  <si>
    <t>United States</t>
  </si>
  <si>
    <t>Canada</t>
  </si>
  <si>
    <t>France</t>
  </si>
  <si>
    <t>Hong Kong</t>
  </si>
  <si>
    <t>Italy</t>
  </si>
  <si>
    <t>Panama</t>
  </si>
  <si>
    <t>United Kingdom</t>
  </si>
  <si>
    <t>Spain</t>
  </si>
  <si>
    <t>China</t>
  </si>
  <si>
    <t>Netherlands</t>
  </si>
  <si>
    <t>Norway</t>
  </si>
  <si>
    <t>Sweden</t>
  </si>
  <si>
    <t>Greece</t>
  </si>
  <si>
    <t>Japan</t>
  </si>
  <si>
    <t>Taiwan</t>
  </si>
  <si>
    <t>Israel</t>
  </si>
  <si>
    <t>Luxembourg</t>
  </si>
  <si>
    <t>Montenegro</t>
  </si>
  <si>
    <t>Serbia</t>
  </si>
  <si>
    <t>South Korea</t>
  </si>
  <si>
    <t>EDGE WEIGHT</t>
  </si>
  <si>
    <t>Autofill Workbook Results</t>
  </si>
  <si>
    <t>Graph History</t>
  </si>
  <si>
    <t>Workbook Settings 2</t>
  </si>
  <si>
    <t>Graph Type</t>
  </si>
  <si>
    <t>Modularity</t>
  </si>
  <si>
    <t>NodeXL Version</t>
  </si>
  <si>
    <t>Not Applicable</t>
  </si>
  <si>
    <t>1.0.1.413</t>
  </si>
  <si>
    <t>G1</t>
  </si>
  <si>
    <t>G2</t>
  </si>
  <si>
    <t>0, 12, 96</t>
  </si>
  <si>
    <t>0, 136, 227</t>
  </si>
  <si>
    <t>Vertex Group</t>
  </si>
  <si>
    <t>Vertex 1 Group</t>
  </si>
  <si>
    <t>Vertex 2 Group</t>
  </si>
  <si>
    <t>&lt;?xml version="1.0" encoding="utf-8"?&gt;_x000D_
&lt;configuration&gt;_x000D_
  &lt;configSections&gt;_x000D_
    &lt;sectionGroup name="userSettings" type="System.Configuration.UserSettingsGroup, System, Version=2.0.0.0, Culture=neutral, PublicKeyToken=b77a5c561934e089"&gt;_x000D_
      &lt;section name="GroupUserSettings" type="System.Configuration.ClientSettingsSection, System, Version=2.0.0.0, Culture=neutral, PublicKeyToken=b77a5c561934e089" allowExeDefinition="MachineToLocalUser" requirePermission="false" /&gt;_x000D_
      &lt;section name="LayoutUserSettings"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&lt;GroupUserSettings&gt;_x000D_
      &lt;setting name="ReadGroups" serializeAs="String"&gt;_x000D_
        &lt;value&gt;True&lt;/value&gt;_x000D_
      &lt;/setting&gt;_x000D_
    &lt;/GroupUserSettings&gt;_x000D_
    &lt;LayoutUserSettings&gt;_x000D_
      &lt;setting name="Layout" serializeAs="String"&gt;_x000D_
        &lt;value&gt;Circle&lt;/value&gt;_x000D_
      &lt;/setting&gt;_x000D_
      &lt;setting name="FruchtermanReingoldIterations" serializeAs="String"&gt;_x000D_
        &lt;value&gt;10&lt;/value&gt;_x000D_
      &lt;/setting&gt;_x000D_
      &lt;setting name="IntergroupEdgeStyle" serializeAs="String"&gt;_x000D_
        &lt;value&gt;Show&lt;/value&gt;_x000D_
      &lt;/setting&gt;_x000D_
      &lt;setting name="FruchtermanReingoldC" serializeAs="String"&gt;_x000D_
        &lt;value&gt;3&lt;/value&gt;_x000D_
      &lt;/setting&gt;_x000D_
      &lt;setting name="BoxLayoutAlgorithm" serializeAs="String"&gt;_x000D_
        &lt;value&gt;Treemap&lt;/value&gt;_x000D_
      &lt;/setting&gt;_x000D_
      &lt;setting name="ImproveLayoutOfGroups" serializeAs="String"&gt;_x000D_
        &lt;value&gt;True&lt;/value&gt;_x000D_
      &lt;/setting&gt;_x000D_
      &lt;setting name="LayoutStyle" serializeAs="String"&gt;_x000D_
        &lt;value&gt;UseGroups&lt;/value&gt;_x000D_
      &lt;/setting&gt;_x000D_
      &lt;setting name="GroupRectanglePenWidth" serializeAs="String"&gt;_x000D_
        &lt;value&gt;1&lt;/value&gt;_x000D_
      &lt;/setting&gt;_x000D_
      &lt;setting name="Margin" serializeAs="String"&gt;_x000D_
        &lt;value&gt;6&lt;/value&gt;_x000D_
      &lt;/setting&gt;_x000D_
    &lt;/LayoutUserSettings&gt;_x000D_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&lt;value&gt;Degree, ClusteringCoefficient, BrandesFastCentralities, EigenvectorCentrality, PageRank, OverallMetrics, GroupMetrics, TopNBy, Words, EdgeCreation, TimeSeries, Paths, NetworkTopItems&lt;/value&gt;_x000D_
      &lt;/setting&gt;_x000D_
    &lt;/GraphMetricUserSettings&gt;_x000D_
    &lt;AutoFillUserSettings3&gt;_x000D_
      &lt;setting name="EdgeWidthSourceColumnName" serializeAs="String"&gt;_x000D_
        &lt;value&gt;EDGE WEIGHT&lt;/value&gt;_x000D_
      &lt;/setting&gt;_x000D_
      &lt;setting name="VertexLayoutOrderSourceColumnName" serializeAs="String"&gt;_x000D_
        &lt;value /&gt;_x000D_
      &lt;/setting&gt;_x000D_
      &lt;setting name="VertexLabelFillColorSourceColumnName" serializeAs="String"&gt;_x000D_
        &lt;value /&gt;_x000D_
      &lt;/setting&gt;_x000D_
      &lt;setting name="VertexPolarRSourceColumnName" serializeAs="String"&gt;_x000D_
        &lt;value /&gt;_x000D_
      &lt;/setting&gt;_x000D_
      &lt;setting name="EdgeStyleSourceColumnName" serializeAs="String"&gt;_x000D_
        &lt;value /&gt;_x000D_
      &lt;/setting&gt;_x000D_
      &lt;setting name="VertexToolTipSourceColumnName" serializeAs="String"&gt;_x000D_
        &lt;value /&gt;_x000D_
      &lt;/setting&gt;_x000D_
      &lt;setting name="GroupCollapsedSourceColumnName" serializeAs="String"&gt;_x000D_
        &lt;value /&gt;_x000D_
      &lt;/setting&gt;_x000D_
      &lt;setting name="VertexShapeSourceColumnName" serializeAs="String"&gt;_x000D_
        &lt;value /&gt;_x000D_
      &lt;/setting&gt;_x000D_
      &lt;setting name="VertexYSourceColumnName" serializeAs="String"&gt;_x000D_
        &lt;value /&gt;_x000D_
      &lt;/setting&gt;_x000D_
      &lt;setting name="VertexColorSourceColumnName" serializeAs="String"&gt;_x000D_
        &lt;value /&gt;_x000D_
      &lt;/setting&gt;_x000D_
      &lt;setting name="VertexLabelPositionSourceColumnName" serializeAs="String"&gt;_x000D_
        &lt;value /&gt;_x000D_
      &lt;/setting&gt;_x000D_
      &lt;setting name="EdgeVisibilitySourceColumnName" serializeAs="String"&gt;_x000D_
        &lt;value /&gt;_x000D_
      &lt;/setting&gt;_x000D_
      &lt;setting name="EdgeLabelSourceColumnName" serializeAs="String"&gt;_x000D_
        &lt;value /&gt;_x000D_
      &lt;/setting&gt;_x000D_
      &lt;setting name="Vert</t>
  </si>
  <si>
    <t>exVisibilitySourceColumnName" serializeAs="String"&gt;_x000D_
        &lt;value /&gt;_x000D_
      &lt;/setting&gt;_x000D_
      &lt;setting name="GroupLabelSourceColumnName" serializeAs="String"&gt;_x000D_
        &lt;value /&gt;_x000D_
      &lt;/setting&gt;_x000D_
      &lt;setting name="VertexAlphaSourceColumnName" serializeAs="String"&gt;_x000D_
        &lt;value /&gt;_x000D_
      &lt;/setting&gt;_x000D_
      &lt;setting name="VertexRadiusSourceColumnName" serializeAs="String"&gt;_x000D_
        &lt;value&gt;Degree&lt;/value&gt;_x000D_
      &lt;/setting&gt;_x000D_
      &lt;setting name="EdgeColorSourceColumnName" serializeAs="String"&gt;_x000D_
        &lt;value /&gt;_x000D_
      &lt;/setting&gt;_x000D_
      &lt;setting name="VertexLabelSourceColumnName" serializeAs="String"&gt;_x000D_
        &lt;value /&gt;_x000D_
      &lt;/setting&gt;_x000D_
      &lt;setting name="VertexPolarAngleSourceColumnName" serializeAs="String"&gt;_x000D_
        &lt;value /&gt;_x000D_
      &lt;/setting&gt;_x000D_
      &lt;setting name="EdgeAlphaSourceColumnName" serializeAs="String"&gt;_x000D_
        &lt;value /&gt;_x000D_
      &lt;/setting&gt;_x000D_
      &lt;setting name="VertexXSourceColumnName" serializeAs="String"&gt;_x000D_
        &lt;value /&gt;_x000D_
      &lt;/setting&gt;_x000D_
      &lt;setting name="VertexColorDetails" serializeAs="String"&gt;_x000D_
        &lt;value&gt;False	False	0	10	241, 137, 4	46, 7, 195	False	False	True&lt;/value&gt;_x000D_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serializeAs="String"&gt;_x000D_
        &lt;value&gt;GreaterThan	0	Yes	No&lt;/value&gt;_x000D_
      &lt;/setting&gt;_x000D_
      &lt;setting name="EdgeWidthDetails" serializeAs="String"&gt;_x000D_
        &lt;value&gt;False	False	1	10	1	10	False	False&lt;/value&gt;_x000D_
      &lt;/setting&gt;_x000D_
      &lt;setting name="VertexPolarRDetails" serializeAs="String"&gt;_x000D_
        &lt;value&gt;False	False	0	0	0	1	False	False&lt;/value&gt;_x000D_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name="VertexRadiusDetails" serializeAs="String"&gt;_x000D_
        &lt;value&gt;False	False	1	10	1.5	10	False	False&lt;/value&gt;_x000D_
      &lt;/setting&gt;_x000D_
      &lt;setting name="VertexXDetails" serializeAs="String"&gt;_x000D_
        &lt;value&gt;False	False	0	0	0	9999	False	False&lt;/value&gt;_x000D_
      &lt;/setting&gt;_x000D_
      &lt;setting name="EdgeAlphaDetails" serializeAs="String"&gt;_x000D_
        &lt;value&gt;False	False	0	100	10	100	False	False&lt;/value&gt;_x000D_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</si>
  <si>
    <t>LayoutAlgorithm░The graph was laid out using the Circle layout algorithm.▓GraphDirectedness░The graph is undirected.▓GroupingDescription░The graph's vertices were grouped by connected component.</t>
  </si>
  <si>
    <t>Group 1</t>
  </si>
  <si>
    <t>Group 2</t>
  </si>
  <si>
    <t>Edges</t>
  </si>
  <si>
    <t>▓0▓0▓0▓True▓Black▓Black▓▓EDGE WEIGHT▓1▓13▓0▓1▓10▓False▓▓0▓0▓0▓0▓0▓False▓▓0▓0▓0▓True▓Black▓Black▓▓Degree▓1▓10▓0▓1.5▓10▓False▓▓0▓0▓0▓0▓0▓False▓▓0▓0▓0▓0▓0▓False▓▓0▓0▓0▓0▓0▓False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</si>
</sst>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3"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sz val="10"/>
      <color indexed="8"/>
      <name val="Arial"/>
      <family val="2"/>
    </font>
    <font>
      <sz val="11"/>
      <color indexed="8"/>
      <name val="Calibri"/>
      <family val="2"/>
    </font>
  </fonts>
  <fills count="11">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CC"/>
      </patternFill>
    </fill>
  </fills>
  <borders count="16">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s>
  <cellStyleXfs count="12">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5" fillId="10" borderId="11" applyNumberFormat="0" applyFont="0" applyAlignment="0" applyProtection="0"/>
    <xf numFmtId="0" fontId="1" fillId="0" borderId="12" applyNumberFormat="0" applyFill="0" applyAlignment="0" applyProtection="0"/>
    <xf numFmtId="0" fontId="11" fillId="0" borderId="0"/>
  </cellStyleXfs>
  <cellXfs count="122">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4" fontId="10" fillId="9" borderId="5" xfId="0" applyNumberFormat="1" applyFont="1" applyFill="1" applyBorder="1"/>
    <xf numFmtId="0" fontId="10" fillId="9" borderId="6" xfId="0" applyNumberFormat="1" applyFont="1" applyFill="1" applyBorder="1"/>
    <xf numFmtId="0" fontId="10" fillId="9" borderId="5" xfId="0" applyNumberFormat="1" applyFont="1" applyFill="1" applyBorder="1"/>
    <xf numFmtId="0" fontId="12" fillId="0" borderId="13" xfId="11" applyFont="1" applyFill="1" applyBorder="1" applyAlignment="1">
      <alignment wrapText="1"/>
    </xf>
    <xf numFmtId="0" fontId="1" fillId="0" borderId="12" xfId="10" applyNumberFormat="1" applyFill="1" applyAlignment="1">
      <alignment wrapText="1"/>
    </xf>
    <xf numFmtId="164" fontId="1" fillId="0" borderId="12" xfId="10" applyNumberFormat="1" applyFill="1" applyAlignment="1">
      <alignment wrapText="1"/>
    </xf>
    <xf numFmtId="0" fontId="10" fillId="0" borderId="12" xfId="10" applyNumberFormat="1" applyFont="1" applyFill="1" applyAlignment="1">
      <alignment wrapText="1"/>
    </xf>
    <xf numFmtId="1" fontId="1" fillId="0" borderId="12" xfId="10" applyNumberFormat="1" applyFill="1" applyAlignment="1">
      <alignment wrapText="1"/>
    </xf>
    <xf numFmtId="49" fontId="0" fillId="10" borderId="11" xfId="9" applyNumberFormat="1" applyFont="1" applyAlignment="1">
      <alignment wrapText="1"/>
    </xf>
    <xf numFmtId="0" fontId="0" fillId="10" borderId="11" xfId="9" applyNumberFormat="1" applyFont="1" applyAlignment="1">
      <alignment wrapText="1"/>
    </xf>
    <xf numFmtId="0" fontId="10" fillId="0" borderId="0" xfId="3" applyNumberFormat="1" applyFont="1" applyAlignment="1">
      <alignment wrapText="1"/>
    </xf>
    <xf numFmtId="0" fontId="12" fillId="0" borderId="13" xfId="11" applyFont="1" applyFill="1" applyBorder="1" applyAlignment="1">
      <alignment horizontal="right" wrapText="1"/>
    </xf>
    <xf numFmtId="0" fontId="5" fillId="5" borderId="1" xfId="8" applyNumberFormat="1" applyAlignment="1"/>
    <xf numFmtId="165" fontId="0" fillId="0" borderId="0" xfId="0" applyNumberFormat="1"/>
    <xf numFmtId="166" fontId="0" fillId="0" borderId="0" xfId="0" applyNumberFormat="1"/>
    <xf numFmtId="166" fontId="0" fillId="0" borderId="7" xfId="0" applyNumberFormat="1" applyBorder="1"/>
    <xf numFmtId="1" fontId="10" fillId="0" borderId="2" xfId="0" applyNumberFormat="1" applyFont="1" applyBorder="1" applyAlignment="1"/>
    <xf numFmtId="1" fontId="10" fillId="0" borderId="7" xfId="0" applyNumberFormat="1" applyFont="1" applyBorder="1" applyAlignment="1"/>
    <xf numFmtId="167" fontId="0" fillId="0" borderId="2" xfId="0" applyNumberFormat="1" applyBorder="1" applyAlignment="1"/>
    <xf numFmtId="0" fontId="0" fillId="5" borderId="14" xfId="4" applyNumberFormat="1" applyFont="1" applyBorder="1"/>
    <xf numFmtId="0" fontId="10" fillId="5" borderId="14" xfId="4" applyNumberFormat="1" applyFont="1" applyBorder="1"/>
    <xf numFmtId="49" fontId="6" fillId="6" borderId="14" xfId="6" applyNumberFormat="1" applyBorder="1"/>
    <xf numFmtId="0" fontId="0" fillId="3" borderId="14" xfId="7" applyNumberFormat="1" applyFont="1" applyBorder="1"/>
    <xf numFmtId="0" fontId="10" fillId="2" borderId="14" xfId="1" applyNumberFormat="1" applyFont="1" applyBorder="1"/>
    <xf numFmtId="0" fontId="5" fillId="2" borderId="14" xfId="1" applyNumberFormat="1" applyBorder="1"/>
    <xf numFmtId="49" fontId="0" fillId="0" borderId="0" xfId="3" applyNumberFormat="1" applyFont="1" applyBorder="1" applyAlignment="1"/>
    <xf numFmtId="0" fontId="0" fillId="0" borderId="0" xfId="0" applyAlignment="1"/>
    <xf numFmtId="0" fontId="0" fillId="5" borderId="1" xfId="4" applyNumberFormat="1" applyFont="1" applyAlignment="1"/>
    <xf numFmtId="0" fontId="0" fillId="0" borderId="0" xfId="0" quotePrefix="1" applyAlignment="1"/>
    <xf numFmtId="0" fontId="0" fillId="0" borderId="0" xfId="0" applyNumberFormat="1" applyFont="1" applyAlignment="1">
      <alignment wrapText="1"/>
    </xf>
    <xf numFmtId="49" fontId="0" fillId="0" borderId="13" xfId="0" applyNumberFormat="1" applyBorder="1"/>
    <xf numFmtId="0" fontId="0" fillId="0" borderId="12" xfId="0" applyNumberFormat="1" applyBorder="1" applyAlignment="1">
      <alignment wrapText="1"/>
    </xf>
    <xf numFmtId="164" fontId="0" fillId="0" borderId="12" xfId="0" applyNumberFormat="1" applyBorder="1" applyAlignment="1">
      <alignment wrapText="1"/>
    </xf>
    <xf numFmtId="0" fontId="0" fillId="0" borderId="12" xfId="0" applyNumberFormat="1" applyFont="1" applyBorder="1" applyAlignment="1">
      <alignment wrapText="1"/>
    </xf>
    <xf numFmtId="1" fontId="0" fillId="0" borderId="12" xfId="0" applyNumberFormat="1" applyBorder="1" applyAlignment="1">
      <alignment wrapText="1"/>
    </xf>
    <xf numFmtId="49" fontId="0" fillId="0" borderId="11" xfId="0" applyNumberFormat="1" applyBorder="1" applyAlignment="1">
      <alignment wrapText="1"/>
    </xf>
    <xf numFmtId="0" fontId="0" fillId="0" borderId="11" xfId="0" applyNumberFormat="1" applyBorder="1" applyAlignment="1">
      <alignment wrapText="1"/>
    </xf>
    <xf numFmtId="0" fontId="0" fillId="0" borderId="1" xfId="0" applyNumberFormat="1" applyBorder="1" applyAlignment="1">
      <alignment wrapText="1"/>
    </xf>
    <xf numFmtId="0" fontId="0" fillId="0" borderId="13" xfId="0" applyBorder="1"/>
    <xf numFmtId="49" fontId="0" fillId="0" borderId="0" xfId="0" applyNumberFormat="1" applyBorder="1"/>
    <xf numFmtId="0" fontId="0" fillId="0" borderId="0" xfId="3" applyFont="1" applyAlignment="1"/>
    <xf numFmtId="0" fontId="0" fillId="0" borderId="0" xfId="3" applyFont="1" applyAlignment="1">
      <alignment wrapText="1"/>
    </xf>
    <xf numFmtId="0" fontId="5" fillId="4" borderId="1" xfId="5" applyNumberFormat="1" applyAlignment="1">
      <alignment wrapText="1"/>
    </xf>
    <xf numFmtId="49" fontId="0" fillId="0" borderId="7" xfId="3" applyNumberFormat="1" applyFont="1" applyBorder="1" applyAlignment="1"/>
    <xf numFmtId="0" fontId="0" fillId="0" borderId="2" xfId="0" applyNumberFormat="1" applyFont="1" applyBorder="1"/>
    <xf numFmtId="0" fontId="0" fillId="0" borderId="7" xfId="0" applyNumberFormat="1" applyBorder="1"/>
    <xf numFmtId="0" fontId="0" fillId="0" borderId="0" xfId="0" applyNumberFormat="1" applyFont="1" applyBorder="1"/>
    <xf numFmtId="1" fontId="5" fillId="4" borderId="15" xfId="5" applyNumberFormat="1" applyBorder="1" applyAlignment="1"/>
    <xf numFmtId="167" fontId="5" fillId="4" borderId="15" xfId="5" applyNumberFormat="1" applyBorder="1" applyAlignment="1"/>
  </cellXfs>
  <cellStyles count="12">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1"/>
    <cellStyle name="Note" xfId="9" builtinId="10"/>
    <cellStyle name="Total" xfId="10" builtinId="25"/>
  </cellStyles>
  <dxfs count="104">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66" formatCode="#,##0.00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numFmt numFmtId="30" formatCode="@"/>
    </dxf>
    <dxf>
      <numFmt numFmtId="30" formatCode="@"/>
    </dxf>
    <dxf>
      <font>
        <b val="0"/>
        <i val="0"/>
        <strike val="0"/>
        <condense val="0"/>
        <extend val="0"/>
        <outline val="0"/>
        <shadow val="0"/>
        <u val="none"/>
        <vertAlign val="baseline"/>
        <sz val="11"/>
        <color theme="1"/>
        <name val="Calibri"/>
        <scheme val="minor"/>
      </font>
      <numFmt numFmtId="0" formatCode="General"/>
    </dxf>
    <dxf>
      <numFmt numFmtId="30" formatCode="@"/>
    </dxf>
    <dxf>
      <alignment horizontal="general" vertical="bottom" textRotation="0" wrapText="1" indent="0" justifyLastLine="0" shrinkToFit="0" readingOrder="0"/>
    </dxf>
    <dxf>
      <numFmt numFmtId="0" formatCode="General"/>
    </dxf>
    <dxf>
      <numFmt numFmtId="0" formatCode="General"/>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30" formatCode="@"/>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03"/>
      <tableStyleElement type="headerRow" dxfId="102"/>
    </tableStyle>
    <tableStyle name="NodeXL Table" pivot="0" count="1">
      <tableStyleElement type="headerRow" dxfId="10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6</c:v>
                </c:pt>
              </c:strCache>
            </c:strRef>
          </c:tx>
          <c:spPr>
            <a:solidFill>
              <a:schemeClr val="accent1"/>
            </a:solidFill>
          </c:spPr>
          <c:invertIfNegative val="0"/>
          <c:cat>
            <c:numRef>
              <c:f>'Overall Metrics'!$D$2:$D$57</c:f>
              <c:numCache>
                <c:formatCode>#,##0.00</c:formatCode>
                <c:ptCount val="56"/>
                <c:pt idx="0">
                  <c:v>1</c:v>
                </c:pt>
                <c:pt idx="1">
                  <c:v>1.1636363636363636</c:v>
                </c:pt>
                <c:pt idx="2">
                  <c:v>1.3272727272727272</c:v>
                </c:pt>
                <c:pt idx="3">
                  <c:v>1.4909090909090907</c:v>
                </c:pt>
                <c:pt idx="4">
                  <c:v>1.6545454545454543</c:v>
                </c:pt>
                <c:pt idx="5">
                  <c:v>1.8181818181818179</c:v>
                </c:pt>
                <c:pt idx="6">
                  <c:v>1.9818181818181815</c:v>
                </c:pt>
                <c:pt idx="7">
                  <c:v>2.1454545454545451</c:v>
                </c:pt>
                <c:pt idx="8">
                  <c:v>2.3090909090909086</c:v>
                </c:pt>
                <c:pt idx="9">
                  <c:v>2.4727272727272722</c:v>
                </c:pt>
                <c:pt idx="10">
                  <c:v>2.6363636363636358</c:v>
                </c:pt>
                <c:pt idx="11">
                  <c:v>2.7999999999999994</c:v>
                </c:pt>
                <c:pt idx="12">
                  <c:v>2.963636363636363</c:v>
                </c:pt>
                <c:pt idx="13">
                  <c:v>3.1272727272727265</c:v>
                </c:pt>
                <c:pt idx="14">
                  <c:v>3.2909090909090901</c:v>
                </c:pt>
                <c:pt idx="15">
                  <c:v>3.4545454545454537</c:v>
                </c:pt>
                <c:pt idx="16">
                  <c:v>3.6181818181818173</c:v>
                </c:pt>
                <c:pt idx="17">
                  <c:v>3.7818181818181809</c:v>
                </c:pt>
                <c:pt idx="18">
                  <c:v>3.9454545454545444</c:v>
                </c:pt>
                <c:pt idx="19">
                  <c:v>4.1090909090909085</c:v>
                </c:pt>
                <c:pt idx="20">
                  <c:v>4.2727272727272725</c:v>
                </c:pt>
                <c:pt idx="21">
                  <c:v>4.4363636363636365</c:v>
                </c:pt>
                <c:pt idx="22">
                  <c:v>4.6000000000000005</c:v>
                </c:pt>
                <c:pt idx="23">
                  <c:v>4.7636363636363646</c:v>
                </c:pt>
                <c:pt idx="24">
                  <c:v>4.9272727272727286</c:v>
                </c:pt>
                <c:pt idx="26">
                  <c:v>5.0909090909090926</c:v>
                </c:pt>
                <c:pt idx="38">
                  <c:v>5.2545454545454566</c:v>
                </c:pt>
                <c:pt idx="39">
                  <c:v>5.4181818181818207</c:v>
                </c:pt>
                <c:pt idx="40">
                  <c:v>5.5818181818181847</c:v>
                </c:pt>
                <c:pt idx="41">
                  <c:v>5.7454545454545487</c:v>
                </c:pt>
                <c:pt idx="42">
                  <c:v>5.9090909090909127</c:v>
                </c:pt>
                <c:pt idx="43">
                  <c:v>6.0727272727272767</c:v>
                </c:pt>
                <c:pt idx="44">
                  <c:v>6.2363636363636408</c:v>
                </c:pt>
                <c:pt idx="45">
                  <c:v>6.4000000000000048</c:v>
                </c:pt>
                <c:pt idx="46">
                  <c:v>6.5636363636363688</c:v>
                </c:pt>
                <c:pt idx="47">
                  <c:v>6.7272727272727328</c:v>
                </c:pt>
                <c:pt idx="48">
                  <c:v>6.8909090909090969</c:v>
                </c:pt>
                <c:pt idx="49">
                  <c:v>7.0545454545454609</c:v>
                </c:pt>
                <c:pt idx="50">
                  <c:v>7.2181818181818249</c:v>
                </c:pt>
                <c:pt idx="51">
                  <c:v>7.3818181818181889</c:v>
                </c:pt>
                <c:pt idx="52">
                  <c:v>7.545454545454553</c:v>
                </c:pt>
                <c:pt idx="53">
                  <c:v>7.709090909090917</c:v>
                </c:pt>
                <c:pt idx="54">
                  <c:v>7.872727272727281</c:v>
                </c:pt>
                <c:pt idx="55">
                  <c:v>10</c:v>
                </c:pt>
              </c:numCache>
            </c:numRef>
          </c:cat>
          <c:val>
            <c:numRef>
              <c:f>'Overall Metrics'!$E$2:$E$57</c:f>
              <c:numCache>
                <c:formatCode>General</c:formatCode>
                <c:ptCount val="56"/>
                <c:pt idx="0">
                  <c:v>6</c:v>
                </c:pt>
                <c:pt idx="1">
                  <c:v>0</c:v>
                </c:pt>
                <c:pt idx="2">
                  <c:v>0</c:v>
                </c:pt>
                <c:pt idx="3">
                  <c:v>0</c:v>
                </c:pt>
                <c:pt idx="4">
                  <c:v>0</c:v>
                </c:pt>
                <c:pt idx="5">
                  <c:v>0</c:v>
                </c:pt>
                <c:pt idx="6">
                  <c:v>8</c:v>
                </c:pt>
                <c:pt idx="7">
                  <c:v>0</c:v>
                </c:pt>
                <c:pt idx="8">
                  <c:v>0</c:v>
                </c:pt>
                <c:pt idx="9">
                  <c:v>0</c:v>
                </c:pt>
                <c:pt idx="10">
                  <c:v>0</c:v>
                </c:pt>
                <c:pt idx="11">
                  <c:v>0</c:v>
                </c:pt>
                <c:pt idx="12">
                  <c:v>6</c:v>
                </c:pt>
                <c:pt idx="13">
                  <c:v>0</c:v>
                </c:pt>
                <c:pt idx="14">
                  <c:v>0</c:v>
                </c:pt>
                <c:pt idx="15">
                  <c:v>0</c:v>
                </c:pt>
                <c:pt idx="16">
                  <c:v>0</c:v>
                </c:pt>
                <c:pt idx="17">
                  <c:v>0</c:v>
                </c:pt>
                <c:pt idx="18">
                  <c:v>3</c:v>
                </c:pt>
                <c:pt idx="19">
                  <c:v>0</c:v>
                </c:pt>
                <c:pt idx="20">
                  <c:v>0</c:v>
                </c:pt>
                <c:pt idx="21">
                  <c:v>0</c:v>
                </c:pt>
                <c:pt idx="22">
                  <c:v>0</c:v>
                </c:pt>
                <c:pt idx="23">
                  <c:v>0</c:v>
                </c:pt>
                <c:pt idx="24">
                  <c:v>1</c:v>
                </c:pt>
                <c:pt idx="25">
                  <c:v>-3</c:v>
                </c:pt>
                <c:pt idx="26">
                  <c:v>0</c:v>
                </c:pt>
                <c:pt idx="27">
                  <c:v>0</c:v>
                </c:pt>
                <c:pt idx="28">
                  <c:v>0</c:v>
                </c:pt>
                <c:pt idx="29">
                  <c:v>0</c:v>
                </c:pt>
                <c:pt idx="30">
                  <c:v>0</c:v>
                </c:pt>
                <c:pt idx="31">
                  <c:v>0</c:v>
                </c:pt>
                <c:pt idx="32">
                  <c:v>0</c:v>
                </c:pt>
                <c:pt idx="33">
                  <c:v>0</c:v>
                </c:pt>
                <c:pt idx="34">
                  <c:v>0</c:v>
                </c:pt>
                <c:pt idx="35">
                  <c:v>0</c:v>
                </c:pt>
                <c:pt idx="36">
                  <c:v>-3</c:v>
                </c:pt>
                <c:pt idx="37">
                  <c:v>-3</c:v>
                </c:pt>
                <c:pt idx="38">
                  <c:v>0</c:v>
                </c:pt>
                <c:pt idx="39">
                  <c:v>0</c:v>
                </c:pt>
                <c:pt idx="40">
                  <c:v>0</c:v>
                </c:pt>
                <c:pt idx="41">
                  <c:v>0</c:v>
                </c:pt>
                <c:pt idx="42">
                  <c:v>1</c:v>
                </c:pt>
                <c:pt idx="43">
                  <c:v>0</c:v>
                </c:pt>
                <c:pt idx="44">
                  <c:v>0</c:v>
                </c:pt>
                <c:pt idx="45">
                  <c:v>0</c:v>
                </c:pt>
                <c:pt idx="46">
                  <c:v>0</c:v>
                </c:pt>
                <c:pt idx="47">
                  <c:v>0</c:v>
                </c:pt>
                <c:pt idx="48">
                  <c:v>0</c:v>
                </c:pt>
                <c:pt idx="49">
                  <c:v>0</c:v>
                </c:pt>
                <c:pt idx="50">
                  <c:v>0</c:v>
                </c:pt>
                <c:pt idx="51">
                  <c:v>0</c:v>
                </c:pt>
                <c:pt idx="52">
                  <c:v>0</c:v>
                </c:pt>
                <c:pt idx="53">
                  <c:v>0</c:v>
                </c:pt>
                <c:pt idx="54">
                  <c:v>1</c:v>
                </c:pt>
                <c:pt idx="55">
                  <c:v>1</c:v>
                </c:pt>
              </c:numCache>
            </c:numRef>
          </c:val>
          <c:extLst>
            <c:ext xmlns:c16="http://schemas.microsoft.com/office/drawing/2014/chart" uri="{C3380CC4-5D6E-409C-BE32-E72D297353CC}">
              <c16:uniqueId val="{00000000-5E3E-4822-BD45-CDBD7CC68109}"/>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3916-4263-B4E7-89171BB40C13}"/>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0643-432A-B133-85CB59BE7BA8}"/>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14</c:v>
                </c:pt>
              </c:strCache>
            </c:strRef>
          </c:tx>
          <c:spPr>
            <a:solidFill>
              <a:schemeClr val="accent1"/>
            </a:solidFill>
          </c:spPr>
          <c:invertIfNegative val="0"/>
          <c:cat>
            <c:numRef>
              <c:f>'Overall Metrics'!$J$2:$J$57</c:f>
              <c:numCache>
                <c:formatCode>#,##0.00</c:formatCode>
                <c:ptCount val="56"/>
                <c:pt idx="0">
                  <c:v>0</c:v>
                </c:pt>
                <c:pt idx="1">
                  <c:v>2.9924242363636364</c:v>
                </c:pt>
                <c:pt idx="2">
                  <c:v>5.9848484727272728</c:v>
                </c:pt>
                <c:pt idx="3">
                  <c:v>8.9772727090909097</c:v>
                </c:pt>
                <c:pt idx="4">
                  <c:v>11.969696945454546</c:v>
                </c:pt>
                <c:pt idx="5">
                  <c:v>14.962121181818182</c:v>
                </c:pt>
                <c:pt idx="6">
                  <c:v>17.954545418181819</c:v>
                </c:pt>
                <c:pt idx="7">
                  <c:v>20.946969654545455</c:v>
                </c:pt>
                <c:pt idx="8">
                  <c:v>23.939393890909091</c:v>
                </c:pt>
                <c:pt idx="9">
                  <c:v>26.931818127272727</c:v>
                </c:pt>
                <c:pt idx="10">
                  <c:v>29.924242363636363</c:v>
                </c:pt>
                <c:pt idx="11">
                  <c:v>32.916666599999999</c:v>
                </c:pt>
                <c:pt idx="12">
                  <c:v>35.909090836363639</c:v>
                </c:pt>
                <c:pt idx="13">
                  <c:v>38.901515072727278</c:v>
                </c:pt>
                <c:pt idx="14">
                  <c:v>41.893939309090918</c:v>
                </c:pt>
                <c:pt idx="15">
                  <c:v>44.886363545454557</c:v>
                </c:pt>
                <c:pt idx="16">
                  <c:v>47.878787781818197</c:v>
                </c:pt>
                <c:pt idx="17">
                  <c:v>50.871212018181836</c:v>
                </c:pt>
                <c:pt idx="18">
                  <c:v>53.863636254545476</c:v>
                </c:pt>
                <c:pt idx="19">
                  <c:v>56.856060490909115</c:v>
                </c:pt>
                <c:pt idx="20">
                  <c:v>59.848484727272755</c:v>
                </c:pt>
                <c:pt idx="21">
                  <c:v>62.840908963636394</c:v>
                </c:pt>
                <c:pt idx="22">
                  <c:v>65.833333200000027</c:v>
                </c:pt>
                <c:pt idx="23">
                  <c:v>68.825757436363659</c:v>
                </c:pt>
                <c:pt idx="24">
                  <c:v>71.818181672727292</c:v>
                </c:pt>
                <c:pt idx="26">
                  <c:v>74.810605909090924</c:v>
                </c:pt>
                <c:pt idx="38">
                  <c:v>77.803030145454557</c:v>
                </c:pt>
                <c:pt idx="39">
                  <c:v>80.795454381818189</c:v>
                </c:pt>
                <c:pt idx="40">
                  <c:v>83.787878618181821</c:v>
                </c:pt>
                <c:pt idx="41">
                  <c:v>86.780302854545454</c:v>
                </c:pt>
                <c:pt idx="42">
                  <c:v>89.772727090909086</c:v>
                </c:pt>
                <c:pt idx="43">
                  <c:v>92.765151327272719</c:v>
                </c:pt>
                <c:pt idx="44">
                  <c:v>95.757575563636351</c:v>
                </c:pt>
                <c:pt idx="45">
                  <c:v>98.749999799999983</c:v>
                </c:pt>
                <c:pt idx="46">
                  <c:v>101.74242403636362</c:v>
                </c:pt>
                <c:pt idx="47">
                  <c:v>104.73484827272725</c:v>
                </c:pt>
                <c:pt idx="48">
                  <c:v>107.72727250909088</c:v>
                </c:pt>
                <c:pt idx="49">
                  <c:v>110.71969674545451</c:v>
                </c:pt>
                <c:pt idx="50">
                  <c:v>113.71212098181815</c:v>
                </c:pt>
                <c:pt idx="51">
                  <c:v>116.70454521818178</c:v>
                </c:pt>
                <c:pt idx="52">
                  <c:v>119.69696945454541</c:v>
                </c:pt>
                <c:pt idx="53">
                  <c:v>122.68939369090904</c:v>
                </c:pt>
                <c:pt idx="54">
                  <c:v>125.68181792727268</c:v>
                </c:pt>
                <c:pt idx="55">
                  <c:v>164.58333300000001</c:v>
                </c:pt>
              </c:numCache>
            </c:numRef>
          </c:cat>
          <c:val>
            <c:numRef>
              <c:f>'Overall Metrics'!$K$2:$K$57</c:f>
              <c:numCache>
                <c:formatCode>General</c:formatCode>
                <c:ptCount val="56"/>
                <c:pt idx="0">
                  <c:v>14</c:v>
                </c:pt>
                <c:pt idx="1">
                  <c:v>2</c:v>
                </c:pt>
                <c:pt idx="2">
                  <c:v>0</c:v>
                </c:pt>
                <c:pt idx="3">
                  <c:v>2</c:v>
                </c:pt>
                <c:pt idx="4">
                  <c:v>1</c:v>
                </c:pt>
                <c:pt idx="5">
                  <c:v>1</c:v>
                </c:pt>
                <c:pt idx="6">
                  <c:v>0</c:v>
                </c:pt>
                <c:pt idx="7">
                  <c:v>1</c:v>
                </c:pt>
                <c:pt idx="8">
                  <c:v>0</c:v>
                </c:pt>
                <c:pt idx="9">
                  <c:v>0</c:v>
                </c:pt>
                <c:pt idx="10">
                  <c:v>0</c:v>
                </c:pt>
                <c:pt idx="11">
                  <c:v>0</c:v>
                </c:pt>
                <c:pt idx="12">
                  <c:v>0</c:v>
                </c:pt>
                <c:pt idx="13">
                  <c:v>0</c:v>
                </c:pt>
                <c:pt idx="14">
                  <c:v>2</c:v>
                </c:pt>
                <c:pt idx="15">
                  <c:v>0</c:v>
                </c:pt>
                <c:pt idx="16">
                  <c:v>0</c:v>
                </c:pt>
                <c:pt idx="17">
                  <c:v>0</c:v>
                </c:pt>
                <c:pt idx="18">
                  <c:v>0</c:v>
                </c:pt>
                <c:pt idx="19">
                  <c:v>0</c:v>
                </c:pt>
                <c:pt idx="20">
                  <c:v>0</c:v>
                </c:pt>
                <c:pt idx="21">
                  <c:v>1</c:v>
                </c:pt>
                <c:pt idx="22">
                  <c:v>1</c:v>
                </c:pt>
                <c:pt idx="23">
                  <c:v>0</c:v>
                </c:pt>
                <c:pt idx="24">
                  <c:v>0</c:v>
                </c:pt>
                <c:pt idx="25">
                  <c:v>-2</c:v>
                </c:pt>
                <c:pt idx="26">
                  <c:v>0</c:v>
                </c:pt>
                <c:pt idx="27">
                  <c:v>0</c:v>
                </c:pt>
                <c:pt idx="28">
                  <c:v>0</c:v>
                </c:pt>
                <c:pt idx="29">
                  <c:v>0</c:v>
                </c:pt>
                <c:pt idx="30">
                  <c:v>0</c:v>
                </c:pt>
                <c:pt idx="31">
                  <c:v>0</c:v>
                </c:pt>
                <c:pt idx="32">
                  <c:v>0</c:v>
                </c:pt>
                <c:pt idx="33">
                  <c:v>0</c:v>
                </c:pt>
                <c:pt idx="34">
                  <c:v>0</c:v>
                </c:pt>
                <c:pt idx="35">
                  <c:v>0</c:v>
                </c:pt>
                <c:pt idx="36">
                  <c:v>-2</c:v>
                </c:pt>
                <c:pt idx="37">
                  <c:v>-2</c:v>
                </c:pt>
                <c:pt idx="38">
                  <c:v>0</c:v>
                </c:pt>
                <c:pt idx="39">
                  <c:v>0</c:v>
                </c:pt>
                <c:pt idx="40">
                  <c:v>0</c:v>
                </c:pt>
                <c:pt idx="41">
                  <c:v>0</c:v>
                </c:pt>
                <c:pt idx="42">
                  <c:v>1</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C07A-4BEA-85E8-2F28C845176D}"/>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25</c:v>
                </c:pt>
              </c:strCache>
            </c:strRef>
          </c:tx>
          <c:spPr>
            <a:solidFill>
              <a:schemeClr val="accent1"/>
            </a:solidFill>
          </c:spPr>
          <c:invertIfNegative val="0"/>
          <c:cat>
            <c:numRef>
              <c:f>'Overall Metrics'!$L$2:$L$57</c:f>
              <c:numCache>
                <c:formatCode>#,##0.00</c:formatCode>
                <c:ptCount val="56"/>
                <c:pt idx="0">
                  <c:v>9.9010000000000001E-3</c:v>
                </c:pt>
                <c:pt idx="1">
                  <c:v>2.7902799999999998E-2</c:v>
                </c:pt>
                <c:pt idx="2">
                  <c:v>4.5904599999999997E-2</c:v>
                </c:pt>
                <c:pt idx="3">
                  <c:v>6.3906400000000002E-2</c:v>
                </c:pt>
                <c:pt idx="4">
                  <c:v>8.19082E-2</c:v>
                </c:pt>
                <c:pt idx="5">
                  <c:v>9.9909999999999999E-2</c:v>
                </c:pt>
                <c:pt idx="6">
                  <c:v>0.1179118</c:v>
                </c:pt>
                <c:pt idx="7">
                  <c:v>0.1359136</c:v>
                </c:pt>
                <c:pt idx="8">
                  <c:v>0.15391539999999998</c:v>
                </c:pt>
                <c:pt idx="9">
                  <c:v>0.17191719999999999</c:v>
                </c:pt>
                <c:pt idx="10">
                  <c:v>0.189919</c:v>
                </c:pt>
                <c:pt idx="11">
                  <c:v>0.20792080000000002</c:v>
                </c:pt>
                <c:pt idx="12">
                  <c:v>0.22592260000000003</c:v>
                </c:pt>
                <c:pt idx="13">
                  <c:v>0.24392440000000004</c:v>
                </c:pt>
                <c:pt idx="14">
                  <c:v>0.26192620000000005</c:v>
                </c:pt>
                <c:pt idx="15">
                  <c:v>0.27992800000000007</c:v>
                </c:pt>
                <c:pt idx="16">
                  <c:v>0.29792980000000008</c:v>
                </c:pt>
                <c:pt idx="17">
                  <c:v>0.31593160000000009</c:v>
                </c:pt>
                <c:pt idx="18">
                  <c:v>0.3339334000000001</c:v>
                </c:pt>
                <c:pt idx="19">
                  <c:v>0.35193520000000011</c:v>
                </c:pt>
                <c:pt idx="20">
                  <c:v>0.36993700000000013</c:v>
                </c:pt>
                <c:pt idx="21">
                  <c:v>0.38793880000000014</c:v>
                </c:pt>
                <c:pt idx="22">
                  <c:v>0.40594060000000015</c:v>
                </c:pt>
                <c:pt idx="23">
                  <c:v>0.42394240000000016</c:v>
                </c:pt>
                <c:pt idx="24">
                  <c:v>0.44194420000000018</c:v>
                </c:pt>
                <c:pt idx="26">
                  <c:v>0.45994600000000019</c:v>
                </c:pt>
                <c:pt idx="38">
                  <c:v>0.4779478000000002</c:v>
                </c:pt>
                <c:pt idx="39">
                  <c:v>0.49594960000000021</c:v>
                </c:pt>
                <c:pt idx="40">
                  <c:v>0.51395140000000017</c:v>
                </c:pt>
                <c:pt idx="41">
                  <c:v>0.53195320000000013</c:v>
                </c:pt>
                <c:pt idx="42">
                  <c:v>0.54995500000000008</c:v>
                </c:pt>
                <c:pt idx="43">
                  <c:v>0.56795680000000004</c:v>
                </c:pt>
                <c:pt idx="44">
                  <c:v>0.5859586</c:v>
                </c:pt>
                <c:pt idx="45">
                  <c:v>0.60396039999999995</c:v>
                </c:pt>
                <c:pt idx="46">
                  <c:v>0.62196219999999991</c:v>
                </c:pt>
                <c:pt idx="47">
                  <c:v>0.63996399999999987</c:v>
                </c:pt>
                <c:pt idx="48">
                  <c:v>0.65796579999999982</c:v>
                </c:pt>
                <c:pt idx="49">
                  <c:v>0.67596759999999978</c:v>
                </c:pt>
                <c:pt idx="50">
                  <c:v>0.69396939999999974</c:v>
                </c:pt>
                <c:pt idx="51">
                  <c:v>0.71197119999999969</c:v>
                </c:pt>
                <c:pt idx="52">
                  <c:v>0.72997299999999965</c:v>
                </c:pt>
                <c:pt idx="53">
                  <c:v>0.74797479999999961</c:v>
                </c:pt>
                <c:pt idx="54">
                  <c:v>0.76597659999999956</c:v>
                </c:pt>
                <c:pt idx="55">
                  <c:v>1</c:v>
                </c:pt>
              </c:numCache>
            </c:numRef>
          </c:cat>
          <c:val>
            <c:numRef>
              <c:f>'Overall Metrics'!$M$2:$M$57</c:f>
              <c:numCache>
                <c:formatCode>General</c:formatCode>
                <c:ptCount val="56"/>
                <c:pt idx="0">
                  <c:v>25</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-2</c:v>
                </c:pt>
                <c:pt idx="26">
                  <c:v>0</c:v>
                </c:pt>
                <c:pt idx="27">
                  <c:v>0</c:v>
                </c:pt>
                <c:pt idx="28">
                  <c:v>0</c:v>
                </c:pt>
                <c:pt idx="29">
                  <c:v>0</c:v>
                </c:pt>
                <c:pt idx="30">
                  <c:v>0</c:v>
                </c:pt>
                <c:pt idx="31">
                  <c:v>0</c:v>
                </c:pt>
                <c:pt idx="32">
                  <c:v>0</c:v>
                </c:pt>
                <c:pt idx="33">
                  <c:v>0</c:v>
                </c:pt>
                <c:pt idx="34">
                  <c:v>0</c:v>
                </c:pt>
                <c:pt idx="35">
                  <c:v>0</c:v>
                </c:pt>
                <c:pt idx="36">
                  <c:v>-2</c:v>
                </c:pt>
                <c:pt idx="37">
                  <c:v>-2</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2</c:v>
                </c:pt>
              </c:numCache>
            </c:numRef>
          </c:val>
          <c:extLst>
            <c:ext xmlns:c16="http://schemas.microsoft.com/office/drawing/2014/chart" uri="{C3380CC4-5D6E-409C-BE32-E72D297353CC}">
              <c16:uniqueId val="{00000000-74F6-4C41-B915-92197941001E}"/>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4</c:v>
                </c:pt>
              </c:strCache>
            </c:strRef>
          </c:tx>
          <c:spPr>
            <a:solidFill>
              <a:schemeClr val="accent1"/>
            </a:solidFill>
          </c:spPr>
          <c:invertIfNegative val="0"/>
          <c:cat>
            <c:numRef>
              <c:f>'Overall Metrics'!$N$2:$N$57</c:f>
              <c:numCache>
                <c:formatCode>#,##0.00</c:formatCode>
                <c:ptCount val="56"/>
                <c:pt idx="0">
                  <c:v>0</c:v>
                </c:pt>
                <c:pt idx="1">
                  <c:v>2.4061999999999998E-3</c:v>
                </c:pt>
                <c:pt idx="2">
                  <c:v>4.8123999999999997E-3</c:v>
                </c:pt>
                <c:pt idx="3">
                  <c:v>7.2185999999999995E-3</c:v>
                </c:pt>
                <c:pt idx="4">
                  <c:v>9.6247999999999993E-3</c:v>
                </c:pt>
                <c:pt idx="5">
                  <c:v>1.2031E-2</c:v>
                </c:pt>
                <c:pt idx="6">
                  <c:v>1.4437200000000001E-2</c:v>
                </c:pt>
                <c:pt idx="7">
                  <c:v>1.6843400000000001E-2</c:v>
                </c:pt>
                <c:pt idx="8">
                  <c:v>1.9249600000000002E-2</c:v>
                </c:pt>
                <c:pt idx="9">
                  <c:v>2.1655800000000003E-2</c:v>
                </c:pt>
                <c:pt idx="10">
                  <c:v>2.4062000000000004E-2</c:v>
                </c:pt>
                <c:pt idx="11">
                  <c:v>2.6468200000000004E-2</c:v>
                </c:pt>
                <c:pt idx="12">
                  <c:v>2.8874400000000005E-2</c:v>
                </c:pt>
                <c:pt idx="13">
                  <c:v>3.1280600000000006E-2</c:v>
                </c:pt>
                <c:pt idx="14">
                  <c:v>3.3686800000000003E-2</c:v>
                </c:pt>
                <c:pt idx="15">
                  <c:v>3.6093E-2</c:v>
                </c:pt>
                <c:pt idx="16">
                  <c:v>3.8499199999999997E-2</c:v>
                </c:pt>
                <c:pt idx="17">
                  <c:v>4.0905399999999995E-2</c:v>
                </c:pt>
                <c:pt idx="18">
                  <c:v>4.3311599999999992E-2</c:v>
                </c:pt>
                <c:pt idx="19">
                  <c:v>4.5717799999999989E-2</c:v>
                </c:pt>
                <c:pt idx="20">
                  <c:v>4.8123999999999986E-2</c:v>
                </c:pt>
                <c:pt idx="21">
                  <c:v>5.0530199999999983E-2</c:v>
                </c:pt>
                <c:pt idx="22">
                  <c:v>5.2936399999999981E-2</c:v>
                </c:pt>
                <c:pt idx="23">
                  <c:v>5.5342599999999978E-2</c:v>
                </c:pt>
                <c:pt idx="24">
                  <c:v>5.7748799999999975E-2</c:v>
                </c:pt>
                <c:pt idx="26">
                  <c:v>6.0154999999999972E-2</c:v>
                </c:pt>
                <c:pt idx="38">
                  <c:v>6.256119999999997E-2</c:v>
                </c:pt>
                <c:pt idx="39">
                  <c:v>6.4967399999999967E-2</c:v>
                </c:pt>
                <c:pt idx="40">
                  <c:v>6.7373599999999964E-2</c:v>
                </c:pt>
                <c:pt idx="41">
                  <c:v>6.9779799999999961E-2</c:v>
                </c:pt>
                <c:pt idx="42">
                  <c:v>7.2185999999999959E-2</c:v>
                </c:pt>
                <c:pt idx="43">
                  <c:v>7.4592199999999956E-2</c:v>
                </c:pt>
                <c:pt idx="44">
                  <c:v>7.6998399999999953E-2</c:v>
                </c:pt>
                <c:pt idx="45">
                  <c:v>7.940459999999995E-2</c:v>
                </c:pt>
                <c:pt idx="46">
                  <c:v>8.1810799999999947E-2</c:v>
                </c:pt>
                <c:pt idx="47">
                  <c:v>8.4216999999999945E-2</c:v>
                </c:pt>
                <c:pt idx="48">
                  <c:v>8.6623199999999942E-2</c:v>
                </c:pt>
                <c:pt idx="49">
                  <c:v>8.9029399999999939E-2</c:v>
                </c:pt>
                <c:pt idx="50">
                  <c:v>9.1435599999999936E-2</c:v>
                </c:pt>
                <c:pt idx="51">
                  <c:v>9.3841799999999934E-2</c:v>
                </c:pt>
                <c:pt idx="52">
                  <c:v>9.6247999999999931E-2</c:v>
                </c:pt>
                <c:pt idx="53">
                  <c:v>9.8654199999999928E-2</c:v>
                </c:pt>
                <c:pt idx="54">
                  <c:v>0.10106039999999993</c:v>
                </c:pt>
                <c:pt idx="55">
                  <c:v>0.13234099999999999</c:v>
                </c:pt>
              </c:numCache>
            </c:numRef>
          </c:cat>
          <c:val>
            <c:numRef>
              <c:f>'Overall Metrics'!$O$2:$O$57</c:f>
              <c:numCache>
                <c:formatCode>General</c:formatCode>
                <c:ptCount val="56"/>
                <c:pt idx="0">
                  <c:v>4</c:v>
                </c:pt>
                <c:pt idx="1">
                  <c:v>0</c:v>
                </c:pt>
                <c:pt idx="2">
                  <c:v>3</c:v>
                </c:pt>
                <c:pt idx="3">
                  <c:v>1</c:v>
                </c:pt>
                <c:pt idx="4">
                  <c:v>0</c:v>
                </c:pt>
                <c:pt idx="5">
                  <c:v>0</c:v>
                </c:pt>
                <c:pt idx="6">
                  <c:v>1</c:v>
                </c:pt>
                <c:pt idx="7">
                  <c:v>0</c:v>
                </c:pt>
                <c:pt idx="8">
                  <c:v>1</c:v>
                </c:pt>
                <c:pt idx="9">
                  <c:v>2</c:v>
                </c:pt>
                <c:pt idx="10">
                  <c:v>1</c:v>
                </c:pt>
                <c:pt idx="11">
                  <c:v>2</c:v>
                </c:pt>
                <c:pt idx="12">
                  <c:v>1</c:v>
                </c:pt>
                <c:pt idx="13">
                  <c:v>1</c:v>
                </c:pt>
                <c:pt idx="14">
                  <c:v>0</c:v>
                </c:pt>
                <c:pt idx="15">
                  <c:v>0</c:v>
                </c:pt>
                <c:pt idx="16">
                  <c:v>0</c:v>
                </c:pt>
                <c:pt idx="17">
                  <c:v>0</c:v>
                </c:pt>
                <c:pt idx="18">
                  <c:v>1</c:v>
                </c:pt>
                <c:pt idx="19">
                  <c:v>0</c:v>
                </c:pt>
                <c:pt idx="20">
                  <c:v>0</c:v>
                </c:pt>
                <c:pt idx="21">
                  <c:v>0</c:v>
                </c:pt>
                <c:pt idx="22">
                  <c:v>1</c:v>
                </c:pt>
                <c:pt idx="23">
                  <c:v>1</c:v>
                </c:pt>
                <c:pt idx="24">
                  <c:v>1</c:v>
                </c:pt>
                <c:pt idx="25">
                  <c:v>-6</c:v>
                </c:pt>
                <c:pt idx="26">
                  <c:v>0</c:v>
                </c:pt>
                <c:pt idx="27">
                  <c:v>0</c:v>
                </c:pt>
                <c:pt idx="28">
                  <c:v>0</c:v>
                </c:pt>
                <c:pt idx="29">
                  <c:v>0</c:v>
                </c:pt>
                <c:pt idx="30">
                  <c:v>0</c:v>
                </c:pt>
                <c:pt idx="31">
                  <c:v>0</c:v>
                </c:pt>
                <c:pt idx="32">
                  <c:v>0</c:v>
                </c:pt>
                <c:pt idx="33">
                  <c:v>0</c:v>
                </c:pt>
                <c:pt idx="34">
                  <c:v>0</c:v>
                </c:pt>
                <c:pt idx="35">
                  <c:v>0</c:v>
                </c:pt>
                <c:pt idx="36">
                  <c:v>-6</c:v>
                </c:pt>
                <c:pt idx="37">
                  <c:v>-6</c:v>
                </c:pt>
                <c:pt idx="38">
                  <c:v>0</c:v>
                </c:pt>
                <c:pt idx="39">
                  <c:v>0</c:v>
                </c:pt>
                <c:pt idx="40">
                  <c:v>0</c:v>
                </c:pt>
                <c:pt idx="41">
                  <c:v>1</c:v>
                </c:pt>
                <c:pt idx="42">
                  <c:v>0</c:v>
                </c:pt>
                <c:pt idx="43">
                  <c:v>3</c:v>
                </c:pt>
                <c:pt idx="44">
                  <c:v>0</c:v>
                </c:pt>
                <c:pt idx="45">
                  <c:v>0</c:v>
                </c:pt>
                <c:pt idx="46">
                  <c:v>0</c:v>
                </c:pt>
                <c:pt idx="47">
                  <c:v>0</c:v>
                </c:pt>
                <c:pt idx="48">
                  <c:v>0</c:v>
                </c:pt>
                <c:pt idx="49">
                  <c:v>0</c:v>
                </c:pt>
                <c:pt idx="50">
                  <c:v>0</c:v>
                </c:pt>
                <c:pt idx="51">
                  <c:v>0</c:v>
                </c:pt>
                <c:pt idx="52">
                  <c:v>0</c:v>
                </c:pt>
                <c:pt idx="53">
                  <c:v>0</c:v>
                </c:pt>
                <c:pt idx="54">
                  <c:v>1</c:v>
                </c:pt>
                <c:pt idx="55">
                  <c:v>1</c:v>
                </c:pt>
              </c:numCache>
            </c:numRef>
          </c:val>
          <c:extLst>
            <c:ext xmlns:c16="http://schemas.microsoft.com/office/drawing/2014/chart" uri="{C3380CC4-5D6E-409C-BE32-E72D297353CC}">
              <c16:uniqueId val="{00000000-E2CA-49C2-8C20-11192A2503EF}"/>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7</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Metrics'!$S$2:$S$57</c:f>
              <c:numCache>
                <c:formatCode>General</c:formatCode>
                <c:ptCount val="56"/>
                <c:pt idx="0">
                  <c:v>7</c:v>
                </c:pt>
                <c:pt idx="1">
                  <c:v>0</c:v>
                </c:pt>
                <c:pt idx="2">
                  <c:v>0</c:v>
                </c:pt>
                <c:pt idx="3">
                  <c:v>0</c:v>
                </c:pt>
                <c:pt idx="4">
                  <c:v>0</c:v>
                </c:pt>
                <c:pt idx="5">
                  <c:v>0</c:v>
                </c:pt>
                <c:pt idx="6">
                  <c:v>0</c:v>
                </c:pt>
                <c:pt idx="7">
                  <c:v>1</c:v>
                </c:pt>
                <c:pt idx="8">
                  <c:v>0</c:v>
                </c:pt>
                <c:pt idx="9">
                  <c:v>0</c:v>
                </c:pt>
                <c:pt idx="10">
                  <c:v>0</c:v>
                </c:pt>
                <c:pt idx="11">
                  <c:v>1</c:v>
                </c:pt>
                <c:pt idx="12">
                  <c:v>1</c:v>
                </c:pt>
                <c:pt idx="13">
                  <c:v>0</c:v>
                </c:pt>
                <c:pt idx="14">
                  <c:v>0</c:v>
                </c:pt>
                <c:pt idx="15">
                  <c:v>0</c:v>
                </c:pt>
                <c:pt idx="16">
                  <c:v>0</c:v>
                </c:pt>
                <c:pt idx="17">
                  <c:v>0</c:v>
                </c:pt>
                <c:pt idx="18">
                  <c:v>5</c:v>
                </c:pt>
                <c:pt idx="19">
                  <c:v>0</c:v>
                </c:pt>
                <c:pt idx="20">
                  <c:v>0</c:v>
                </c:pt>
                <c:pt idx="21">
                  <c:v>0</c:v>
                </c:pt>
                <c:pt idx="22">
                  <c:v>1</c:v>
                </c:pt>
                <c:pt idx="23">
                  <c:v>0</c:v>
                </c:pt>
                <c:pt idx="24">
                  <c:v>0</c:v>
                </c:pt>
                <c:pt idx="25">
                  <c:v>-11</c:v>
                </c:pt>
                <c:pt idx="26">
                  <c:v>0</c:v>
                </c:pt>
                <c:pt idx="27">
                  <c:v>0</c:v>
                </c:pt>
                <c:pt idx="28">
                  <c:v>0</c:v>
                </c:pt>
                <c:pt idx="29">
                  <c:v>0</c:v>
                </c:pt>
                <c:pt idx="30">
                  <c:v>0</c:v>
                </c:pt>
                <c:pt idx="31">
                  <c:v>0</c:v>
                </c:pt>
                <c:pt idx="32">
                  <c:v>0</c:v>
                </c:pt>
                <c:pt idx="33">
                  <c:v>0</c:v>
                </c:pt>
                <c:pt idx="34">
                  <c:v>0</c:v>
                </c:pt>
                <c:pt idx="35">
                  <c:v>0</c:v>
                </c:pt>
                <c:pt idx="36">
                  <c:v>-11</c:v>
                </c:pt>
                <c:pt idx="37">
                  <c:v>-11</c:v>
                </c:pt>
                <c:pt idx="38">
                  <c:v>0</c:v>
                </c:pt>
                <c:pt idx="39">
                  <c:v>2</c:v>
                </c:pt>
                <c:pt idx="40">
                  <c:v>0</c:v>
                </c:pt>
                <c:pt idx="41">
                  <c:v>0</c:v>
                </c:pt>
                <c:pt idx="42">
                  <c:v>0</c:v>
                </c:pt>
                <c:pt idx="43">
                  <c:v>0</c:v>
                </c:pt>
                <c:pt idx="44">
                  <c:v>0</c:v>
                </c:pt>
                <c:pt idx="45">
                  <c:v>0</c:v>
                </c:pt>
                <c:pt idx="46">
                  <c:v>0</c:v>
                </c:pt>
                <c:pt idx="47">
                  <c:v>0</c:v>
                </c:pt>
                <c:pt idx="48">
                  <c:v>2</c:v>
                </c:pt>
                <c:pt idx="49">
                  <c:v>0</c:v>
                </c:pt>
                <c:pt idx="50">
                  <c:v>0</c:v>
                </c:pt>
                <c:pt idx="51">
                  <c:v>0</c:v>
                </c:pt>
                <c:pt idx="52">
                  <c:v>0</c:v>
                </c:pt>
                <c:pt idx="53">
                  <c:v>0</c:v>
                </c:pt>
                <c:pt idx="54">
                  <c:v>0</c:v>
                </c:pt>
                <c:pt idx="55">
                  <c:v>7</c:v>
                </c:pt>
              </c:numCache>
            </c:numRef>
          </c:val>
          <c:extLst>
            <c:ext xmlns:c16="http://schemas.microsoft.com/office/drawing/2014/chart" uri="{C3380CC4-5D6E-409C-BE32-E72D297353CC}">
              <c16:uniqueId val="{00000000-C02D-4CB2-A43E-1F838F7B4CD8}"/>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3</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Metrics'!$Q$2:$Q$57</c:f>
              <c:numCache>
                <c:formatCode>General</c:formatCode>
                <c:ptCount val="56"/>
                <c:pt idx="0">
                  <c:v>3</c:v>
                </c:pt>
                <c:pt idx="1">
                  <c:v>1</c:v>
                </c:pt>
                <c:pt idx="2">
                  <c:v>0</c:v>
                </c:pt>
                <c:pt idx="3">
                  <c:v>0</c:v>
                </c:pt>
                <c:pt idx="4">
                  <c:v>0</c:v>
                </c:pt>
                <c:pt idx="5">
                  <c:v>1</c:v>
                </c:pt>
                <c:pt idx="6">
                  <c:v>2</c:v>
                </c:pt>
                <c:pt idx="7">
                  <c:v>0</c:v>
                </c:pt>
                <c:pt idx="8">
                  <c:v>1</c:v>
                </c:pt>
                <c:pt idx="9">
                  <c:v>2</c:v>
                </c:pt>
                <c:pt idx="10">
                  <c:v>0</c:v>
                </c:pt>
                <c:pt idx="11">
                  <c:v>3</c:v>
                </c:pt>
                <c:pt idx="12">
                  <c:v>1</c:v>
                </c:pt>
                <c:pt idx="13">
                  <c:v>1</c:v>
                </c:pt>
                <c:pt idx="14">
                  <c:v>3</c:v>
                </c:pt>
                <c:pt idx="15">
                  <c:v>0</c:v>
                </c:pt>
                <c:pt idx="16">
                  <c:v>3</c:v>
                </c:pt>
                <c:pt idx="17">
                  <c:v>0</c:v>
                </c:pt>
                <c:pt idx="18">
                  <c:v>1</c:v>
                </c:pt>
                <c:pt idx="19">
                  <c:v>1</c:v>
                </c:pt>
                <c:pt idx="20">
                  <c:v>0</c:v>
                </c:pt>
                <c:pt idx="21">
                  <c:v>0</c:v>
                </c:pt>
                <c:pt idx="22">
                  <c:v>0</c:v>
                </c:pt>
                <c:pt idx="23">
                  <c:v>1</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1</c:v>
                </c:pt>
                <c:pt idx="46">
                  <c:v>0</c:v>
                </c:pt>
                <c:pt idx="47">
                  <c:v>0</c:v>
                </c:pt>
                <c:pt idx="48">
                  <c:v>0</c:v>
                </c:pt>
                <c:pt idx="49">
                  <c:v>0</c:v>
                </c:pt>
                <c:pt idx="50">
                  <c:v>0</c:v>
                </c:pt>
                <c:pt idx="51">
                  <c:v>0</c:v>
                </c:pt>
                <c:pt idx="52">
                  <c:v>0</c:v>
                </c:pt>
                <c:pt idx="53">
                  <c:v>0</c:v>
                </c:pt>
                <c:pt idx="54">
                  <c:v>1</c:v>
                </c:pt>
                <c:pt idx="55">
                  <c:v>1</c:v>
                </c:pt>
              </c:numCache>
            </c:numRef>
          </c:val>
          <c:extLst>
            <c:ext xmlns:c16="http://schemas.microsoft.com/office/drawing/2014/chart" uri="{C3380CC4-5D6E-409C-BE32-E72D297353CC}">
              <c16:uniqueId val="{00000000-3F48-4B91-B193-B83CE99B0334}"/>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A8A6-4722-9C07-3940F56EC1BC}"/>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P97" totalsRowShown="0" headerRowDxfId="100" dataDxfId="99">
  <autoFilter ref="A2:P97"/>
  <tableColumns count="16">
    <tableColumn id="1" name="Vertex 1"/>
    <tableColumn id="2" name="Vertex 2"/>
    <tableColumn id="3" name="Color" dataDxfId="98"/>
    <tableColumn id="4" name="Width" dataDxfId="97"/>
    <tableColumn id="11" name="Style" dataDxfId="96"/>
    <tableColumn id="5" name="Opacity" dataDxfId="95"/>
    <tableColumn id="6" name="Visibility" dataDxfId="94"/>
    <tableColumn id="10" name="Label" dataDxfId="93"/>
    <tableColumn id="12" name="Label Text Color" dataDxfId="92"/>
    <tableColumn id="13" name="Label Font Size" dataDxfId="91"/>
    <tableColumn id="14" name="Reciprocated?" dataDxfId="90"/>
    <tableColumn id="7" name="ID" dataDxfId="89"/>
    <tableColumn id="9" name="Dynamic Filter" dataDxfId="88"/>
    <tableColumn id="8" name="EDGE WEIGHT"/>
    <tableColumn id="15" name="Vertex 1 Group" dataDxfId="1" dataCellStyle="Normal">
      <calculatedColumnFormula>REPLACE(INDEX(GroupVertices[Group], MATCH(Edges[[#This Row],[Vertex 1]],GroupVertices[Vertex],0)),1,1,"")</calculatedColumnFormula>
    </tableColumn>
    <tableColumn id="16" name="Vertex 2 Group" dataDxfId="0" dataCellStyle="Normal">
      <calculatedColumnFormula>REPLACE(INDEX(GroupVertices[Group], MATCH(Edges[[#This Row],[Vertex 2]],GroupVertices[Vertex],0)),1,1,"")</calculatedColumnFormula>
    </tableColumn>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43">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GroupEdges" displayName="GroupEdges" ref="A2:C4" totalsRowShown="0" headerRowDxfId="42" dataDxfId="41" dataCellStyle="NodeXL Required">
  <autoFilter ref="A2:C4"/>
  <tableColumns count="3">
    <tableColumn id="1" name="Group 1" dataDxfId="40" dataCellStyle="NodeXL Required"/>
    <tableColumn id="2" name="Group 2" dataDxfId="39" dataCellStyle="NodeXL Required"/>
    <tableColumn id="3" name="Edges" dataDxfId="38" dataCellStyle="NodeXL Graph Metric"/>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AD36" totalsRowShown="0" headerRowDxfId="87" dataDxfId="86">
  <autoFilter ref="A2:AD36"/>
  <sortState ref="A3:AC34">
    <sortCondition ref="A2"/>
  </sortState>
  <tableColumns count="30">
    <tableColumn id="1" name="Vertex" dataDxfId="85"/>
    <tableColumn id="2" name="Color" dataDxfId="84"/>
    <tableColumn id="5" name="Shape" dataDxfId="83"/>
    <tableColumn id="6" name="Size" dataDxfId="82"/>
    <tableColumn id="4" name="Opacity" dataDxfId="81"/>
    <tableColumn id="7" name="Image File" dataDxfId="80"/>
    <tableColumn id="3" name="Visibility" dataDxfId="79"/>
    <tableColumn id="10" name="Label" dataDxfId="78"/>
    <tableColumn id="16" name="Label Fill Color" dataDxfId="77"/>
    <tableColumn id="9" name="Label Position" dataDxfId="76"/>
    <tableColumn id="8" name="Tooltip" dataDxfId="75"/>
    <tableColumn id="18" name="Layout Order" dataDxfId="74"/>
    <tableColumn id="13" name="X" dataDxfId="73"/>
    <tableColumn id="14" name="Y" dataDxfId="72"/>
    <tableColumn id="12" name="Locked?" dataDxfId="71"/>
    <tableColumn id="19" name="Polar R" dataDxfId="70"/>
    <tableColumn id="20" name="Polar Angle" dataDxfId="20"/>
    <tableColumn id="21" name="Degree" dataDxfId="18" dataCellStyle="NodeXL Graph Metric"/>
    <tableColumn id="22" name="In-Degree" dataDxfId="19"/>
    <tableColumn id="23" name="Out-Degree" dataDxfId="15"/>
    <tableColumn id="24" name="Betweenness Centrality" dataDxfId="14" dataCellStyle="NodeXL Graph Metric"/>
    <tableColumn id="25" name="Closeness Centrality" dataDxfId="13" dataCellStyle="NodeXL Graph Metric"/>
    <tableColumn id="26" name="Eigenvector Centrality" dataDxfId="11" dataCellStyle="NodeXL Graph Metric"/>
    <tableColumn id="15" name="PageRank" dataDxfId="12" dataCellStyle="NodeXL Graph Metric"/>
    <tableColumn id="27" name="Clustering Coefficient" dataDxfId="16" dataCellStyle="NodeXL Graph Metric"/>
    <tableColumn id="29" name="Reciprocated Vertex Pair Ratio" dataDxfId="17"/>
    <tableColumn id="11" name="ID" dataDxfId="69"/>
    <tableColumn id="28" name="Dynamic Filter" dataDxfId="68"/>
    <tableColumn id="17" name="Add Your Own Columns Here" dataDxfId="3"/>
    <tableColumn id="30" name="Vertex Group" dataDxfId="2"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X4" totalsRowShown="0" headerRowDxfId="67">
  <autoFilter ref="A2:X4"/>
  <tableColumns count="24">
    <tableColumn id="1" name="Group" dataDxfId="10" dataCellStyle="NodeXL Required"/>
    <tableColumn id="2" name="Vertex Color" dataDxfId="9" dataCellStyle="NodeXL Visual Property"/>
    <tableColumn id="3" name="Vertex Shape" dataDxfId="7" dataCellStyle="NodeXL Visual Property"/>
    <tableColumn id="22" name="Visibility" dataDxfId="8"/>
    <tableColumn id="4" name="Collapsed?"/>
    <tableColumn id="18" name="Label" dataDxfId="66"/>
    <tableColumn id="20" name="Collapsed X"/>
    <tableColumn id="21" name="Collapsed Y"/>
    <tableColumn id="6" name="ID" dataDxfId="65"/>
    <tableColumn id="19" name="Collapsed Properties" dataDxfId="35"/>
    <tableColumn id="5" name="Vertices" dataDxfId="34" dataCellStyle="NodeXL Graph Metric"/>
    <tableColumn id="7" name="Unique Edges" dataDxfId="33" dataCellStyle="NodeXL Graph Metric"/>
    <tableColumn id="8" name="Edges With Duplicates" dataDxfId="32" dataCellStyle="NodeXL Graph Metric"/>
    <tableColumn id="9" name="Total Edges" dataDxfId="31" dataCellStyle="NodeXL Graph Metric"/>
    <tableColumn id="10" name="Self-Loops" dataDxfId="30" dataCellStyle="NodeXL Graph Metric"/>
    <tableColumn id="24" name="Reciprocated Vertex Pair Ratio" dataDxfId="29" dataCellStyle="NodeXL Graph Metric"/>
    <tableColumn id="25" name="Reciprocated Edge Ratio" dataDxfId="28" dataCellStyle="NodeXL Graph Metric"/>
    <tableColumn id="11" name="Connected Components" dataDxfId="27" dataCellStyle="NodeXL Graph Metric"/>
    <tableColumn id="12" name="Single-Vertex Connected Components" dataDxfId="26" dataCellStyle="NodeXL Graph Metric"/>
    <tableColumn id="13" name="Maximum Vertices in a Connected Component" dataDxfId="25" dataCellStyle="NodeXL Graph Metric"/>
    <tableColumn id="14" name="Maximum Edges in a Connected Component" dataDxfId="24" dataCellStyle="NodeXL Graph Metric"/>
    <tableColumn id="15" name="Maximum Geodesic Distance (Diameter)" dataDxfId="23" dataCellStyle="NodeXL Graph Metric"/>
    <tableColumn id="16" name="Average Geodesic Distance" dataDxfId="22" dataCellStyle="NodeXL Graph Metric"/>
    <tableColumn id="17" name="Graph Density" dataDxfId="21"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28" totalsRowShown="0" headerRowDxfId="64" dataDxfId="63">
  <autoFilter ref="A1:C28"/>
  <tableColumns count="3">
    <tableColumn id="1" name="Group" dataDxfId="6" dataCellStyle="Normal"/>
    <tableColumn id="2" name="Vertex" dataDxfId="5" dataCellStyle="Normal"/>
    <tableColumn id="3" name="Vertex ID" dataDxfId="4"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autoFilter ref="A1:B26"/>
  <tableColumns count="2">
    <tableColumn id="1" name="Graph Metric" dataDxfId="37" dataCellStyle="NodeXL Graph Metric"/>
    <tableColumn id="2" name="Value" dataDxfId="36"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62"/>
    <tableColumn id="2" name="Degree Frequency" dataDxfId="61">
      <calculatedColumnFormula>COUNTIF(Vertices[Degree], "&gt;= " &amp; D2) - COUNTIF(Vertices[Degree], "&gt;=" &amp; D3)</calculatedColumnFormula>
    </tableColumn>
    <tableColumn id="3" name="In-Degree Bin" dataDxfId="60"/>
    <tableColumn id="4" name="In-Degree Frequency" dataDxfId="59">
      <calculatedColumnFormula>COUNTIF(Vertices[In-Degree], "&gt;= " &amp; F2) - COUNTIF(Vertices[In-Degree], "&gt;=" &amp; F3)</calculatedColumnFormula>
    </tableColumn>
    <tableColumn id="5" name="Out-Degree Bin" dataDxfId="58"/>
    <tableColumn id="6" name="Out-Degree Frequency" dataDxfId="57">
      <calculatedColumnFormula>COUNTIF(Vertices[Out-Degree], "&gt;= " &amp; H2) - COUNTIF(Vertices[Out-Degree], "&gt;=" &amp; H3)</calculatedColumnFormula>
    </tableColumn>
    <tableColumn id="7" name="Betweenness Centrality Bin" dataDxfId="56"/>
    <tableColumn id="8" name="Betweenness Centrality Frequency" dataDxfId="55">
      <calculatedColumnFormula>COUNTIF(Vertices[Betweenness Centrality], "&gt;= " &amp; J2) - COUNTIF(Vertices[Betweenness Centrality], "&gt;=" &amp; J3)</calculatedColumnFormula>
    </tableColumn>
    <tableColumn id="9" name="Closeness Centrality Bin" dataDxfId="54"/>
    <tableColumn id="10" name="Closeness Centrality Frequency" dataDxfId="53">
      <calculatedColumnFormula>COUNTIF(Vertices[Closeness Centrality], "&gt;= " &amp; L2) - COUNTIF(Vertices[Closeness Centrality], "&gt;=" &amp; L3)</calculatedColumnFormula>
    </tableColumn>
    <tableColumn id="11" name="Eigenvector Centrality Bin" dataDxfId="52"/>
    <tableColumn id="12" name="Eigenvector Centrality Frequency" dataDxfId="51">
      <calculatedColumnFormula>COUNTIF(Vertices[Eigenvector Centrality], "&gt;= " &amp; N2) - COUNTIF(Vertices[Eigenvector Centrality], "&gt;=" &amp; N3)</calculatedColumnFormula>
    </tableColumn>
    <tableColumn id="18" name="PageRank Bin" dataDxfId="50"/>
    <tableColumn id="17" name="PageRank Frequency" dataDxfId="49">
      <calculatedColumnFormula>COUNTIF(Vertices[Eigenvector Centrality], "&gt;= " &amp; P2) - COUNTIF(Vertices[Eigenvector Centrality], "&gt;=" &amp; P3)</calculatedColumnFormula>
    </tableColumn>
    <tableColumn id="13" name="Clustering Coefficient Bin" dataDxfId="48"/>
    <tableColumn id="14" name="Clustering Coefficient Frequency" dataDxfId="47">
      <calculatedColumnFormula>COUNTIF(Vertices[Clustering Coefficient], "&gt;= " &amp; R2) - COUNTIF(Vertices[Clustering Coefficient], "&gt;=" &amp; R3)</calculatedColumnFormula>
    </tableColumn>
    <tableColumn id="15" name="Dynamic Filter Bin" dataDxfId="46"/>
    <tableColumn id="16" name="Dynamic Filter Frequency" dataDxfId="45">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autoFilter ref="A41:B44"/>
  <tableColumns count="2">
    <tableColumn id="1" name="Readability Metric"/>
    <tableColumn id="2" name="Value"/>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9" totalsRowShown="0" headerRowDxfId="44">
  <autoFilter ref="J1:K9"/>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97"/>
  <sheetViews>
    <sheetView workbookViewId="0">
      <pane xSplit="2" ySplit="2" topLeftCell="C3" activePane="bottomRight" state="frozen"/>
      <selection pane="topRight" activeCell="C1" sqref="C1"/>
      <selection pane="bottomLeft" activeCell="A3" sqref="A3"/>
      <selection pane="bottomRight" activeCell="A34" sqref="A34"/>
    </sheetView>
  </sheetViews>
  <sheetFormatPr defaultRowHeight="14.25" customHeight="1" x14ac:dyDescent="0.25"/>
  <cols>
    <col min="1" max="1" width="22.5703125" style="1" customWidth="1"/>
    <col min="2" max="2" width="24.14062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customWidth="1"/>
    <col min="12" max="12" width="11" hidden="1" customWidth="1"/>
    <col min="13" max="13" width="10.85546875" hidden="1" customWidth="1"/>
    <col min="14" max="14" width="16" bestFit="1" customWidth="1"/>
    <col min="15" max="16" width="10.7109375" bestFit="1" customWidth="1"/>
    <col min="17" max="17" width="11" bestFit="1" customWidth="1"/>
    <col min="18" max="18" width="12.42578125" bestFit="1" customWidth="1"/>
  </cols>
  <sheetData>
    <row r="1" spans="1:16" ht="14.25" customHeight="1" x14ac:dyDescent="0.25">
      <c r="C1" s="16" t="s">
        <v>40</v>
      </c>
      <c r="D1" s="17"/>
      <c r="E1" s="17"/>
      <c r="F1" s="17"/>
      <c r="G1" s="16"/>
      <c r="H1" s="14" t="s">
        <v>44</v>
      </c>
      <c r="I1" s="62"/>
      <c r="J1" s="62"/>
      <c r="K1" s="33" t="s">
        <v>43</v>
      </c>
      <c r="L1" s="18" t="s">
        <v>41</v>
      </c>
      <c r="M1" s="18"/>
      <c r="N1" s="15" t="s">
        <v>42</v>
      </c>
    </row>
    <row r="2" spans="1:16" ht="14.25" customHeight="1" x14ac:dyDescent="0.25">
      <c r="A2" s="11" t="s">
        <v>0</v>
      </c>
      <c r="B2" s="11" t="s">
        <v>1</v>
      </c>
      <c r="C2" s="13" t="s">
        <v>2</v>
      </c>
      <c r="D2" s="13" t="s">
        <v>3</v>
      </c>
      <c r="E2" s="13" t="s">
        <v>131</v>
      </c>
      <c r="F2" s="13" t="s">
        <v>4</v>
      </c>
      <c r="G2" s="13" t="s">
        <v>11</v>
      </c>
      <c r="H2" s="11" t="s">
        <v>47</v>
      </c>
      <c r="I2" s="13" t="s">
        <v>161</v>
      </c>
      <c r="J2" s="13" t="s">
        <v>162</v>
      </c>
      <c r="K2" s="13" t="s">
        <v>166</v>
      </c>
      <c r="L2" s="13" t="s">
        <v>12</v>
      </c>
      <c r="M2" s="13" t="s">
        <v>39</v>
      </c>
      <c r="N2" s="13" t="s">
        <v>202</v>
      </c>
      <c r="O2" s="13" t="s">
        <v>216</v>
      </c>
      <c r="P2" s="13" t="s">
        <v>217</v>
      </c>
    </row>
    <row r="3" spans="1:16" ht="14.25" customHeight="1" thickBot="1" x14ac:dyDescent="0.3">
      <c r="A3" s="76" t="s">
        <v>175</v>
      </c>
      <c r="B3" s="76" t="s">
        <v>176</v>
      </c>
      <c r="C3" s="77"/>
      <c r="D3" s="78">
        <v>1.75</v>
      </c>
      <c r="E3" s="79"/>
      <c r="F3" s="80"/>
      <c r="G3" s="77"/>
      <c r="H3" s="81"/>
      <c r="I3" s="82"/>
      <c r="J3" s="82"/>
      <c r="K3" s="51"/>
      <c r="L3" s="83">
        <v>3</v>
      </c>
      <c r="M3" s="83"/>
      <c r="N3" s="84">
        <v>2</v>
      </c>
      <c r="O3" s="99" t="str">
        <f>REPLACE(INDEX(GroupVertices[Group], MATCH(Edges[[#This Row],[Vertex 1]],GroupVertices[Vertex],0)),1,1,"")</f>
        <v>1</v>
      </c>
      <c r="P3" s="99" t="str">
        <f>REPLACE(INDEX(GroupVertices[Group], MATCH(Edges[[#This Row],[Vertex 2]],GroupVertices[Vertex],0)),1,1,"")</f>
        <v>1</v>
      </c>
    </row>
    <row r="4" spans="1:16" ht="14.25" customHeight="1" thickTop="1" thickBot="1" x14ac:dyDescent="0.3">
      <c r="A4" s="76" t="s">
        <v>175</v>
      </c>
      <c r="B4" s="76" t="s">
        <v>177</v>
      </c>
      <c r="C4" s="77"/>
      <c r="D4" s="78">
        <v>1</v>
      </c>
      <c r="E4" s="79"/>
      <c r="F4" s="80"/>
      <c r="G4" s="77"/>
      <c r="H4" s="81"/>
      <c r="I4" s="82"/>
      <c r="J4" s="82"/>
      <c r="K4" s="51"/>
      <c r="L4" s="83">
        <v>4</v>
      </c>
      <c r="M4" s="83"/>
      <c r="N4" s="84">
        <v>1</v>
      </c>
      <c r="O4" s="99" t="str">
        <f>REPLACE(INDEX(GroupVertices[Group], MATCH(Edges[[#This Row],[Vertex 1]],GroupVertices[Vertex],0)),1,1,"")</f>
        <v>1</v>
      </c>
      <c r="P4" s="99" t="str">
        <f>REPLACE(INDEX(GroupVertices[Group], MATCH(Edges[[#This Row],[Vertex 2]],GroupVertices[Vertex],0)),1,1,"")</f>
        <v>1</v>
      </c>
    </row>
    <row r="5" spans="1:16" ht="14.25" customHeight="1" thickTop="1" thickBot="1" x14ac:dyDescent="0.3">
      <c r="A5" s="76" t="s">
        <v>178</v>
      </c>
      <c r="B5" s="76" t="s">
        <v>179</v>
      </c>
      <c r="C5" s="77"/>
      <c r="D5" s="78">
        <v>1.75</v>
      </c>
      <c r="E5" s="79"/>
      <c r="F5" s="80"/>
      <c r="G5" s="77"/>
      <c r="H5" s="81"/>
      <c r="I5" s="82"/>
      <c r="J5" s="82"/>
      <c r="K5" s="51"/>
      <c r="L5" s="83">
        <v>5</v>
      </c>
      <c r="M5" s="83"/>
      <c r="N5" s="84">
        <v>2</v>
      </c>
      <c r="O5" s="99" t="str">
        <f>REPLACE(INDEX(GroupVertices[Group], MATCH(Edges[[#This Row],[Vertex 1]],GroupVertices[Vertex],0)),1,1,"")</f>
        <v>2</v>
      </c>
      <c r="P5" s="99" t="str">
        <f>REPLACE(INDEX(GroupVertices[Group], MATCH(Edges[[#This Row],[Vertex 2]],GroupVertices[Vertex],0)),1,1,"")</f>
        <v>2</v>
      </c>
    </row>
    <row r="6" spans="1:16" ht="14.25" customHeight="1" thickTop="1" thickBot="1" x14ac:dyDescent="0.3">
      <c r="A6" s="76" t="s">
        <v>180</v>
      </c>
      <c r="B6" s="76" t="s">
        <v>181</v>
      </c>
      <c r="C6" s="77"/>
      <c r="D6" s="78">
        <v>1.75</v>
      </c>
      <c r="E6" s="79"/>
      <c r="F6" s="80"/>
      <c r="G6" s="77"/>
      <c r="H6" s="81"/>
      <c r="I6" s="82"/>
      <c r="J6" s="82"/>
      <c r="K6" s="51"/>
      <c r="L6" s="83">
        <v>6</v>
      </c>
      <c r="M6" s="83"/>
      <c r="N6" s="84">
        <v>2</v>
      </c>
      <c r="O6" s="99" t="str">
        <f>REPLACE(INDEX(GroupVertices[Group], MATCH(Edges[[#This Row],[Vertex 1]],GroupVertices[Vertex],0)),1,1,"")</f>
        <v>1</v>
      </c>
      <c r="P6" s="99" t="str">
        <f>REPLACE(INDEX(GroupVertices[Group], MATCH(Edges[[#This Row],[Vertex 2]],GroupVertices[Vertex],0)),1,1,"")</f>
        <v>1</v>
      </c>
    </row>
    <row r="7" spans="1:16" ht="14.25" customHeight="1" thickTop="1" thickBot="1" x14ac:dyDescent="0.3">
      <c r="A7" s="76" t="s">
        <v>180</v>
      </c>
      <c r="B7" s="76" t="s">
        <v>182</v>
      </c>
      <c r="C7" s="77"/>
      <c r="D7" s="78">
        <v>1</v>
      </c>
      <c r="E7" s="79"/>
      <c r="F7" s="80"/>
      <c r="G7" s="77"/>
      <c r="H7" s="81"/>
      <c r="I7" s="82"/>
      <c r="J7" s="82"/>
      <c r="K7" s="51"/>
      <c r="L7" s="83">
        <v>7</v>
      </c>
      <c r="M7" s="83"/>
      <c r="N7" s="84">
        <v>1</v>
      </c>
      <c r="O7" s="99" t="str">
        <f>REPLACE(INDEX(GroupVertices[Group], MATCH(Edges[[#This Row],[Vertex 1]],GroupVertices[Vertex],0)),1,1,"")</f>
        <v>1</v>
      </c>
      <c r="P7" s="99" t="str">
        <f>REPLACE(INDEX(GroupVertices[Group], MATCH(Edges[[#This Row],[Vertex 2]],GroupVertices[Vertex],0)),1,1,"")</f>
        <v>1</v>
      </c>
    </row>
    <row r="8" spans="1:16" ht="14.25" customHeight="1" thickTop="1" thickBot="1" x14ac:dyDescent="0.3">
      <c r="A8" s="76" t="s">
        <v>183</v>
      </c>
      <c r="B8" s="76" t="s">
        <v>184</v>
      </c>
      <c r="C8" s="77"/>
      <c r="D8" s="78">
        <v>2.5</v>
      </c>
      <c r="E8" s="79"/>
      <c r="F8" s="80"/>
      <c r="G8" s="77"/>
      <c r="H8" s="81"/>
      <c r="I8" s="82"/>
      <c r="J8" s="82"/>
      <c r="K8" s="51"/>
      <c r="L8" s="83">
        <v>8</v>
      </c>
      <c r="M8" s="83"/>
      <c r="N8" s="84">
        <v>3</v>
      </c>
      <c r="O8" s="99" t="str">
        <f>REPLACE(INDEX(GroupVertices[Group], MATCH(Edges[[#This Row],[Vertex 1]],GroupVertices[Vertex],0)),1,1,"")</f>
        <v>1</v>
      </c>
      <c r="P8" s="99" t="str">
        <f>REPLACE(INDEX(GroupVertices[Group], MATCH(Edges[[#This Row],[Vertex 2]],GroupVertices[Vertex],0)),1,1,"")</f>
        <v>1</v>
      </c>
    </row>
    <row r="9" spans="1:16" ht="14.25" customHeight="1" thickTop="1" thickBot="1" x14ac:dyDescent="0.3">
      <c r="A9" s="76" t="s">
        <v>183</v>
      </c>
      <c r="B9" s="76" t="s">
        <v>185</v>
      </c>
      <c r="C9" s="77"/>
      <c r="D9" s="78">
        <v>1.75</v>
      </c>
      <c r="E9" s="79"/>
      <c r="F9" s="80"/>
      <c r="G9" s="77"/>
      <c r="H9" s="81"/>
      <c r="I9" s="82"/>
      <c r="J9" s="82"/>
      <c r="K9" s="51"/>
      <c r="L9" s="83">
        <v>9</v>
      </c>
      <c r="M9" s="83"/>
      <c r="N9" s="84">
        <v>2</v>
      </c>
      <c r="O9" s="99" t="str">
        <f>REPLACE(INDEX(GroupVertices[Group], MATCH(Edges[[#This Row],[Vertex 1]],GroupVertices[Vertex],0)),1,1,"")</f>
        <v>1</v>
      </c>
      <c r="P9" s="99" t="str">
        <f>REPLACE(INDEX(GroupVertices[Group], MATCH(Edges[[#This Row],[Vertex 2]],GroupVertices[Vertex],0)),1,1,"")</f>
        <v>1</v>
      </c>
    </row>
    <row r="10" spans="1:16" ht="14.25" customHeight="1" thickTop="1" thickBot="1" x14ac:dyDescent="0.3">
      <c r="A10" s="76" t="s">
        <v>183</v>
      </c>
      <c r="B10" s="76" t="s">
        <v>186</v>
      </c>
      <c r="C10" s="77"/>
      <c r="D10" s="78">
        <v>9.25</v>
      </c>
      <c r="E10" s="79"/>
      <c r="F10" s="80"/>
      <c r="G10" s="77"/>
      <c r="H10" s="81"/>
      <c r="I10" s="82"/>
      <c r="J10" s="82"/>
      <c r="K10" s="51"/>
      <c r="L10" s="83">
        <v>10</v>
      </c>
      <c r="M10" s="83"/>
      <c r="N10" s="84">
        <v>12</v>
      </c>
      <c r="O10" s="99" t="str">
        <f>REPLACE(INDEX(GroupVertices[Group], MATCH(Edges[[#This Row],[Vertex 1]],GroupVertices[Vertex],0)),1,1,"")</f>
        <v>1</v>
      </c>
      <c r="P10" s="99" t="str">
        <f>REPLACE(INDEX(GroupVertices[Group], MATCH(Edges[[#This Row],[Vertex 2]],GroupVertices[Vertex],0)),1,1,"")</f>
        <v>1</v>
      </c>
    </row>
    <row r="11" spans="1:16" ht="14.25" customHeight="1" thickTop="1" thickBot="1" x14ac:dyDescent="0.3">
      <c r="A11" s="76" t="s">
        <v>183</v>
      </c>
      <c r="B11" s="76" t="s">
        <v>187</v>
      </c>
      <c r="C11" s="77"/>
      <c r="D11" s="78">
        <v>1.75</v>
      </c>
      <c r="E11" s="79"/>
      <c r="F11" s="80"/>
      <c r="G11" s="77"/>
      <c r="H11" s="81"/>
      <c r="I11" s="82"/>
      <c r="J11" s="82"/>
      <c r="K11" s="51"/>
      <c r="L11" s="83">
        <v>11</v>
      </c>
      <c r="M11" s="83"/>
      <c r="N11" s="84">
        <v>2</v>
      </c>
      <c r="O11" s="99" t="str">
        <f>REPLACE(INDEX(GroupVertices[Group], MATCH(Edges[[#This Row],[Vertex 1]],GroupVertices[Vertex],0)),1,1,"")</f>
        <v>1</v>
      </c>
      <c r="P11" s="99" t="str">
        <f>REPLACE(INDEX(GroupVertices[Group], MATCH(Edges[[#This Row],[Vertex 2]],GroupVertices[Vertex],0)),1,1,"")</f>
        <v>1</v>
      </c>
    </row>
    <row r="12" spans="1:16" ht="14.25" customHeight="1" thickTop="1" thickBot="1" x14ac:dyDescent="0.3">
      <c r="A12" s="76" t="s">
        <v>183</v>
      </c>
      <c r="B12" s="76" t="s">
        <v>188</v>
      </c>
      <c r="C12" s="77"/>
      <c r="D12" s="78">
        <v>1.75</v>
      </c>
      <c r="E12" s="79"/>
      <c r="F12" s="80"/>
      <c r="G12" s="77"/>
      <c r="H12" s="81"/>
      <c r="I12" s="82"/>
      <c r="J12" s="82"/>
      <c r="K12" s="51"/>
      <c r="L12" s="83">
        <v>12</v>
      </c>
      <c r="M12" s="83"/>
      <c r="N12" s="84">
        <v>2</v>
      </c>
      <c r="O12" s="99" t="str">
        <f>REPLACE(INDEX(GroupVertices[Group], MATCH(Edges[[#This Row],[Vertex 1]],GroupVertices[Vertex],0)),1,1,"")</f>
        <v>1</v>
      </c>
      <c r="P12" s="99" t="str">
        <f>REPLACE(INDEX(GroupVertices[Group], MATCH(Edges[[#This Row],[Vertex 2]],GroupVertices[Vertex],0)),1,1,"")</f>
        <v>1</v>
      </c>
    </row>
    <row r="13" spans="1:16" ht="14.25" customHeight="1" thickTop="1" thickBot="1" x14ac:dyDescent="0.3">
      <c r="A13" s="76" t="s">
        <v>183</v>
      </c>
      <c r="B13" s="76" t="s">
        <v>182</v>
      </c>
      <c r="C13" s="77"/>
      <c r="D13" s="78">
        <v>1.75</v>
      </c>
      <c r="E13" s="79"/>
      <c r="F13" s="80"/>
      <c r="G13" s="77"/>
      <c r="H13" s="81"/>
      <c r="I13" s="82"/>
      <c r="J13" s="82"/>
      <c r="K13" s="51"/>
      <c r="L13" s="83">
        <v>13</v>
      </c>
      <c r="M13" s="83"/>
      <c r="N13" s="84">
        <v>2</v>
      </c>
      <c r="O13" s="99" t="str">
        <f>REPLACE(INDEX(GroupVertices[Group], MATCH(Edges[[#This Row],[Vertex 1]],GroupVertices[Vertex],0)),1,1,"")</f>
        <v>1</v>
      </c>
      <c r="P13" s="99" t="str">
        <f>REPLACE(INDEX(GroupVertices[Group], MATCH(Edges[[#This Row],[Vertex 2]],GroupVertices[Vertex],0)),1,1,"")</f>
        <v>1</v>
      </c>
    </row>
    <row r="14" spans="1:16" ht="14.25" customHeight="1" thickTop="1" thickBot="1" x14ac:dyDescent="0.3">
      <c r="A14" s="76" t="s">
        <v>176</v>
      </c>
      <c r="B14" s="76" t="s">
        <v>177</v>
      </c>
      <c r="C14" s="77"/>
      <c r="D14" s="78">
        <v>1.75</v>
      </c>
      <c r="E14" s="79"/>
      <c r="F14" s="80"/>
      <c r="G14" s="77"/>
      <c r="H14" s="81"/>
      <c r="I14" s="82"/>
      <c r="J14" s="82"/>
      <c r="K14" s="51"/>
      <c r="L14" s="83">
        <v>14</v>
      </c>
      <c r="M14" s="83"/>
      <c r="N14" s="84">
        <v>2</v>
      </c>
      <c r="O14" s="99" t="str">
        <f>REPLACE(INDEX(GroupVertices[Group], MATCH(Edges[[#This Row],[Vertex 1]],GroupVertices[Vertex],0)),1,1,"")</f>
        <v>1</v>
      </c>
      <c r="P14" s="99" t="str">
        <f>REPLACE(INDEX(GroupVertices[Group], MATCH(Edges[[#This Row],[Vertex 2]],GroupVertices[Vertex],0)),1,1,"")</f>
        <v>1</v>
      </c>
    </row>
    <row r="15" spans="1:16" ht="14.25" customHeight="1" thickTop="1" thickBot="1" x14ac:dyDescent="0.3">
      <c r="A15" s="76" t="s">
        <v>176</v>
      </c>
      <c r="B15" s="76" t="s">
        <v>189</v>
      </c>
      <c r="C15" s="77"/>
      <c r="D15" s="78">
        <v>3.25</v>
      </c>
      <c r="E15" s="79"/>
      <c r="F15" s="80"/>
      <c r="G15" s="77"/>
      <c r="H15" s="81"/>
      <c r="I15" s="82"/>
      <c r="J15" s="82"/>
      <c r="K15" s="51"/>
      <c r="L15" s="83">
        <v>15</v>
      </c>
      <c r="M15" s="83"/>
      <c r="N15" s="84">
        <v>4</v>
      </c>
      <c r="O15" s="99" t="str">
        <f>REPLACE(INDEX(GroupVertices[Group], MATCH(Edges[[#This Row],[Vertex 1]],GroupVertices[Vertex],0)),1,1,"")</f>
        <v>1</v>
      </c>
      <c r="P15" s="99" t="str">
        <f>REPLACE(INDEX(GroupVertices[Group], MATCH(Edges[[#This Row],[Vertex 2]],GroupVertices[Vertex],0)),1,1,"")</f>
        <v>1</v>
      </c>
    </row>
    <row r="16" spans="1:16" ht="14.25" customHeight="1" thickTop="1" thickBot="1" x14ac:dyDescent="0.3">
      <c r="A16" s="76" t="s">
        <v>190</v>
      </c>
      <c r="B16" s="76" t="s">
        <v>191</v>
      </c>
      <c r="C16" s="77"/>
      <c r="D16" s="78">
        <v>1</v>
      </c>
      <c r="E16" s="79"/>
      <c r="F16" s="80"/>
      <c r="G16" s="77"/>
      <c r="H16" s="81"/>
      <c r="I16" s="82"/>
      <c r="J16" s="82"/>
      <c r="K16" s="51"/>
      <c r="L16" s="83">
        <v>16</v>
      </c>
      <c r="M16" s="83"/>
      <c r="N16" s="84">
        <v>1</v>
      </c>
      <c r="O16" s="99" t="str">
        <f>REPLACE(INDEX(GroupVertices[Group], MATCH(Edges[[#This Row],[Vertex 1]],GroupVertices[Vertex],0)),1,1,"")</f>
        <v>1</v>
      </c>
      <c r="P16" s="99" t="str">
        <f>REPLACE(INDEX(GroupVertices[Group], MATCH(Edges[[#This Row],[Vertex 2]],GroupVertices[Vertex],0)),1,1,"")</f>
        <v>1</v>
      </c>
    </row>
    <row r="17" spans="1:16" ht="14.25" customHeight="1" thickTop="1" thickBot="1" x14ac:dyDescent="0.3">
      <c r="A17" s="76" t="s">
        <v>190</v>
      </c>
      <c r="B17" s="76" t="s">
        <v>192</v>
      </c>
      <c r="C17" s="77"/>
      <c r="D17" s="78">
        <v>1.75</v>
      </c>
      <c r="E17" s="79"/>
      <c r="F17" s="80"/>
      <c r="G17" s="77"/>
      <c r="H17" s="81"/>
      <c r="I17" s="82"/>
      <c r="J17" s="82"/>
      <c r="K17" s="51"/>
      <c r="L17" s="83">
        <v>17</v>
      </c>
      <c r="M17" s="83"/>
      <c r="N17" s="84">
        <v>2</v>
      </c>
      <c r="O17" s="99" t="str">
        <f>REPLACE(INDEX(GroupVertices[Group], MATCH(Edges[[#This Row],[Vertex 1]],GroupVertices[Vertex],0)),1,1,"")</f>
        <v>1</v>
      </c>
      <c r="P17" s="99" t="str">
        <f>REPLACE(INDEX(GroupVertices[Group], MATCH(Edges[[#This Row],[Vertex 2]],GroupVertices[Vertex],0)),1,1,"")</f>
        <v>1</v>
      </c>
    </row>
    <row r="18" spans="1:16" ht="14.25" customHeight="1" thickTop="1" thickBot="1" x14ac:dyDescent="0.3">
      <c r="A18" s="76" t="s">
        <v>190</v>
      </c>
      <c r="B18" s="76" t="s">
        <v>188</v>
      </c>
      <c r="C18" s="77"/>
      <c r="D18" s="78">
        <v>2.5</v>
      </c>
      <c r="E18" s="79"/>
      <c r="F18" s="80"/>
      <c r="G18" s="77"/>
      <c r="H18" s="81"/>
      <c r="I18" s="82"/>
      <c r="J18" s="82"/>
      <c r="K18" s="51"/>
      <c r="L18" s="83">
        <v>18</v>
      </c>
      <c r="M18" s="83"/>
      <c r="N18" s="84">
        <v>3</v>
      </c>
      <c r="O18" s="99" t="str">
        <f>REPLACE(INDEX(GroupVertices[Group], MATCH(Edges[[#This Row],[Vertex 1]],GroupVertices[Vertex],0)),1,1,"")</f>
        <v>1</v>
      </c>
      <c r="P18" s="99" t="str">
        <f>REPLACE(INDEX(GroupVertices[Group], MATCH(Edges[[#This Row],[Vertex 2]],GroupVertices[Vertex],0)),1,1,"")</f>
        <v>1</v>
      </c>
    </row>
    <row r="19" spans="1:16" ht="14.25" customHeight="1" thickTop="1" thickBot="1" x14ac:dyDescent="0.3">
      <c r="A19" s="76" t="s">
        <v>184</v>
      </c>
      <c r="B19" s="76" t="s">
        <v>186</v>
      </c>
      <c r="C19" s="77"/>
      <c r="D19" s="78">
        <v>1</v>
      </c>
      <c r="E19" s="79"/>
      <c r="F19" s="80"/>
      <c r="G19" s="77"/>
      <c r="H19" s="81"/>
      <c r="I19" s="82"/>
      <c r="J19" s="82"/>
      <c r="K19" s="51"/>
      <c r="L19" s="83">
        <v>19</v>
      </c>
      <c r="M19" s="83"/>
      <c r="N19" s="84">
        <v>1</v>
      </c>
      <c r="O19" s="99" t="str">
        <f>REPLACE(INDEX(GroupVertices[Group], MATCH(Edges[[#This Row],[Vertex 1]],GroupVertices[Vertex],0)),1,1,"")</f>
        <v>1</v>
      </c>
      <c r="P19" s="99" t="str">
        <f>REPLACE(INDEX(GroupVertices[Group], MATCH(Edges[[#This Row],[Vertex 2]],GroupVertices[Vertex],0)),1,1,"")</f>
        <v>1</v>
      </c>
    </row>
    <row r="20" spans="1:16" ht="14.25" customHeight="1" thickTop="1" thickBot="1" x14ac:dyDescent="0.3">
      <c r="A20" s="76" t="s">
        <v>184</v>
      </c>
      <c r="B20" s="76" t="s">
        <v>193</v>
      </c>
      <c r="C20" s="77"/>
      <c r="D20" s="78">
        <v>1.75</v>
      </c>
      <c r="E20" s="79"/>
      <c r="F20" s="80"/>
      <c r="G20" s="77"/>
      <c r="H20" s="81"/>
      <c r="I20" s="82"/>
      <c r="J20" s="82"/>
      <c r="K20" s="51"/>
      <c r="L20" s="83">
        <v>20</v>
      </c>
      <c r="M20" s="83"/>
      <c r="N20" s="84">
        <v>2</v>
      </c>
      <c r="O20" s="99" t="str">
        <f>REPLACE(INDEX(GroupVertices[Group], MATCH(Edges[[#This Row],[Vertex 1]],GroupVertices[Vertex],0)),1,1,"")</f>
        <v>1</v>
      </c>
      <c r="P20" s="99" t="str">
        <f>REPLACE(INDEX(GroupVertices[Group], MATCH(Edges[[#This Row],[Vertex 2]],GroupVertices[Vertex],0)),1,1,"")</f>
        <v>1</v>
      </c>
    </row>
    <row r="21" spans="1:16" ht="14.25" customHeight="1" thickTop="1" thickBot="1" x14ac:dyDescent="0.3">
      <c r="A21" s="76" t="s">
        <v>194</v>
      </c>
      <c r="B21" s="76" t="s">
        <v>195</v>
      </c>
      <c r="C21" s="77"/>
      <c r="D21" s="78">
        <v>10</v>
      </c>
      <c r="E21" s="79"/>
      <c r="F21" s="80"/>
      <c r="G21" s="77"/>
      <c r="H21" s="81"/>
      <c r="I21" s="82"/>
      <c r="J21" s="82"/>
      <c r="K21" s="51"/>
      <c r="L21" s="83">
        <v>21</v>
      </c>
      <c r="M21" s="83"/>
      <c r="N21" s="84">
        <v>13</v>
      </c>
      <c r="O21" s="99" t="str">
        <f>REPLACE(INDEX(GroupVertices[Group], MATCH(Edges[[#This Row],[Vertex 1]],GroupVertices[Vertex],0)),1,1,"")</f>
        <v>1</v>
      </c>
      <c r="P21" s="99" t="str">
        <f>REPLACE(INDEX(GroupVertices[Group], MATCH(Edges[[#This Row],[Vertex 2]],GroupVertices[Vertex],0)),1,1,"")</f>
        <v>1</v>
      </c>
    </row>
    <row r="22" spans="1:16" ht="14.25" customHeight="1" thickTop="1" thickBot="1" x14ac:dyDescent="0.3">
      <c r="A22" s="76" t="s">
        <v>194</v>
      </c>
      <c r="B22" s="76" t="s">
        <v>191</v>
      </c>
      <c r="C22" s="77"/>
      <c r="D22" s="78">
        <v>1</v>
      </c>
      <c r="E22" s="79"/>
      <c r="F22" s="80"/>
      <c r="G22" s="77"/>
      <c r="H22" s="81"/>
      <c r="I22" s="82"/>
      <c r="J22" s="82"/>
      <c r="K22" s="51"/>
      <c r="L22" s="83">
        <v>22</v>
      </c>
      <c r="M22" s="83"/>
      <c r="N22" s="84">
        <v>1</v>
      </c>
      <c r="O22" s="99" t="str">
        <f>REPLACE(INDEX(GroupVertices[Group], MATCH(Edges[[#This Row],[Vertex 1]],GroupVertices[Vertex],0)),1,1,"")</f>
        <v>1</v>
      </c>
      <c r="P22" s="99" t="str">
        <f>REPLACE(INDEX(GroupVertices[Group], MATCH(Edges[[#This Row],[Vertex 2]],GroupVertices[Vertex],0)),1,1,"")</f>
        <v>1</v>
      </c>
    </row>
    <row r="23" spans="1:16" ht="14.25" customHeight="1" thickTop="1" thickBot="1" x14ac:dyDescent="0.3">
      <c r="A23" s="76" t="s">
        <v>194</v>
      </c>
      <c r="B23" s="76" t="s">
        <v>192</v>
      </c>
      <c r="C23" s="77"/>
      <c r="D23" s="78">
        <v>4</v>
      </c>
      <c r="E23" s="79"/>
      <c r="F23" s="80"/>
      <c r="G23" s="77"/>
      <c r="H23" s="81"/>
      <c r="I23" s="82"/>
      <c r="J23" s="82"/>
      <c r="K23" s="51"/>
      <c r="L23" s="83">
        <v>23</v>
      </c>
      <c r="M23" s="83"/>
      <c r="N23" s="84">
        <v>5</v>
      </c>
      <c r="O23" s="99" t="str">
        <f>REPLACE(INDEX(GroupVertices[Group], MATCH(Edges[[#This Row],[Vertex 1]],GroupVertices[Vertex],0)),1,1,"")</f>
        <v>1</v>
      </c>
      <c r="P23" s="99" t="str">
        <f>REPLACE(INDEX(GroupVertices[Group], MATCH(Edges[[#This Row],[Vertex 2]],GroupVertices[Vertex],0)),1,1,"")</f>
        <v>1</v>
      </c>
    </row>
    <row r="24" spans="1:16" ht="14.25" customHeight="1" thickTop="1" thickBot="1" x14ac:dyDescent="0.3">
      <c r="A24" s="76" t="s">
        <v>194</v>
      </c>
      <c r="B24" s="76" t="s">
        <v>193</v>
      </c>
      <c r="C24" s="77"/>
      <c r="D24" s="78">
        <v>3.25</v>
      </c>
      <c r="E24" s="79"/>
      <c r="F24" s="80"/>
      <c r="G24" s="77"/>
      <c r="H24" s="81"/>
      <c r="I24" s="82"/>
      <c r="J24" s="82"/>
      <c r="K24" s="51"/>
      <c r="L24" s="83">
        <v>24</v>
      </c>
      <c r="M24" s="83"/>
      <c r="N24" s="84">
        <v>4</v>
      </c>
      <c r="O24" s="99" t="str">
        <f>REPLACE(INDEX(GroupVertices[Group], MATCH(Edges[[#This Row],[Vertex 1]],GroupVertices[Vertex],0)),1,1,"")</f>
        <v>1</v>
      </c>
      <c r="P24" s="99" t="str">
        <f>REPLACE(INDEX(GroupVertices[Group], MATCH(Edges[[#This Row],[Vertex 2]],GroupVertices[Vertex],0)),1,1,"")</f>
        <v>1</v>
      </c>
    </row>
    <row r="25" spans="1:16" ht="14.25" customHeight="1" thickTop="1" thickBot="1" x14ac:dyDescent="0.3">
      <c r="A25" s="76" t="s">
        <v>194</v>
      </c>
      <c r="B25" s="76" t="s">
        <v>188</v>
      </c>
      <c r="C25" s="77"/>
      <c r="D25" s="78">
        <v>7</v>
      </c>
      <c r="E25" s="79"/>
      <c r="F25" s="80"/>
      <c r="G25" s="77"/>
      <c r="H25" s="81"/>
      <c r="I25" s="82"/>
      <c r="J25" s="82"/>
      <c r="K25" s="51"/>
      <c r="L25" s="83">
        <v>25</v>
      </c>
      <c r="M25" s="83"/>
      <c r="N25" s="84">
        <v>9</v>
      </c>
      <c r="O25" s="99" t="str">
        <f>REPLACE(INDEX(GroupVertices[Group], MATCH(Edges[[#This Row],[Vertex 1]],GroupVertices[Vertex],0)),1,1,"")</f>
        <v>1</v>
      </c>
      <c r="P25" s="99" t="str">
        <f>REPLACE(INDEX(GroupVertices[Group], MATCH(Edges[[#This Row],[Vertex 2]],GroupVertices[Vertex],0)),1,1,"")</f>
        <v>1</v>
      </c>
    </row>
    <row r="26" spans="1:16" ht="14.25" customHeight="1" thickTop="1" thickBot="1" x14ac:dyDescent="0.3">
      <c r="A26" s="76" t="s">
        <v>185</v>
      </c>
      <c r="B26" s="76" t="s">
        <v>196</v>
      </c>
      <c r="C26" s="77"/>
      <c r="D26" s="78">
        <v>1.75</v>
      </c>
      <c r="E26" s="79"/>
      <c r="F26" s="80"/>
      <c r="G26" s="77"/>
      <c r="H26" s="81"/>
      <c r="I26" s="82"/>
      <c r="J26" s="82"/>
      <c r="K26" s="51"/>
      <c r="L26" s="83">
        <v>26</v>
      </c>
      <c r="M26" s="83"/>
      <c r="N26" s="84">
        <v>2</v>
      </c>
      <c r="O26" s="99" t="str">
        <f>REPLACE(INDEX(GroupVertices[Group], MATCH(Edges[[#This Row],[Vertex 1]],GroupVertices[Vertex],0)),1,1,"")</f>
        <v>1</v>
      </c>
      <c r="P26" s="99" t="str">
        <f>REPLACE(INDEX(GroupVertices[Group], MATCH(Edges[[#This Row],[Vertex 2]],GroupVertices[Vertex],0)),1,1,"")</f>
        <v>1</v>
      </c>
    </row>
    <row r="27" spans="1:16" ht="14.25" customHeight="1" thickTop="1" thickBot="1" x14ac:dyDescent="0.3">
      <c r="A27" s="76" t="s">
        <v>185</v>
      </c>
      <c r="B27" s="76" t="s">
        <v>188</v>
      </c>
      <c r="C27" s="77"/>
      <c r="D27" s="78">
        <v>8.5</v>
      </c>
      <c r="E27" s="79"/>
      <c r="F27" s="80"/>
      <c r="G27" s="77"/>
      <c r="H27" s="81"/>
      <c r="I27" s="82"/>
      <c r="J27" s="82"/>
      <c r="K27" s="51"/>
      <c r="L27" s="83">
        <v>27</v>
      </c>
      <c r="M27" s="83"/>
      <c r="N27" s="84">
        <v>11</v>
      </c>
      <c r="O27" s="99" t="str">
        <f>REPLACE(INDEX(GroupVertices[Group], MATCH(Edges[[#This Row],[Vertex 1]],GroupVertices[Vertex],0)),1,1,"")</f>
        <v>1</v>
      </c>
      <c r="P27" s="99" t="str">
        <f>REPLACE(INDEX(GroupVertices[Group], MATCH(Edges[[#This Row],[Vertex 2]],GroupVertices[Vertex],0)),1,1,"")</f>
        <v>1</v>
      </c>
    </row>
    <row r="28" spans="1:16" ht="14.25" customHeight="1" thickTop="1" thickBot="1" x14ac:dyDescent="0.3">
      <c r="A28" s="76" t="s">
        <v>197</v>
      </c>
      <c r="B28" s="76" t="s">
        <v>182</v>
      </c>
      <c r="C28" s="77"/>
      <c r="D28" s="78">
        <v>1.75</v>
      </c>
      <c r="E28" s="79"/>
      <c r="F28" s="80"/>
      <c r="G28" s="77"/>
      <c r="H28" s="81"/>
      <c r="I28" s="82"/>
      <c r="J28" s="82"/>
      <c r="K28" s="51"/>
      <c r="L28" s="83">
        <v>28</v>
      </c>
      <c r="M28" s="83"/>
      <c r="N28" s="84">
        <v>2</v>
      </c>
      <c r="O28" s="99" t="str">
        <f>REPLACE(INDEX(GroupVertices[Group], MATCH(Edges[[#This Row],[Vertex 1]],GroupVertices[Vertex],0)),1,1,"")</f>
        <v>1</v>
      </c>
      <c r="P28" s="99" t="str">
        <f>REPLACE(INDEX(GroupVertices[Group], MATCH(Edges[[#This Row],[Vertex 2]],GroupVertices[Vertex],0)),1,1,"")</f>
        <v>1</v>
      </c>
    </row>
    <row r="29" spans="1:16" ht="14.25" customHeight="1" thickTop="1" thickBot="1" x14ac:dyDescent="0.3">
      <c r="A29" s="76" t="s">
        <v>195</v>
      </c>
      <c r="B29" s="76" t="s">
        <v>193</v>
      </c>
      <c r="C29" s="77"/>
      <c r="D29" s="78">
        <v>6.25</v>
      </c>
      <c r="E29" s="79"/>
      <c r="F29" s="80"/>
      <c r="G29" s="77"/>
      <c r="H29" s="81"/>
      <c r="I29" s="82"/>
      <c r="J29" s="82"/>
      <c r="K29" s="51"/>
      <c r="L29" s="83">
        <v>29</v>
      </c>
      <c r="M29" s="83"/>
      <c r="N29" s="84">
        <v>8</v>
      </c>
      <c r="O29" s="99" t="str">
        <f>REPLACE(INDEX(GroupVertices[Group], MATCH(Edges[[#This Row],[Vertex 1]],GroupVertices[Vertex],0)),1,1,"")</f>
        <v>1</v>
      </c>
      <c r="P29" s="99" t="str">
        <f>REPLACE(INDEX(GroupVertices[Group], MATCH(Edges[[#This Row],[Vertex 2]],GroupVertices[Vertex],0)),1,1,"")</f>
        <v>1</v>
      </c>
    </row>
    <row r="30" spans="1:16" ht="14.25" customHeight="1" thickTop="1" thickBot="1" x14ac:dyDescent="0.3">
      <c r="A30" s="76" t="s">
        <v>198</v>
      </c>
      <c r="B30" s="76" t="s">
        <v>188</v>
      </c>
      <c r="C30" s="77"/>
      <c r="D30" s="78">
        <v>1</v>
      </c>
      <c r="E30" s="79"/>
      <c r="F30" s="80"/>
      <c r="G30" s="77"/>
      <c r="H30" s="81"/>
      <c r="I30" s="82"/>
      <c r="J30" s="82"/>
      <c r="K30" s="51"/>
      <c r="L30" s="83">
        <v>30</v>
      </c>
      <c r="M30" s="83"/>
      <c r="N30" s="84">
        <v>1</v>
      </c>
      <c r="O30" s="99" t="str">
        <f>REPLACE(INDEX(GroupVertices[Group], MATCH(Edges[[#This Row],[Vertex 1]],GroupVertices[Vertex],0)),1,1,"")</f>
        <v>1</v>
      </c>
      <c r="P30" s="99" t="str">
        <f>REPLACE(INDEX(GroupVertices[Group], MATCH(Edges[[#This Row],[Vertex 2]],GroupVertices[Vertex],0)),1,1,"")</f>
        <v>1</v>
      </c>
    </row>
    <row r="31" spans="1:16" ht="14.25" customHeight="1" thickTop="1" thickBot="1" x14ac:dyDescent="0.3">
      <c r="A31" s="76" t="s">
        <v>199</v>
      </c>
      <c r="B31" s="76" t="s">
        <v>200</v>
      </c>
      <c r="C31" s="77"/>
      <c r="D31" s="78">
        <v>1</v>
      </c>
      <c r="E31" s="79"/>
      <c r="F31" s="80"/>
      <c r="G31" s="77"/>
      <c r="H31" s="81"/>
      <c r="I31" s="82"/>
      <c r="J31" s="82"/>
      <c r="K31" s="51"/>
      <c r="L31" s="83">
        <v>31</v>
      </c>
      <c r="M31" s="83"/>
      <c r="N31" s="84">
        <v>1</v>
      </c>
      <c r="O31" s="99" t="str">
        <f>REPLACE(INDEX(GroupVertices[Group], MATCH(Edges[[#This Row],[Vertex 1]],GroupVertices[Vertex],0)),1,1,"")</f>
        <v>1</v>
      </c>
      <c r="P31" s="99" t="str">
        <f>REPLACE(INDEX(GroupVertices[Group], MATCH(Edges[[#This Row],[Vertex 2]],GroupVertices[Vertex],0)),1,1,"")</f>
        <v>1</v>
      </c>
    </row>
    <row r="32" spans="1:16" ht="14.25" customHeight="1" thickTop="1" thickBot="1" x14ac:dyDescent="0.3">
      <c r="A32" s="76" t="s">
        <v>199</v>
      </c>
      <c r="B32" s="76" t="s">
        <v>201</v>
      </c>
      <c r="C32" s="77"/>
      <c r="D32" s="78">
        <v>1</v>
      </c>
      <c r="E32" s="79"/>
      <c r="F32" s="80"/>
      <c r="G32" s="77"/>
      <c r="H32" s="81"/>
      <c r="I32" s="82"/>
      <c r="J32" s="82"/>
      <c r="K32" s="51"/>
      <c r="L32" s="83">
        <v>32</v>
      </c>
      <c r="M32" s="83"/>
      <c r="N32" s="84">
        <v>1</v>
      </c>
      <c r="O32" s="99" t="str">
        <f>REPLACE(INDEX(GroupVertices[Group], MATCH(Edges[[#This Row],[Vertex 1]],GroupVertices[Vertex],0)),1,1,"")</f>
        <v>1</v>
      </c>
      <c r="P32" s="99" t="str">
        <f>REPLACE(INDEX(GroupVertices[Group], MATCH(Edges[[#This Row],[Vertex 2]],GroupVertices[Vertex],0)),1,1,"")</f>
        <v>1</v>
      </c>
    </row>
    <row r="33" spans="1:16" ht="14.25" customHeight="1" thickTop="1" thickBot="1" x14ac:dyDescent="0.3">
      <c r="A33" s="76"/>
      <c r="B33" s="76"/>
      <c r="C33" s="77"/>
      <c r="D33" s="78"/>
      <c r="E33" s="79"/>
      <c r="F33" s="80"/>
      <c r="G33" s="77"/>
      <c r="H33" s="81"/>
      <c r="I33" s="82"/>
      <c r="J33" s="82"/>
      <c r="K33" s="51"/>
      <c r="L33" s="83">
        <v>33</v>
      </c>
      <c r="M33" s="83"/>
      <c r="N33" s="84"/>
      <c r="O33" s="99" t="e">
        <f>REPLACE(INDEX(GroupVertices[Group], MATCH(Edges[[#This Row],[Vertex 1]],GroupVertices[Vertex],0)),1,1,"")</f>
        <v>#N/A</v>
      </c>
      <c r="P33" s="99" t="e">
        <f>REPLACE(INDEX(GroupVertices[Group], MATCH(Edges[[#This Row],[Vertex 2]],GroupVertices[Vertex],0)),1,1,"")</f>
        <v>#N/A</v>
      </c>
    </row>
    <row r="34" spans="1:16" ht="14.25" customHeight="1" thickTop="1" thickBot="1" x14ac:dyDescent="0.3">
      <c r="A34" s="76" t="s">
        <v>191</v>
      </c>
      <c r="B34" s="76" t="s">
        <v>188</v>
      </c>
      <c r="C34" s="77"/>
      <c r="D34" s="78">
        <v>1.75</v>
      </c>
      <c r="E34" s="79"/>
      <c r="F34" s="80"/>
      <c r="G34" s="77"/>
      <c r="H34" s="81"/>
      <c r="I34" s="82"/>
      <c r="J34" s="82"/>
      <c r="K34" s="51"/>
      <c r="L34" s="83">
        <v>34</v>
      </c>
      <c r="M34" s="83"/>
      <c r="N34" s="84">
        <v>2</v>
      </c>
      <c r="O34" s="99" t="str">
        <f>REPLACE(INDEX(GroupVertices[Group], MATCH(Edges[[#This Row],[Vertex 1]],GroupVertices[Vertex],0)),1,1,"")</f>
        <v>1</v>
      </c>
      <c r="P34" s="99" t="str">
        <f>REPLACE(INDEX(GroupVertices[Group], MATCH(Edges[[#This Row],[Vertex 2]],GroupVertices[Vertex],0)),1,1,"")</f>
        <v>1</v>
      </c>
    </row>
    <row r="35" spans="1:16" ht="14.25" customHeight="1" thickTop="1" thickBot="1" x14ac:dyDescent="0.3">
      <c r="A35" s="76" t="s">
        <v>191</v>
      </c>
      <c r="B35" s="76" t="s">
        <v>182</v>
      </c>
      <c r="C35" s="77"/>
      <c r="D35" s="78">
        <v>3.25</v>
      </c>
      <c r="E35" s="79"/>
      <c r="F35" s="80"/>
      <c r="G35" s="77"/>
      <c r="H35" s="81"/>
      <c r="I35" s="82"/>
      <c r="J35" s="82"/>
      <c r="K35" s="51"/>
      <c r="L35" s="83">
        <v>35</v>
      </c>
      <c r="M35" s="83"/>
      <c r="N35" s="84">
        <v>4</v>
      </c>
      <c r="O35" s="99" t="str">
        <f>REPLACE(INDEX(GroupVertices[Group], MATCH(Edges[[#This Row],[Vertex 1]],GroupVertices[Vertex],0)),1,1,"")</f>
        <v>1</v>
      </c>
      <c r="P35" s="99" t="str">
        <f>REPLACE(INDEX(GroupVertices[Group], MATCH(Edges[[#This Row],[Vertex 2]],GroupVertices[Vertex],0)),1,1,"")</f>
        <v>1</v>
      </c>
    </row>
    <row r="36" spans="1:16" ht="14.25" customHeight="1" thickTop="1" thickBot="1" x14ac:dyDescent="0.3">
      <c r="A36" s="76" t="s">
        <v>192</v>
      </c>
      <c r="B36" s="76" t="s">
        <v>188</v>
      </c>
      <c r="C36" s="77"/>
      <c r="D36" s="78">
        <v>4.75</v>
      </c>
      <c r="E36" s="79"/>
      <c r="F36" s="80"/>
      <c r="G36" s="77"/>
      <c r="H36" s="81"/>
      <c r="I36" s="82"/>
      <c r="J36" s="82"/>
      <c r="K36" s="51"/>
      <c r="L36" s="83">
        <v>36</v>
      </c>
      <c r="M36" s="83"/>
      <c r="N36" s="84">
        <v>6</v>
      </c>
      <c r="O36" s="99" t="str">
        <f>REPLACE(INDEX(GroupVertices[Group], MATCH(Edges[[#This Row],[Vertex 1]],GroupVertices[Vertex],0)),1,1,"")</f>
        <v>1</v>
      </c>
      <c r="P36" s="99" t="str">
        <f>REPLACE(INDEX(GroupVertices[Group], MATCH(Edges[[#This Row],[Vertex 2]],GroupVertices[Vertex],0)),1,1,"")</f>
        <v>1</v>
      </c>
    </row>
    <row r="37" spans="1:16" ht="14.25" customHeight="1" thickTop="1" thickBot="1" x14ac:dyDescent="0.3">
      <c r="A37" s="76" t="s">
        <v>192</v>
      </c>
      <c r="B37" s="76" t="s">
        <v>182</v>
      </c>
      <c r="C37" s="77"/>
      <c r="D37" s="78">
        <v>1.75</v>
      </c>
      <c r="E37" s="79"/>
      <c r="F37" s="80"/>
      <c r="G37" s="77"/>
      <c r="H37" s="81"/>
      <c r="I37" s="82"/>
      <c r="J37" s="82"/>
      <c r="K37" s="51"/>
      <c r="L37" s="83">
        <v>37</v>
      </c>
      <c r="M37" s="83"/>
      <c r="N37" s="84">
        <v>2</v>
      </c>
      <c r="O37" s="99" t="str">
        <f>REPLACE(INDEX(GroupVertices[Group], MATCH(Edges[[#This Row],[Vertex 1]],GroupVertices[Vertex],0)),1,1,"")</f>
        <v>1</v>
      </c>
      <c r="P37" s="99" t="str">
        <f>REPLACE(INDEX(GroupVertices[Group], MATCH(Edges[[#This Row],[Vertex 2]],GroupVertices[Vertex],0)),1,1,"")</f>
        <v>1</v>
      </c>
    </row>
    <row r="38" spans="1:16" ht="14.25" customHeight="1" thickTop="1" thickBot="1" x14ac:dyDescent="0.3">
      <c r="A38" s="76" t="s">
        <v>200</v>
      </c>
      <c r="B38" s="76" t="s">
        <v>201</v>
      </c>
      <c r="C38" s="77"/>
      <c r="D38" s="78">
        <v>1</v>
      </c>
      <c r="E38" s="79"/>
      <c r="F38" s="80"/>
      <c r="G38" s="77"/>
      <c r="H38" s="81"/>
      <c r="I38" s="82"/>
      <c r="J38" s="82"/>
      <c r="K38" s="51"/>
      <c r="L38" s="83">
        <v>38</v>
      </c>
      <c r="M38" s="83"/>
      <c r="N38" s="84">
        <v>1</v>
      </c>
      <c r="O38" s="99" t="str">
        <f>REPLACE(INDEX(GroupVertices[Group], MATCH(Edges[[#This Row],[Vertex 1]],GroupVertices[Vertex],0)),1,1,"")</f>
        <v>1</v>
      </c>
      <c r="P38" s="99" t="str">
        <f>REPLACE(INDEX(GroupVertices[Group], MATCH(Edges[[#This Row],[Vertex 2]],GroupVertices[Vertex],0)),1,1,"")</f>
        <v>1</v>
      </c>
    </row>
    <row r="39" spans="1:16" ht="14.25" customHeight="1" thickTop="1" thickBot="1" x14ac:dyDescent="0.3">
      <c r="A39" s="103" t="s">
        <v>200</v>
      </c>
      <c r="B39" s="103" t="s">
        <v>182</v>
      </c>
      <c r="C39" s="104"/>
      <c r="D39" s="105">
        <v>2.5</v>
      </c>
      <c r="E39" s="106"/>
      <c r="F39" s="107"/>
      <c r="G39" s="104"/>
      <c r="H39" s="108"/>
      <c r="I39" s="109"/>
      <c r="J39" s="109"/>
      <c r="K39" s="110"/>
      <c r="L39" s="102">
        <v>39</v>
      </c>
      <c r="M39" s="102"/>
      <c r="N39" s="111">
        <v>3</v>
      </c>
      <c r="O39" s="99" t="str">
        <f>REPLACE(INDEX(GroupVertices[Group], MATCH(Edges[[#This Row],[Vertex 1]],GroupVertices[Vertex],0)),1,1,"")</f>
        <v>1</v>
      </c>
      <c r="P39" s="99" t="str">
        <f>REPLACE(INDEX(GroupVertices[Group], MATCH(Edges[[#This Row],[Vertex 2]],GroupVertices[Vertex],0)),1,1,"")</f>
        <v>1</v>
      </c>
    </row>
    <row r="40" spans="1:16" ht="14.25" customHeight="1" thickTop="1" thickBot="1" x14ac:dyDescent="0.3">
      <c r="A40" s="103" t="s">
        <v>181</v>
      </c>
      <c r="B40" s="103" t="s">
        <v>188</v>
      </c>
      <c r="C40" s="104"/>
      <c r="D40" s="105">
        <v>1.75</v>
      </c>
      <c r="E40" s="106"/>
      <c r="F40" s="107"/>
      <c r="G40" s="104"/>
      <c r="H40" s="108"/>
      <c r="I40" s="109"/>
      <c r="J40" s="109"/>
      <c r="K40" s="110"/>
      <c r="L40" s="102">
        <v>40</v>
      </c>
      <c r="M40" s="102"/>
      <c r="N40" s="111">
        <v>2</v>
      </c>
      <c r="O40" s="99" t="str">
        <f>REPLACE(INDEX(GroupVertices[Group], MATCH(Edges[[#This Row],[Vertex 1]],GroupVertices[Vertex],0)),1,1,"")</f>
        <v>1</v>
      </c>
      <c r="P40" s="99" t="str">
        <f>REPLACE(INDEX(GroupVertices[Group], MATCH(Edges[[#This Row],[Vertex 2]],GroupVertices[Vertex],0)),1,1,"")</f>
        <v>1</v>
      </c>
    </row>
    <row r="41" spans="1:16" ht="14.25" customHeight="1" thickTop="1" thickBot="1" x14ac:dyDescent="0.3">
      <c r="A41" s="103" t="s">
        <v>181</v>
      </c>
      <c r="B41" s="103" t="s">
        <v>182</v>
      </c>
      <c r="C41" s="104"/>
      <c r="D41" s="105">
        <v>1</v>
      </c>
      <c r="E41" s="106"/>
      <c r="F41" s="107"/>
      <c r="G41" s="104"/>
      <c r="H41" s="108"/>
      <c r="I41" s="109"/>
      <c r="J41" s="109"/>
      <c r="K41" s="110"/>
      <c r="L41" s="102">
        <v>41</v>
      </c>
      <c r="M41" s="102"/>
      <c r="N41" s="111">
        <v>1</v>
      </c>
      <c r="O41" s="99" t="str">
        <f>REPLACE(INDEX(GroupVertices[Group], MATCH(Edges[[#This Row],[Vertex 1]],GroupVertices[Vertex],0)),1,1,"")</f>
        <v>1</v>
      </c>
      <c r="P41" s="99" t="str">
        <f>REPLACE(INDEX(GroupVertices[Group], MATCH(Edges[[#This Row],[Vertex 2]],GroupVertices[Vertex],0)),1,1,"")</f>
        <v>1</v>
      </c>
    </row>
    <row r="42" spans="1:16" ht="14.25" customHeight="1" thickTop="1" thickBot="1" x14ac:dyDescent="0.3">
      <c r="A42" s="103" t="s">
        <v>189</v>
      </c>
      <c r="B42" s="103" t="s">
        <v>182</v>
      </c>
      <c r="C42" s="104"/>
      <c r="D42" s="105">
        <v>1</v>
      </c>
      <c r="E42" s="106"/>
      <c r="F42" s="107"/>
      <c r="G42" s="104"/>
      <c r="H42" s="108"/>
      <c r="I42" s="109"/>
      <c r="J42" s="109"/>
      <c r="K42" s="110"/>
      <c r="L42" s="102">
        <v>42</v>
      </c>
      <c r="M42" s="102"/>
      <c r="N42" s="111">
        <v>1</v>
      </c>
      <c r="O42" s="99" t="str">
        <f>REPLACE(INDEX(GroupVertices[Group], MATCH(Edges[[#This Row],[Vertex 1]],GroupVertices[Vertex],0)),1,1,"")</f>
        <v>1</v>
      </c>
      <c r="P42" s="99" t="str">
        <f>REPLACE(INDEX(GroupVertices[Group], MATCH(Edges[[#This Row],[Vertex 2]],GroupVertices[Vertex],0)),1,1,"")</f>
        <v>1</v>
      </c>
    </row>
    <row r="43" spans="1:16" ht="14.25" customHeight="1" thickTop="1" thickBot="1" x14ac:dyDescent="0.3">
      <c r="A43" s="103" t="s">
        <v>193</v>
      </c>
      <c r="B43" s="103" t="s">
        <v>188</v>
      </c>
      <c r="C43" s="104"/>
      <c r="D43" s="105">
        <v>1</v>
      </c>
      <c r="E43" s="106"/>
      <c r="F43" s="107"/>
      <c r="G43" s="104"/>
      <c r="H43" s="108"/>
      <c r="I43" s="109"/>
      <c r="J43" s="109"/>
      <c r="K43" s="110"/>
      <c r="L43" s="102">
        <v>43</v>
      </c>
      <c r="M43" s="102"/>
      <c r="N43" s="111">
        <v>1</v>
      </c>
      <c r="O43" s="99" t="str">
        <f>REPLACE(INDEX(GroupVertices[Group], MATCH(Edges[[#This Row],[Vertex 1]],GroupVertices[Vertex],0)),1,1,"")</f>
        <v>1</v>
      </c>
      <c r="P43" s="99" t="str">
        <f>REPLACE(INDEX(GroupVertices[Group], MATCH(Edges[[#This Row],[Vertex 2]],GroupVertices[Vertex],0)),1,1,"")</f>
        <v>1</v>
      </c>
    </row>
    <row r="44" spans="1:16" ht="14.25" customHeight="1" thickTop="1" thickBot="1" x14ac:dyDescent="0.3">
      <c r="A44" s="103" t="s">
        <v>188</v>
      </c>
      <c r="B44" s="103" t="s">
        <v>182</v>
      </c>
      <c r="C44" s="104"/>
      <c r="D44" s="105">
        <v>1.75</v>
      </c>
      <c r="E44" s="106"/>
      <c r="F44" s="107"/>
      <c r="G44" s="104"/>
      <c r="H44" s="108"/>
      <c r="I44" s="109"/>
      <c r="J44" s="109"/>
      <c r="K44" s="110"/>
      <c r="L44" s="102">
        <v>44</v>
      </c>
      <c r="M44" s="102"/>
      <c r="N44" s="111">
        <v>2</v>
      </c>
      <c r="O44" s="99" t="str">
        <f>REPLACE(INDEX(GroupVertices[Group], MATCH(Edges[[#This Row],[Vertex 1]],GroupVertices[Vertex],0)),1,1,"")</f>
        <v>1</v>
      </c>
      <c r="P44" s="99" t="str">
        <f>REPLACE(INDEX(GroupVertices[Group], MATCH(Edges[[#This Row],[Vertex 2]],GroupVertices[Vertex],0)),1,1,"")</f>
        <v>1</v>
      </c>
    </row>
    <row r="45" spans="1:16" ht="14.25" customHeight="1" thickTop="1" thickBot="1" x14ac:dyDescent="0.3">
      <c r="A45" s="103"/>
      <c r="B45" s="103"/>
      <c r="C45" s="104"/>
      <c r="D45" s="105"/>
      <c r="E45" s="106"/>
      <c r="F45" s="107"/>
      <c r="G45" s="104"/>
      <c r="H45" s="108"/>
      <c r="I45" s="109"/>
      <c r="J45" s="109"/>
      <c r="K45" s="110"/>
      <c r="L45" s="102">
        <v>45</v>
      </c>
      <c r="M45" s="102"/>
      <c r="N45" s="111"/>
      <c r="O45" s="99" t="e">
        <f>REPLACE(INDEX(GroupVertices[Group], MATCH(Edges[[#This Row],[Vertex 1]],GroupVertices[Vertex],0)),1,1,"")</f>
        <v>#N/A</v>
      </c>
      <c r="P45" s="99" t="e">
        <f>REPLACE(INDEX(GroupVertices[Group], MATCH(Edges[[#This Row],[Vertex 2]],GroupVertices[Vertex],0)),1,1,"")</f>
        <v>#N/A</v>
      </c>
    </row>
    <row r="46" spans="1:16" ht="14.25" customHeight="1" thickTop="1" thickBot="1" x14ac:dyDescent="0.3">
      <c r="A46" s="103"/>
      <c r="B46" s="103"/>
      <c r="C46" s="104"/>
      <c r="D46" s="105"/>
      <c r="E46" s="106"/>
      <c r="F46" s="107"/>
      <c r="G46" s="104"/>
      <c r="H46" s="108"/>
      <c r="I46" s="109"/>
      <c r="J46" s="109"/>
      <c r="K46" s="110"/>
      <c r="L46" s="102">
        <v>46</v>
      </c>
      <c r="M46" s="102"/>
      <c r="N46" s="111"/>
      <c r="O46" s="99" t="e">
        <f>REPLACE(INDEX(GroupVertices[Group], MATCH(Edges[[#This Row],[Vertex 1]],GroupVertices[Vertex],0)),1,1,"")</f>
        <v>#N/A</v>
      </c>
      <c r="P46" s="99" t="e">
        <f>REPLACE(INDEX(GroupVertices[Group], MATCH(Edges[[#This Row],[Vertex 2]],GroupVertices[Vertex],0)),1,1,"")</f>
        <v>#N/A</v>
      </c>
    </row>
    <row r="47" spans="1:16" ht="14.25" customHeight="1" thickTop="1" thickBot="1" x14ac:dyDescent="0.3">
      <c r="A47" s="103"/>
      <c r="B47" s="103"/>
      <c r="C47" s="104"/>
      <c r="D47" s="105"/>
      <c r="E47" s="106"/>
      <c r="F47" s="107"/>
      <c r="G47" s="104"/>
      <c r="H47" s="108"/>
      <c r="I47" s="109"/>
      <c r="J47" s="109"/>
      <c r="K47" s="110"/>
      <c r="L47" s="102">
        <v>47</v>
      </c>
      <c r="M47" s="102"/>
      <c r="N47" s="111"/>
      <c r="O47" s="99" t="e">
        <f>REPLACE(INDEX(GroupVertices[Group], MATCH(Edges[[#This Row],[Vertex 1]],GroupVertices[Vertex],0)),1,1,"")</f>
        <v>#N/A</v>
      </c>
      <c r="P47" s="99" t="e">
        <f>REPLACE(INDEX(GroupVertices[Group], MATCH(Edges[[#This Row],[Vertex 2]],GroupVertices[Vertex],0)),1,1,"")</f>
        <v>#N/A</v>
      </c>
    </row>
    <row r="48" spans="1:16" ht="14.25" customHeight="1" thickTop="1" thickBot="1" x14ac:dyDescent="0.3">
      <c r="A48" s="103"/>
      <c r="B48" s="103"/>
      <c r="C48" s="104"/>
      <c r="D48" s="105"/>
      <c r="E48" s="106"/>
      <c r="F48" s="107"/>
      <c r="G48" s="104"/>
      <c r="H48" s="108"/>
      <c r="I48" s="109"/>
      <c r="J48" s="109"/>
      <c r="K48" s="110"/>
      <c r="L48" s="102">
        <v>48</v>
      </c>
      <c r="M48" s="102"/>
      <c r="N48" s="111"/>
      <c r="O48" s="99" t="e">
        <f>REPLACE(INDEX(GroupVertices[Group], MATCH(Edges[[#This Row],[Vertex 1]],GroupVertices[Vertex],0)),1,1,"")</f>
        <v>#N/A</v>
      </c>
      <c r="P48" s="99" t="e">
        <f>REPLACE(INDEX(GroupVertices[Group], MATCH(Edges[[#This Row],[Vertex 2]],GroupVertices[Vertex],0)),1,1,"")</f>
        <v>#N/A</v>
      </c>
    </row>
    <row r="49" spans="1:16" ht="14.25" customHeight="1" thickTop="1" thickBot="1" x14ac:dyDescent="0.3">
      <c r="A49" s="103"/>
      <c r="B49" s="103"/>
      <c r="C49" s="104"/>
      <c r="D49" s="105"/>
      <c r="E49" s="106"/>
      <c r="F49" s="107"/>
      <c r="G49" s="104"/>
      <c r="H49" s="108"/>
      <c r="I49" s="109"/>
      <c r="J49" s="109"/>
      <c r="K49" s="110"/>
      <c r="L49" s="102">
        <v>49</v>
      </c>
      <c r="M49" s="102"/>
      <c r="N49" s="111"/>
      <c r="O49" s="99" t="e">
        <f>REPLACE(INDEX(GroupVertices[Group], MATCH(Edges[[#This Row],[Vertex 1]],GroupVertices[Vertex],0)),1,1,"")</f>
        <v>#N/A</v>
      </c>
      <c r="P49" s="99" t="e">
        <f>REPLACE(INDEX(GroupVertices[Group], MATCH(Edges[[#This Row],[Vertex 2]],GroupVertices[Vertex],0)),1,1,"")</f>
        <v>#N/A</v>
      </c>
    </row>
    <row r="50" spans="1:16" ht="14.25" customHeight="1" thickTop="1" thickBot="1" x14ac:dyDescent="0.3">
      <c r="A50" s="103"/>
      <c r="B50" s="103"/>
      <c r="C50" s="104"/>
      <c r="D50" s="105"/>
      <c r="E50" s="106"/>
      <c r="F50" s="107"/>
      <c r="G50" s="104"/>
      <c r="H50" s="108"/>
      <c r="I50" s="109"/>
      <c r="J50" s="109"/>
      <c r="K50" s="110"/>
      <c r="L50" s="102">
        <v>50</v>
      </c>
      <c r="M50" s="102"/>
      <c r="N50" s="111"/>
      <c r="O50" s="99" t="e">
        <f>REPLACE(INDEX(GroupVertices[Group], MATCH(Edges[[#This Row],[Vertex 1]],GroupVertices[Vertex],0)),1,1,"")</f>
        <v>#N/A</v>
      </c>
      <c r="P50" s="99" t="e">
        <f>REPLACE(INDEX(GroupVertices[Group], MATCH(Edges[[#This Row],[Vertex 2]],GroupVertices[Vertex],0)),1,1,"")</f>
        <v>#N/A</v>
      </c>
    </row>
    <row r="51" spans="1:16" ht="14.25" customHeight="1" thickTop="1" thickBot="1" x14ac:dyDescent="0.3">
      <c r="A51" s="103"/>
      <c r="B51" s="103"/>
      <c r="C51" s="104"/>
      <c r="D51" s="105"/>
      <c r="E51" s="106"/>
      <c r="F51" s="107"/>
      <c r="G51" s="104"/>
      <c r="H51" s="108"/>
      <c r="I51" s="109"/>
      <c r="J51" s="109"/>
      <c r="K51" s="110"/>
      <c r="L51" s="102">
        <v>51</v>
      </c>
      <c r="M51" s="102"/>
      <c r="N51" s="111"/>
      <c r="O51" s="99" t="e">
        <f>REPLACE(INDEX(GroupVertices[Group], MATCH(Edges[[#This Row],[Vertex 1]],GroupVertices[Vertex],0)),1,1,"")</f>
        <v>#N/A</v>
      </c>
      <c r="P51" s="99" t="e">
        <f>REPLACE(INDEX(GroupVertices[Group], MATCH(Edges[[#This Row],[Vertex 2]],GroupVertices[Vertex],0)),1,1,"")</f>
        <v>#N/A</v>
      </c>
    </row>
    <row r="52" spans="1:16" ht="14.25" customHeight="1" thickTop="1" thickBot="1" x14ac:dyDescent="0.3">
      <c r="A52" s="103"/>
      <c r="B52" s="103"/>
      <c r="C52" s="104"/>
      <c r="D52" s="105"/>
      <c r="E52" s="106"/>
      <c r="F52" s="107"/>
      <c r="G52" s="104"/>
      <c r="H52" s="108"/>
      <c r="I52" s="109"/>
      <c r="J52" s="109"/>
      <c r="K52" s="110"/>
      <c r="L52" s="102">
        <v>52</v>
      </c>
      <c r="M52" s="102"/>
      <c r="N52" s="111"/>
      <c r="O52" s="99" t="e">
        <f>REPLACE(INDEX(GroupVertices[Group], MATCH(Edges[[#This Row],[Vertex 1]],GroupVertices[Vertex],0)),1,1,"")</f>
        <v>#N/A</v>
      </c>
      <c r="P52" s="99" t="e">
        <f>REPLACE(INDEX(GroupVertices[Group], MATCH(Edges[[#This Row],[Vertex 2]],GroupVertices[Vertex],0)),1,1,"")</f>
        <v>#N/A</v>
      </c>
    </row>
    <row r="53" spans="1:16" ht="14.25" customHeight="1" thickTop="1" thickBot="1" x14ac:dyDescent="0.3">
      <c r="A53" s="103"/>
      <c r="B53" s="103"/>
      <c r="C53" s="104"/>
      <c r="D53" s="105"/>
      <c r="E53" s="106"/>
      <c r="F53" s="107"/>
      <c r="G53" s="104"/>
      <c r="H53" s="108"/>
      <c r="I53" s="109"/>
      <c r="J53" s="109"/>
      <c r="K53" s="110"/>
      <c r="L53" s="102">
        <v>53</v>
      </c>
      <c r="M53" s="102"/>
      <c r="N53" s="111"/>
      <c r="O53" s="99" t="e">
        <f>REPLACE(INDEX(GroupVertices[Group], MATCH(Edges[[#This Row],[Vertex 1]],GroupVertices[Vertex],0)),1,1,"")</f>
        <v>#N/A</v>
      </c>
      <c r="P53" s="99" t="e">
        <f>REPLACE(INDEX(GroupVertices[Group], MATCH(Edges[[#This Row],[Vertex 2]],GroupVertices[Vertex],0)),1,1,"")</f>
        <v>#N/A</v>
      </c>
    </row>
    <row r="54" spans="1:16" ht="14.25" customHeight="1" thickTop="1" thickBot="1" x14ac:dyDescent="0.3">
      <c r="A54" s="103"/>
      <c r="B54" s="103"/>
      <c r="C54" s="104"/>
      <c r="D54" s="105"/>
      <c r="E54" s="106"/>
      <c r="F54" s="107"/>
      <c r="G54" s="104"/>
      <c r="H54" s="108"/>
      <c r="I54" s="109"/>
      <c r="J54" s="109"/>
      <c r="K54" s="110"/>
      <c r="L54" s="102">
        <v>54</v>
      </c>
      <c r="M54" s="102"/>
      <c r="N54" s="111"/>
      <c r="O54" s="99" t="e">
        <f>REPLACE(INDEX(GroupVertices[Group], MATCH(Edges[[#This Row],[Vertex 1]],GroupVertices[Vertex],0)),1,1,"")</f>
        <v>#N/A</v>
      </c>
      <c r="P54" s="99" t="e">
        <f>REPLACE(INDEX(GroupVertices[Group], MATCH(Edges[[#This Row],[Vertex 2]],GroupVertices[Vertex],0)),1,1,"")</f>
        <v>#N/A</v>
      </c>
    </row>
    <row r="55" spans="1:16" ht="14.25" customHeight="1" thickTop="1" thickBot="1" x14ac:dyDescent="0.3">
      <c r="A55" s="103"/>
      <c r="B55" s="103"/>
      <c r="C55" s="104"/>
      <c r="D55" s="105"/>
      <c r="E55" s="106"/>
      <c r="F55" s="107"/>
      <c r="G55" s="104"/>
      <c r="H55" s="108"/>
      <c r="I55" s="109"/>
      <c r="J55" s="109"/>
      <c r="K55" s="110"/>
      <c r="L55" s="102">
        <v>55</v>
      </c>
      <c r="M55" s="102"/>
      <c r="N55" s="111"/>
      <c r="O55" s="99" t="e">
        <f>REPLACE(INDEX(GroupVertices[Group], MATCH(Edges[[#This Row],[Vertex 1]],GroupVertices[Vertex],0)),1,1,"")</f>
        <v>#N/A</v>
      </c>
      <c r="P55" s="99" t="e">
        <f>REPLACE(INDEX(GroupVertices[Group], MATCH(Edges[[#This Row],[Vertex 2]],GroupVertices[Vertex],0)),1,1,"")</f>
        <v>#N/A</v>
      </c>
    </row>
    <row r="56" spans="1:16" ht="14.25" customHeight="1" thickTop="1" thickBot="1" x14ac:dyDescent="0.3">
      <c r="A56" s="103"/>
      <c r="B56" s="103"/>
      <c r="C56" s="104"/>
      <c r="D56" s="105"/>
      <c r="E56" s="106"/>
      <c r="F56" s="107"/>
      <c r="G56" s="104"/>
      <c r="H56" s="108"/>
      <c r="I56" s="109"/>
      <c r="J56" s="109"/>
      <c r="K56" s="110"/>
      <c r="L56" s="102">
        <v>56</v>
      </c>
      <c r="M56" s="102"/>
      <c r="N56" s="111"/>
      <c r="O56" s="99" t="e">
        <f>REPLACE(INDEX(GroupVertices[Group], MATCH(Edges[[#This Row],[Vertex 1]],GroupVertices[Vertex],0)),1,1,"")</f>
        <v>#N/A</v>
      </c>
      <c r="P56" s="99" t="e">
        <f>REPLACE(INDEX(GroupVertices[Group], MATCH(Edges[[#This Row],[Vertex 2]],GroupVertices[Vertex],0)),1,1,"")</f>
        <v>#N/A</v>
      </c>
    </row>
    <row r="57" spans="1:16" ht="14.25" customHeight="1" thickTop="1" thickBot="1" x14ac:dyDescent="0.3">
      <c r="A57" s="103"/>
      <c r="B57" s="103"/>
      <c r="C57" s="104"/>
      <c r="D57" s="105"/>
      <c r="E57" s="106"/>
      <c r="F57" s="107"/>
      <c r="G57" s="104"/>
      <c r="H57" s="108"/>
      <c r="I57" s="109"/>
      <c r="J57" s="109"/>
      <c r="K57" s="110"/>
      <c r="L57" s="102">
        <v>57</v>
      </c>
      <c r="M57" s="102"/>
      <c r="N57" s="111"/>
      <c r="O57" s="99" t="e">
        <f>REPLACE(INDEX(GroupVertices[Group], MATCH(Edges[[#This Row],[Vertex 1]],GroupVertices[Vertex],0)),1,1,"")</f>
        <v>#N/A</v>
      </c>
      <c r="P57" s="99" t="e">
        <f>REPLACE(INDEX(GroupVertices[Group], MATCH(Edges[[#This Row],[Vertex 2]],GroupVertices[Vertex],0)),1,1,"")</f>
        <v>#N/A</v>
      </c>
    </row>
    <row r="58" spans="1:16" ht="14.25" customHeight="1" thickTop="1" thickBot="1" x14ac:dyDescent="0.3">
      <c r="A58" s="103"/>
      <c r="B58" s="103"/>
      <c r="C58" s="104"/>
      <c r="D58" s="105"/>
      <c r="E58" s="106"/>
      <c r="F58" s="107"/>
      <c r="G58" s="104"/>
      <c r="H58" s="108"/>
      <c r="I58" s="109"/>
      <c r="J58" s="109"/>
      <c r="K58" s="110"/>
      <c r="L58" s="102">
        <v>58</v>
      </c>
      <c r="M58" s="102"/>
      <c r="N58" s="111"/>
      <c r="O58" s="99" t="e">
        <f>REPLACE(INDEX(GroupVertices[Group], MATCH(Edges[[#This Row],[Vertex 1]],GroupVertices[Vertex],0)),1,1,"")</f>
        <v>#N/A</v>
      </c>
      <c r="P58" s="99" t="e">
        <f>REPLACE(INDEX(GroupVertices[Group], MATCH(Edges[[#This Row],[Vertex 2]],GroupVertices[Vertex],0)),1,1,"")</f>
        <v>#N/A</v>
      </c>
    </row>
    <row r="59" spans="1:16" ht="14.25" customHeight="1" thickTop="1" thickBot="1" x14ac:dyDescent="0.3">
      <c r="A59" s="103"/>
      <c r="B59" s="103"/>
      <c r="C59" s="104"/>
      <c r="D59" s="105"/>
      <c r="E59" s="106"/>
      <c r="F59" s="107"/>
      <c r="G59" s="104"/>
      <c r="H59" s="108"/>
      <c r="I59" s="109"/>
      <c r="J59" s="109"/>
      <c r="K59" s="110"/>
      <c r="L59" s="102">
        <v>59</v>
      </c>
      <c r="M59" s="102"/>
      <c r="N59" s="111"/>
      <c r="O59" s="99" t="e">
        <f>REPLACE(INDEX(GroupVertices[Group], MATCH(Edges[[#This Row],[Vertex 1]],GroupVertices[Vertex],0)),1,1,"")</f>
        <v>#N/A</v>
      </c>
      <c r="P59" s="99" t="e">
        <f>REPLACE(INDEX(GroupVertices[Group], MATCH(Edges[[#This Row],[Vertex 2]],GroupVertices[Vertex],0)),1,1,"")</f>
        <v>#N/A</v>
      </c>
    </row>
    <row r="60" spans="1:16" ht="14.25" customHeight="1" thickTop="1" thickBot="1" x14ac:dyDescent="0.3">
      <c r="A60" s="103"/>
      <c r="B60" s="103"/>
      <c r="C60" s="104"/>
      <c r="D60" s="105"/>
      <c r="E60" s="106"/>
      <c r="F60" s="107"/>
      <c r="G60" s="104"/>
      <c r="H60" s="108"/>
      <c r="I60" s="109"/>
      <c r="J60" s="109"/>
      <c r="K60" s="110"/>
      <c r="L60" s="102">
        <v>60</v>
      </c>
      <c r="M60" s="102"/>
      <c r="N60" s="111"/>
      <c r="O60" s="99" t="e">
        <f>REPLACE(INDEX(GroupVertices[Group], MATCH(Edges[[#This Row],[Vertex 1]],GroupVertices[Vertex],0)),1,1,"")</f>
        <v>#N/A</v>
      </c>
      <c r="P60" s="99" t="e">
        <f>REPLACE(INDEX(GroupVertices[Group], MATCH(Edges[[#This Row],[Vertex 2]],GroupVertices[Vertex],0)),1,1,"")</f>
        <v>#N/A</v>
      </c>
    </row>
    <row r="61" spans="1:16" ht="14.25" customHeight="1" thickTop="1" thickBot="1" x14ac:dyDescent="0.3">
      <c r="A61" s="103"/>
      <c r="B61" s="103"/>
      <c r="C61" s="104"/>
      <c r="D61" s="105"/>
      <c r="E61" s="106"/>
      <c r="F61" s="107"/>
      <c r="G61" s="104"/>
      <c r="H61" s="108"/>
      <c r="I61" s="109"/>
      <c r="J61" s="109"/>
      <c r="K61" s="110"/>
      <c r="L61" s="102">
        <v>61</v>
      </c>
      <c r="M61" s="102"/>
      <c r="N61" s="111"/>
      <c r="O61" s="99" t="e">
        <f>REPLACE(INDEX(GroupVertices[Group], MATCH(Edges[[#This Row],[Vertex 1]],GroupVertices[Vertex],0)),1,1,"")</f>
        <v>#N/A</v>
      </c>
      <c r="P61" s="99" t="e">
        <f>REPLACE(INDEX(GroupVertices[Group], MATCH(Edges[[#This Row],[Vertex 2]],GroupVertices[Vertex],0)),1,1,"")</f>
        <v>#N/A</v>
      </c>
    </row>
    <row r="62" spans="1:16" ht="14.25" customHeight="1" thickTop="1" x14ac:dyDescent="0.25">
      <c r="C62" s="8"/>
      <c r="D62" s="9"/>
      <c r="E62" s="102"/>
      <c r="F62" s="10"/>
      <c r="G62" s="8"/>
      <c r="H62" s="11"/>
      <c r="I62" s="8"/>
      <c r="J62" s="8"/>
      <c r="K62" s="8"/>
      <c r="L62" s="102">
        <v>62</v>
      </c>
      <c r="M62" s="102"/>
      <c r="O62" s="99" t="e">
        <f>REPLACE(INDEX(GroupVertices[Group], MATCH(Edges[[#This Row],[Vertex 1]],GroupVertices[Vertex],0)),1,1,"")</f>
        <v>#N/A</v>
      </c>
      <c r="P62" s="99" t="e">
        <f>REPLACE(INDEX(GroupVertices[Group], MATCH(Edges[[#This Row],[Vertex 2]],GroupVertices[Vertex],0)),1,1,"")</f>
        <v>#N/A</v>
      </c>
    </row>
    <row r="63" spans="1:16" ht="14.25" customHeight="1" x14ac:dyDescent="0.25">
      <c r="C63" s="8"/>
      <c r="D63" s="9"/>
      <c r="E63" s="102"/>
      <c r="F63" s="10"/>
      <c r="G63" s="8"/>
      <c r="H63" s="11"/>
      <c r="I63" s="8"/>
      <c r="J63" s="8"/>
      <c r="K63" s="8"/>
      <c r="L63" s="102">
        <v>63</v>
      </c>
      <c r="M63" s="102"/>
      <c r="O63" s="99" t="e">
        <f>REPLACE(INDEX(GroupVertices[Group], MATCH(Edges[[#This Row],[Vertex 1]],GroupVertices[Vertex],0)),1,1,"")</f>
        <v>#N/A</v>
      </c>
      <c r="P63" s="99" t="e">
        <f>REPLACE(INDEX(GroupVertices[Group], MATCH(Edges[[#This Row],[Vertex 2]],GroupVertices[Vertex],0)),1,1,"")</f>
        <v>#N/A</v>
      </c>
    </row>
    <row r="64" spans="1:16" ht="14.25" customHeight="1" x14ac:dyDescent="0.25">
      <c r="C64" s="8"/>
      <c r="D64" s="9"/>
      <c r="E64" s="102"/>
      <c r="F64" s="10"/>
      <c r="G64" s="8"/>
      <c r="H64" s="11"/>
      <c r="I64" s="8"/>
      <c r="J64" s="8"/>
      <c r="K64" s="8"/>
      <c r="L64" s="102">
        <v>64</v>
      </c>
      <c r="M64" s="102"/>
      <c r="O64" s="99" t="e">
        <f>REPLACE(INDEX(GroupVertices[Group], MATCH(Edges[[#This Row],[Vertex 1]],GroupVertices[Vertex],0)),1,1,"")</f>
        <v>#N/A</v>
      </c>
      <c r="P64" s="99" t="e">
        <f>REPLACE(INDEX(GroupVertices[Group], MATCH(Edges[[#This Row],[Vertex 2]],GroupVertices[Vertex],0)),1,1,"")</f>
        <v>#N/A</v>
      </c>
    </row>
    <row r="65" spans="3:16" ht="14.25" customHeight="1" x14ac:dyDescent="0.25">
      <c r="C65" s="8"/>
      <c r="D65" s="9"/>
      <c r="E65" s="102"/>
      <c r="F65" s="10"/>
      <c r="G65" s="8"/>
      <c r="H65" s="11"/>
      <c r="I65" s="8"/>
      <c r="J65" s="8"/>
      <c r="K65" s="8"/>
      <c r="L65" s="102">
        <v>65</v>
      </c>
      <c r="M65" s="102"/>
      <c r="O65" s="99" t="e">
        <f>REPLACE(INDEX(GroupVertices[Group], MATCH(Edges[[#This Row],[Vertex 1]],GroupVertices[Vertex],0)),1,1,"")</f>
        <v>#N/A</v>
      </c>
      <c r="P65" s="99" t="e">
        <f>REPLACE(INDEX(GroupVertices[Group], MATCH(Edges[[#This Row],[Vertex 2]],GroupVertices[Vertex],0)),1,1,"")</f>
        <v>#N/A</v>
      </c>
    </row>
    <row r="66" spans="3:16" ht="14.25" customHeight="1" x14ac:dyDescent="0.25">
      <c r="C66" s="8"/>
      <c r="D66" s="9"/>
      <c r="E66" s="102"/>
      <c r="F66" s="10"/>
      <c r="G66" s="8"/>
      <c r="H66" s="11"/>
      <c r="I66" s="8"/>
      <c r="J66" s="8"/>
      <c r="K66" s="8"/>
      <c r="L66" s="102">
        <v>66</v>
      </c>
      <c r="M66" s="102"/>
      <c r="O66" s="99" t="e">
        <f>REPLACE(INDEX(GroupVertices[Group], MATCH(Edges[[#This Row],[Vertex 1]],GroupVertices[Vertex],0)),1,1,"")</f>
        <v>#N/A</v>
      </c>
      <c r="P66" s="99" t="e">
        <f>REPLACE(INDEX(GroupVertices[Group], MATCH(Edges[[#This Row],[Vertex 2]],GroupVertices[Vertex],0)),1,1,"")</f>
        <v>#N/A</v>
      </c>
    </row>
    <row r="67" spans="3:16" ht="14.25" customHeight="1" x14ac:dyDescent="0.25">
      <c r="C67" s="8"/>
      <c r="D67" s="9"/>
      <c r="E67" s="102"/>
      <c r="F67" s="10"/>
      <c r="G67" s="8"/>
      <c r="H67" s="11"/>
      <c r="I67" s="8"/>
      <c r="J67" s="8"/>
      <c r="K67" s="8"/>
      <c r="L67" s="102">
        <v>67</v>
      </c>
      <c r="M67" s="102"/>
      <c r="O67" s="99" t="e">
        <f>REPLACE(INDEX(GroupVertices[Group], MATCH(Edges[[#This Row],[Vertex 1]],GroupVertices[Vertex],0)),1,1,"")</f>
        <v>#N/A</v>
      </c>
      <c r="P67" s="99" t="e">
        <f>REPLACE(INDEX(GroupVertices[Group], MATCH(Edges[[#This Row],[Vertex 2]],GroupVertices[Vertex],0)),1,1,"")</f>
        <v>#N/A</v>
      </c>
    </row>
    <row r="68" spans="3:16" ht="14.25" customHeight="1" x14ac:dyDescent="0.25">
      <c r="C68" s="8"/>
      <c r="D68" s="9"/>
      <c r="E68" s="102"/>
      <c r="F68" s="10"/>
      <c r="G68" s="8"/>
      <c r="H68" s="11"/>
      <c r="I68" s="8"/>
      <c r="J68" s="8"/>
      <c r="K68" s="8"/>
      <c r="L68" s="102">
        <v>68</v>
      </c>
      <c r="M68" s="102"/>
      <c r="O68" s="99" t="e">
        <f>REPLACE(INDEX(GroupVertices[Group], MATCH(Edges[[#This Row],[Vertex 1]],GroupVertices[Vertex],0)),1,1,"")</f>
        <v>#N/A</v>
      </c>
      <c r="P68" s="99" t="e">
        <f>REPLACE(INDEX(GroupVertices[Group], MATCH(Edges[[#This Row],[Vertex 2]],GroupVertices[Vertex],0)),1,1,"")</f>
        <v>#N/A</v>
      </c>
    </row>
    <row r="69" spans="3:16" ht="14.25" customHeight="1" x14ac:dyDescent="0.25">
      <c r="C69" s="8"/>
      <c r="D69" s="9"/>
      <c r="E69" s="102"/>
      <c r="F69" s="10"/>
      <c r="G69" s="8"/>
      <c r="H69" s="11"/>
      <c r="I69" s="8"/>
      <c r="J69" s="8"/>
      <c r="K69" s="8"/>
      <c r="L69" s="102">
        <v>69</v>
      </c>
      <c r="M69" s="102"/>
      <c r="O69" s="99" t="e">
        <f>REPLACE(INDEX(GroupVertices[Group], MATCH(Edges[[#This Row],[Vertex 1]],GroupVertices[Vertex],0)),1,1,"")</f>
        <v>#N/A</v>
      </c>
      <c r="P69" s="99" t="e">
        <f>REPLACE(INDEX(GroupVertices[Group], MATCH(Edges[[#This Row],[Vertex 2]],GroupVertices[Vertex],0)),1,1,"")</f>
        <v>#N/A</v>
      </c>
    </row>
    <row r="70" spans="3:16" ht="14.25" customHeight="1" x14ac:dyDescent="0.25">
      <c r="C70" s="8"/>
      <c r="D70" s="9"/>
      <c r="E70" s="102"/>
      <c r="F70" s="10"/>
      <c r="G70" s="8"/>
      <c r="H70" s="11"/>
      <c r="I70" s="8"/>
      <c r="J70" s="8"/>
      <c r="K70" s="8"/>
      <c r="L70" s="102">
        <v>70</v>
      </c>
      <c r="M70" s="102"/>
      <c r="O70" s="99" t="e">
        <f>REPLACE(INDEX(GroupVertices[Group], MATCH(Edges[[#This Row],[Vertex 1]],GroupVertices[Vertex],0)),1,1,"")</f>
        <v>#N/A</v>
      </c>
      <c r="P70" s="99" t="e">
        <f>REPLACE(INDEX(GroupVertices[Group], MATCH(Edges[[#This Row],[Vertex 2]],GroupVertices[Vertex],0)),1,1,"")</f>
        <v>#N/A</v>
      </c>
    </row>
    <row r="71" spans="3:16" ht="14.25" customHeight="1" x14ac:dyDescent="0.25">
      <c r="C71" s="8"/>
      <c r="D71" s="9"/>
      <c r="E71" s="102"/>
      <c r="F71" s="10"/>
      <c r="G71" s="8"/>
      <c r="H71" s="11"/>
      <c r="I71" s="8"/>
      <c r="J71" s="8"/>
      <c r="K71" s="8"/>
      <c r="L71" s="102">
        <v>71</v>
      </c>
      <c r="M71" s="102"/>
      <c r="O71" s="99" t="e">
        <f>REPLACE(INDEX(GroupVertices[Group], MATCH(Edges[[#This Row],[Vertex 1]],GroupVertices[Vertex],0)),1,1,"")</f>
        <v>#N/A</v>
      </c>
      <c r="P71" s="99" t="e">
        <f>REPLACE(INDEX(GroupVertices[Group], MATCH(Edges[[#This Row],[Vertex 2]],GroupVertices[Vertex],0)),1,1,"")</f>
        <v>#N/A</v>
      </c>
    </row>
    <row r="72" spans="3:16" ht="14.25" customHeight="1" x14ac:dyDescent="0.25">
      <c r="C72" s="8"/>
      <c r="D72" s="9"/>
      <c r="E72" s="102"/>
      <c r="F72" s="10"/>
      <c r="G72" s="8"/>
      <c r="H72" s="11"/>
      <c r="I72" s="8"/>
      <c r="J72" s="8"/>
      <c r="K72" s="8"/>
      <c r="L72" s="102">
        <v>72</v>
      </c>
      <c r="M72" s="102"/>
      <c r="O72" s="99" t="e">
        <f>REPLACE(INDEX(GroupVertices[Group], MATCH(Edges[[#This Row],[Vertex 1]],GroupVertices[Vertex],0)),1,1,"")</f>
        <v>#N/A</v>
      </c>
      <c r="P72" s="99" t="e">
        <f>REPLACE(INDEX(GroupVertices[Group], MATCH(Edges[[#This Row],[Vertex 2]],GroupVertices[Vertex],0)),1,1,"")</f>
        <v>#N/A</v>
      </c>
    </row>
    <row r="73" spans="3:16" ht="14.25" customHeight="1" x14ac:dyDescent="0.25">
      <c r="C73" s="8"/>
      <c r="D73" s="9"/>
      <c r="E73" s="102"/>
      <c r="F73" s="10"/>
      <c r="G73" s="8"/>
      <c r="H73" s="11"/>
      <c r="I73" s="8"/>
      <c r="J73" s="8"/>
      <c r="K73" s="8"/>
      <c r="L73" s="102">
        <v>73</v>
      </c>
      <c r="M73" s="102"/>
      <c r="O73" s="99" t="e">
        <f>REPLACE(INDEX(GroupVertices[Group], MATCH(Edges[[#This Row],[Vertex 1]],GroupVertices[Vertex],0)),1,1,"")</f>
        <v>#N/A</v>
      </c>
      <c r="P73" s="99" t="e">
        <f>REPLACE(INDEX(GroupVertices[Group], MATCH(Edges[[#This Row],[Vertex 2]],GroupVertices[Vertex],0)),1,1,"")</f>
        <v>#N/A</v>
      </c>
    </row>
    <row r="74" spans="3:16" ht="14.25" customHeight="1" x14ac:dyDescent="0.25">
      <c r="C74" s="8"/>
      <c r="D74" s="9"/>
      <c r="E74" s="102"/>
      <c r="F74" s="10"/>
      <c r="G74" s="8"/>
      <c r="H74" s="11"/>
      <c r="I74" s="8"/>
      <c r="J74" s="8"/>
      <c r="K74" s="8"/>
      <c r="L74" s="102">
        <v>74</v>
      </c>
      <c r="M74" s="102"/>
      <c r="O74" s="99" t="e">
        <f>REPLACE(INDEX(GroupVertices[Group], MATCH(Edges[[#This Row],[Vertex 1]],GroupVertices[Vertex],0)),1,1,"")</f>
        <v>#N/A</v>
      </c>
      <c r="P74" s="99" t="e">
        <f>REPLACE(INDEX(GroupVertices[Group], MATCH(Edges[[#This Row],[Vertex 2]],GroupVertices[Vertex],0)),1,1,"")</f>
        <v>#N/A</v>
      </c>
    </row>
    <row r="75" spans="3:16" ht="14.25" customHeight="1" x14ac:dyDescent="0.25">
      <c r="C75" s="8"/>
      <c r="D75" s="9"/>
      <c r="E75" s="102"/>
      <c r="F75" s="10"/>
      <c r="G75" s="8"/>
      <c r="H75" s="11"/>
      <c r="I75" s="8"/>
      <c r="J75" s="8"/>
      <c r="K75" s="8"/>
      <c r="L75" s="102">
        <v>75</v>
      </c>
      <c r="M75" s="102"/>
      <c r="O75" s="99" t="e">
        <f>REPLACE(INDEX(GroupVertices[Group], MATCH(Edges[[#This Row],[Vertex 1]],GroupVertices[Vertex],0)),1,1,"")</f>
        <v>#N/A</v>
      </c>
      <c r="P75" s="99" t="e">
        <f>REPLACE(INDEX(GroupVertices[Group], MATCH(Edges[[#This Row],[Vertex 2]],GroupVertices[Vertex],0)),1,1,"")</f>
        <v>#N/A</v>
      </c>
    </row>
    <row r="76" spans="3:16" ht="14.25" customHeight="1" x14ac:dyDescent="0.25">
      <c r="C76" s="8"/>
      <c r="D76" s="9"/>
      <c r="E76" s="102"/>
      <c r="F76" s="10"/>
      <c r="G76" s="8"/>
      <c r="H76" s="11"/>
      <c r="I76" s="8"/>
      <c r="J76" s="8"/>
      <c r="K76" s="8"/>
      <c r="L76" s="102">
        <v>76</v>
      </c>
      <c r="M76" s="102"/>
      <c r="O76" s="99" t="e">
        <f>REPLACE(INDEX(GroupVertices[Group], MATCH(Edges[[#This Row],[Vertex 1]],GroupVertices[Vertex],0)),1,1,"")</f>
        <v>#N/A</v>
      </c>
      <c r="P76" s="99" t="e">
        <f>REPLACE(INDEX(GroupVertices[Group], MATCH(Edges[[#This Row],[Vertex 2]],GroupVertices[Vertex],0)),1,1,"")</f>
        <v>#N/A</v>
      </c>
    </row>
    <row r="77" spans="3:16" ht="14.25" customHeight="1" x14ac:dyDescent="0.25">
      <c r="C77" s="8"/>
      <c r="D77" s="9"/>
      <c r="E77" s="102"/>
      <c r="F77" s="10"/>
      <c r="G77" s="8"/>
      <c r="H77" s="11"/>
      <c r="I77" s="8"/>
      <c r="J77" s="8"/>
      <c r="K77" s="8"/>
      <c r="L77" s="102">
        <v>77</v>
      </c>
      <c r="M77" s="102"/>
      <c r="O77" s="99" t="e">
        <f>REPLACE(INDEX(GroupVertices[Group], MATCH(Edges[[#This Row],[Vertex 1]],GroupVertices[Vertex],0)),1,1,"")</f>
        <v>#N/A</v>
      </c>
      <c r="P77" s="99" t="e">
        <f>REPLACE(INDEX(GroupVertices[Group], MATCH(Edges[[#This Row],[Vertex 2]],GroupVertices[Vertex],0)),1,1,"")</f>
        <v>#N/A</v>
      </c>
    </row>
    <row r="78" spans="3:16" ht="14.25" customHeight="1" x14ac:dyDescent="0.25">
      <c r="C78" s="8"/>
      <c r="D78" s="9"/>
      <c r="E78" s="102"/>
      <c r="F78" s="10"/>
      <c r="G78" s="8"/>
      <c r="H78" s="11"/>
      <c r="I78" s="8"/>
      <c r="J78" s="8"/>
      <c r="K78" s="8"/>
      <c r="L78" s="102">
        <v>78</v>
      </c>
      <c r="M78" s="102"/>
      <c r="O78" s="99" t="e">
        <f>REPLACE(INDEX(GroupVertices[Group], MATCH(Edges[[#This Row],[Vertex 1]],GroupVertices[Vertex],0)),1,1,"")</f>
        <v>#N/A</v>
      </c>
      <c r="P78" s="99" t="e">
        <f>REPLACE(INDEX(GroupVertices[Group], MATCH(Edges[[#This Row],[Vertex 2]],GroupVertices[Vertex],0)),1,1,"")</f>
        <v>#N/A</v>
      </c>
    </row>
    <row r="79" spans="3:16" ht="14.25" customHeight="1" x14ac:dyDescent="0.25">
      <c r="C79" s="8"/>
      <c r="D79" s="9"/>
      <c r="E79" s="102"/>
      <c r="F79" s="10"/>
      <c r="G79" s="8"/>
      <c r="H79" s="11"/>
      <c r="I79" s="8"/>
      <c r="J79" s="8"/>
      <c r="K79" s="8"/>
      <c r="L79" s="102">
        <v>79</v>
      </c>
      <c r="M79" s="102"/>
      <c r="O79" s="99" t="e">
        <f>REPLACE(INDEX(GroupVertices[Group], MATCH(Edges[[#This Row],[Vertex 1]],GroupVertices[Vertex],0)),1,1,"")</f>
        <v>#N/A</v>
      </c>
      <c r="P79" s="99" t="e">
        <f>REPLACE(INDEX(GroupVertices[Group], MATCH(Edges[[#This Row],[Vertex 2]],GroupVertices[Vertex],0)),1,1,"")</f>
        <v>#N/A</v>
      </c>
    </row>
    <row r="80" spans="3:16" ht="14.25" customHeight="1" x14ac:dyDescent="0.25">
      <c r="C80" s="8"/>
      <c r="D80" s="9"/>
      <c r="E80" s="102"/>
      <c r="F80" s="10"/>
      <c r="G80" s="8"/>
      <c r="H80" s="11"/>
      <c r="I80" s="8"/>
      <c r="J80" s="8"/>
      <c r="K80" s="8"/>
      <c r="L80" s="102">
        <v>80</v>
      </c>
      <c r="M80" s="102"/>
      <c r="O80" s="99" t="e">
        <f>REPLACE(INDEX(GroupVertices[Group], MATCH(Edges[[#This Row],[Vertex 1]],GroupVertices[Vertex],0)),1,1,"")</f>
        <v>#N/A</v>
      </c>
      <c r="P80" s="99" t="e">
        <f>REPLACE(INDEX(GroupVertices[Group], MATCH(Edges[[#This Row],[Vertex 2]],GroupVertices[Vertex],0)),1,1,"")</f>
        <v>#N/A</v>
      </c>
    </row>
    <row r="81" spans="3:16" ht="14.25" customHeight="1" x14ac:dyDescent="0.25">
      <c r="C81" s="8"/>
      <c r="D81" s="9"/>
      <c r="E81" s="102"/>
      <c r="F81" s="10"/>
      <c r="G81" s="8"/>
      <c r="H81" s="11"/>
      <c r="I81" s="8"/>
      <c r="J81" s="8"/>
      <c r="K81" s="8"/>
      <c r="L81" s="102">
        <v>81</v>
      </c>
      <c r="M81" s="102"/>
      <c r="O81" s="99" t="e">
        <f>REPLACE(INDEX(GroupVertices[Group], MATCH(Edges[[#This Row],[Vertex 1]],GroupVertices[Vertex],0)),1,1,"")</f>
        <v>#N/A</v>
      </c>
      <c r="P81" s="99" t="e">
        <f>REPLACE(INDEX(GroupVertices[Group], MATCH(Edges[[#This Row],[Vertex 2]],GroupVertices[Vertex],0)),1,1,"")</f>
        <v>#N/A</v>
      </c>
    </row>
    <row r="82" spans="3:16" ht="14.25" customHeight="1" x14ac:dyDescent="0.25">
      <c r="C82" s="8"/>
      <c r="D82" s="9"/>
      <c r="E82" s="102"/>
      <c r="F82" s="10"/>
      <c r="G82" s="8"/>
      <c r="H82" s="11"/>
      <c r="I82" s="8"/>
      <c r="J82" s="8"/>
      <c r="K82" s="8"/>
      <c r="L82" s="102">
        <v>82</v>
      </c>
      <c r="M82" s="102"/>
      <c r="O82" s="99" t="e">
        <f>REPLACE(INDEX(GroupVertices[Group], MATCH(Edges[[#This Row],[Vertex 1]],GroupVertices[Vertex],0)),1,1,"")</f>
        <v>#N/A</v>
      </c>
      <c r="P82" s="99" t="e">
        <f>REPLACE(INDEX(GroupVertices[Group], MATCH(Edges[[#This Row],[Vertex 2]],GroupVertices[Vertex],0)),1,1,"")</f>
        <v>#N/A</v>
      </c>
    </row>
    <row r="83" spans="3:16" ht="14.25" customHeight="1" x14ac:dyDescent="0.25">
      <c r="C83" s="8"/>
      <c r="D83" s="9"/>
      <c r="E83" s="102"/>
      <c r="F83" s="10"/>
      <c r="G83" s="8"/>
      <c r="H83" s="11"/>
      <c r="I83" s="8"/>
      <c r="J83" s="8"/>
      <c r="K83" s="8"/>
      <c r="L83" s="102">
        <v>83</v>
      </c>
      <c r="M83" s="102"/>
      <c r="O83" s="99" t="e">
        <f>REPLACE(INDEX(GroupVertices[Group], MATCH(Edges[[#This Row],[Vertex 1]],GroupVertices[Vertex],0)),1,1,"")</f>
        <v>#N/A</v>
      </c>
      <c r="P83" s="99" t="e">
        <f>REPLACE(INDEX(GroupVertices[Group], MATCH(Edges[[#This Row],[Vertex 2]],GroupVertices[Vertex],0)),1,1,"")</f>
        <v>#N/A</v>
      </c>
    </row>
    <row r="84" spans="3:16" ht="14.25" customHeight="1" x14ac:dyDescent="0.25">
      <c r="C84" s="8"/>
      <c r="D84" s="9"/>
      <c r="E84" s="102"/>
      <c r="F84" s="10"/>
      <c r="G84" s="8"/>
      <c r="H84" s="11"/>
      <c r="I84" s="8"/>
      <c r="J84" s="8"/>
      <c r="K84" s="8"/>
      <c r="L84" s="102">
        <v>84</v>
      </c>
      <c r="M84" s="102"/>
      <c r="O84" s="99" t="e">
        <f>REPLACE(INDEX(GroupVertices[Group], MATCH(Edges[[#This Row],[Vertex 1]],GroupVertices[Vertex],0)),1,1,"")</f>
        <v>#N/A</v>
      </c>
      <c r="P84" s="99" t="e">
        <f>REPLACE(INDEX(GroupVertices[Group], MATCH(Edges[[#This Row],[Vertex 2]],GroupVertices[Vertex],0)),1,1,"")</f>
        <v>#N/A</v>
      </c>
    </row>
    <row r="85" spans="3:16" ht="14.25" customHeight="1" x14ac:dyDescent="0.25">
      <c r="C85" s="8"/>
      <c r="D85" s="9"/>
      <c r="E85" s="102"/>
      <c r="F85" s="10"/>
      <c r="G85" s="8"/>
      <c r="H85" s="11"/>
      <c r="I85" s="8"/>
      <c r="J85" s="8"/>
      <c r="K85" s="8"/>
      <c r="L85" s="102">
        <v>85</v>
      </c>
      <c r="M85" s="102"/>
      <c r="O85" s="99" t="e">
        <f>REPLACE(INDEX(GroupVertices[Group], MATCH(Edges[[#This Row],[Vertex 1]],GroupVertices[Vertex],0)),1,1,"")</f>
        <v>#N/A</v>
      </c>
      <c r="P85" s="99" t="e">
        <f>REPLACE(INDEX(GroupVertices[Group], MATCH(Edges[[#This Row],[Vertex 2]],GroupVertices[Vertex],0)),1,1,"")</f>
        <v>#N/A</v>
      </c>
    </row>
    <row r="86" spans="3:16" ht="14.25" customHeight="1" x14ac:dyDescent="0.25">
      <c r="C86" s="8"/>
      <c r="D86" s="9"/>
      <c r="E86" s="102"/>
      <c r="F86" s="10"/>
      <c r="G86" s="8"/>
      <c r="H86" s="11"/>
      <c r="I86" s="8"/>
      <c r="J86" s="8"/>
      <c r="K86" s="8"/>
      <c r="L86" s="102">
        <v>86</v>
      </c>
      <c r="M86" s="102"/>
      <c r="O86" s="99" t="e">
        <f>REPLACE(INDEX(GroupVertices[Group], MATCH(Edges[[#This Row],[Vertex 1]],GroupVertices[Vertex],0)),1,1,"")</f>
        <v>#N/A</v>
      </c>
      <c r="P86" s="99" t="e">
        <f>REPLACE(INDEX(GroupVertices[Group], MATCH(Edges[[#This Row],[Vertex 2]],GroupVertices[Vertex],0)),1,1,"")</f>
        <v>#N/A</v>
      </c>
    </row>
    <row r="87" spans="3:16" ht="14.25" customHeight="1" x14ac:dyDescent="0.25">
      <c r="C87" s="8"/>
      <c r="D87" s="9"/>
      <c r="E87" s="102"/>
      <c r="F87" s="10"/>
      <c r="G87" s="8"/>
      <c r="H87" s="11"/>
      <c r="I87" s="8"/>
      <c r="J87" s="8"/>
      <c r="K87" s="8"/>
      <c r="L87" s="102">
        <v>87</v>
      </c>
      <c r="M87" s="102"/>
      <c r="O87" s="99" t="e">
        <f>REPLACE(INDEX(GroupVertices[Group], MATCH(Edges[[#This Row],[Vertex 1]],GroupVertices[Vertex],0)),1,1,"")</f>
        <v>#N/A</v>
      </c>
      <c r="P87" s="99" t="e">
        <f>REPLACE(INDEX(GroupVertices[Group], MATCH(Edges[[#This Row],[Vertex 2]],GroupVertices[Vertex],0)),1,1,"")</f>
        <v>#N/A</v>
      </c>
    </row>
    <row r="88" spans="3:16" ht="14.25" customHeight="1" x14ac:dyDescent="0.25">
      <c r="C88" s="8"/>
      <c r="D88" s="9"/>
      <c r="E88" s="102"/>
      <c r="F88" s="10"/>
      <c r="G88" s="8"/>
      <c r="H88" s="11"/>
      <c r="I88" s="8"/>
      <c r="J88" s="8"/>
      <c r="K88" s="8"/>
      <c r="L88" s="102">
        <v>88</v>
      </c>
      <c r="M88" s="102"/>
      <c r="O88" s="99" t="e">
        <f>REPLACE(INDEX(GroupVertices[Group], MATCH(Edges[[#This Row],[Vertex 1]],GroupVertices[Vertex],0)),1,1,"")</f>
        <v>#N/A</v>
      </c>
      <c r="P88" s="99" t="e">
        <f>REPLACE(INDEX(GroupVertices[Group], MATCH(Edges[[#This Row],[Vertex 2]],GroupVertices[Vertex],0)),1,1,"")</f>
        <v>#N/A</v>
      </c>
    </row>
    <row r="89" spans="3:16" ht="14.25" customHeight="1" x14ac:dyDescent="0.25">
      <c r="C89" s="8"/>
      <c r="D89" s="9"/>
      <c r="E89" s="102"/>
      <c r="F89" s="10"/>
      <c r="G89" s="8"/>
      <c r="H89" s="11"/>
      <c r="I89" s="8"/>
      <c r="J89" s="8"/>
      <c r="K89" s="8"/>
      <c r="L89" s="102">
        <v>89</v>
      </c>
      <c r="M89" s="102"/>
      <c r="O89" s="99" t="e">
        <f>REPLACE(INDEX(GroupVertices[Group], MATCH(Edges[[#This Row],[Vertex 1]],GroupVertices[Vertex],0)),1,1,"")</f>
        <v>#N/A</v>
      </c>
      <c r="P89" s="99" t="e">
        <f>REPLACE(INDEX(GroupVertices[Group], MATCH(Edges[[#This Row],[Vertex 2]],GroupVertices[Vertex],0)),1,1,"")</f>
        <v>#N/A</v>
      </c>
    </row>
    <row r="90" spans="3:16" ht="14.25" customHeight="1" x14ac:dyDescent="0.25">
      <c r="C90" s="8"/>
      <c r="D90" s="9"/>
      <c r="E90" s="102"/>
      <c r="F90" s="10"/>
      <c r="G90" s="8"/>
      <c r="H90" s="11"/>
      <c r="I90" s="8"/>
      <c r="J90" s="8"/>
      <c r="K90" s="8"/>
      <c r="L90" s="102">
        <v>90</v>
      </c>
      <c r="M90" s="102"/>
      <c r="O90" s="99" t="e">
        <f>REPLACE(INDEX(GroupVertices[Group], MATCH(Edges[[#This Row],[Vertex 1]],GroupVertices[Vertex],0)),1,1,"")</f>
        <v>#N/A</v>
      </c>
      <c r="P90" s="99" t="e">
        <f>REPLACE(INDEX(GroupVertices[Group], MATCH(Edges[[#This Row],[Vertex 2]],GroupVertices[Vertex],0)),1,1,"")</f>
        <v>#N/A</v>
      </c>
    </row>
    <row r="91" spans="3:16" ht="14.25" customHeight="1" x14ac:dyDescent="0.25">
      <c r="C91" s="8"/>
      <c r="D91" s="9"/>
      <c r="E91" s="102"/>
      <c r="F91" s="10"/>
      <c r="G91" s="8"/>
      <c r="H91" s="11"/>
      <c r="I91" s="8"/>
      <c r="J91" s="8"/>
      <c r="K91" s="8"/>
      <c r="L91" s="102">
        <v>91</v>
      </c>
      <c r="M91" s="102"/>
      <c r="O91" s="99" t="e">
        <f>REPLACE(INDEX(GroupVertices[Group], MATCH(Edges[[#This Row],[Vertex 1]],GroupVertices[Vertex],0)),1,1,"")</f>
        <v>#N/A</v>
      </c>
      <c r="P91" s="99" t="e">
        <f>REPLACE(INDEX(GroupVertices[Group], MATCH(Edges[[#This Row],[Vertex 2]],GroupVertices[Vertex],0)),1,1,"")</f>
        <v>#N/A</v>
      </c>
    </row>
    <row r="92" spans="3:16" ht="14.25" customHeight="1" x14ac:dyDescent="0.25">
      <c r="C92" s="8"/>
      <c r="D92" s="9"/>
      <c r="E92" s="102"/>
      <c r="F92" s="10"/>
      <c r="G92" s="8"/>
      <c r="H92" s="11"/>
      <c r="I92" s="8"/>
      <c r="J92" s="8"/>
      <c r="K92" s="8"/>
      <c r="L92" s="102">
        <v>92</v>
      </c>
      <c r="M92" s="102"/>
      <c r="O92" s="99" t="e">
        <f>REPLACE(INDEX(GroupVertices[Group], MATCH(Edges[[#This Row],[Vertex 1]],GroupVertices[Vertex],0)),1,1,"")</f>
        <v>#N/A</v>
      </c>
      <c r="P92" s="99" t="e">
        <f>REPLACE(INDEX(GroupVertices[Group], MATCH(Edges[[#This Row],[Vertex 2]],GroupVertices[Vertex],0)),1,1,"")</f>
        <v>#N/A</v>
      </c>
    </row>
    <row r="93" spans="3:16" ht="14.25" customHeight="1" x14ac:dyDescent="0.25">
      <c r="C93" s="8"/>
      <c r="D93" s="9"/>
      <c r="E93" s="102"/>
      <c r="F93" s="10"/>
      <c r="G93" s="8"/>
      <c r="H93" s="11"/>
      <c r="I93" s="8"/>
      <c r="J93" s="8"/>
      <c r="K93" s="8"/>
      <c r="L93" s="102">
        <v>93</v>
      </c>
      <c r="M93" s="102"/>
      <c r="O93" s="99" t="e">
        <f>REPLACE(INDEX(GroupVertices[Group], MATCH(Edges[[#This Row],[Vertex 1]],GroupVertices[Vertex],0)),1,1,"")</f>
        <v>#N/A</v>
      </c>
      <c r="P93" s="99" t="e">
        <f>REPLACE(INDEX(GroupVertices[Group], MATCH(Edges[[#This Row],[Vertex 2]],GroupVertices[Vertex],0)),1,1,"")</f>
        <v>#N/A</v>
      </c>
    </row>
    <row r="94" spans="3:16" ht="14.25" customHeight="1" x14ac:dyDescent="0.25">
      <c r="C94" s="8"/>
      <c r="D94" s="9"/>
      <c r="E94" s="102"/>
      <c r="F94" s="10"/>
      <c r="G94" s="8"/>
      <c r="H94" s="11"/>
      <c r="I94" s="8"/>
      <c r="J94" s="8"/>
      <c r="K94" s="8"/>
      <c r="L94" s="102">
        <v>94</v>
      </c>
      <c r="M94" s="102"/>
      <c r="O94" s="99" t="e">
        <f>REPLACE(INDEX(GroupVertices[Group], MATCH(Edges[[#This Row],[Vertex 1]],GroupVertices[Vertex],0)),1,1,"")</f>
        <v>#N/A</v>
      </c>
      <c r="P94" s="99" t="e">
        <f>REPLACE(INDEX(GroupVertices[Group], MATCH(Edges[[#This Row],[Vertex 2]],GroupVertices[Vertex],0)),1,1,"")</f>
        <v>#N/A</v>
      </c>
    </row>
    <row r="95" spans="3:16" ht="14.25" customHeight="1" x14ac:dyDescent="0.25">
      <c r="C95" s="8"/>
      <c r="D95" s="9"/>
      <c r="E95" s="102"/>
      <c r="F95" s="10"/>
      <c r="G95" s="8"/>
      <c r="H95" s="11"/>
      <c r="I95" s="8"/>
      <c r="J95" s="8"/>
      <c r="K95" s="8"/>
      <c r="L95" s="102">
        <v>95</v>
      </c>
      <c r="M95" s="102"/>
      <c r="O95" s="99" t="e">
        <f>REPLACE(INDEX(GroupVertices[Group], MATCH(Edges[[#This Row],[Vertex 1]],GroupVertices[Vertex],0)),1,1,"")</f>
        <v>#N/A</v>
      </c>
      <c r="P95" s="99" t="e">
        <f>REPLACE(INDEX(GroupVertices[Group], MATCH(Edges[[#This Row],[Vertex 2]],GroupVertices[Vertex],0)),1,1,"")</f>
        <v>#N/A</v>
      </c>
    </row>
    <row r="96" spans="3:16" ht="14.25" customHeight="1" x14ac:dyDescent="0.25">
      <c r="C96" s="8"/>
      <c r="D96" s="9"/>
      <c r="E96" s="102"/>
      <c r="F96" s="10"/>
      <c r="G96" s="8"/>
      <c r="H96" s="11"/>
      <c r="I96" s="8"/>
      <c r="J96" s="8"/>
      <c r="K96" s="8"/>
      <c r="L96" s="102">
        <v>96</v>
      </c>
      <c r="M96" s="102"/>
      <c r="O96" s="99" t="e">
        <f>REPLACE(INDEX(GroupVertices[Group], MATCH(Edges[[#This Row],[Vertex 1]],GroupVertices[Vertex],0)),1,1,"")</f>
        <v>#N/A</v>
      </c>
      <c r="P96" s="99" t="e">
        <f>REPLACE(INDEX(GroupVertices[Group], MATCH(Edges[[#This Row],[Vertex 2]],GroupVertices[Vertex],0)),1,1,"")</f>
        <v>#N/A</v>
      </c>
    </row>
    <row r="97" spans="3:16" ht="14.25" customHeight="1" x14ac:dyDescent="0.25">
      <c r="C97" s="8"/>
      <c r="D97" s="9"/>
      <c r="E97" s="102"/>
      <c r="F97" s="10"/>
      <c r="G97" s="8"/>
      <c r="H97" s="11"/>
      <c r="I97" s="8"/>
      <c r="J97" s="8"/>
      <c r="K97" s="8"/>
      <c r="L97" s="102">
        <v>97</v>
      </c>
      <c r="M97" s="102"/>
      <c r="O97" s="99" t="e">
        <f>REPLACE(INDEX(GroupVertices[Group], MATCH(Edges[[#This Row],[Vertex 1]],GroupVertices[Vertex],0)),1,1,"")</f>
        <v>#N/A</v>
      </c>
      <c r="P97" s="99" t="e">
        <f>REPLACE(INDEX(GroupVertices[Group], MATCH(Edges[[#This Row],[Vertex 2]],GroupVertices[Vertex],0)),1,1,"")</f>
        <v>#N/A</v>
      </c>
    </row>
  </sheetData>
  <dataConsolidate/>
  <dataValidations count="12">
    <dataValidation allowBlank="1" showErrorMessage="1" sqref="N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97"/>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97"/>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97"/>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97"/>
    <dataValidation allowBlank="1" showInputMessage="1" promptTitle="Edge Color" prompt="To select an optional edge color, right-click and select Select Color on the right-click menu." sqref="C3:C97"/>
    <dataValidation allowBlank="1" showInputMessage="1" errorTitle="Invalid Edge Width" error="The optional edge width must be a whole number between 1 and 10." promptTitle="Edge Width" prompt="Enter an optional edge width between 1 and 10." sqref="D3:D97"/>
    <dataValidation allowBlank="1" showInputMessage="1" errorTitle="Invalid Edge Opacity" error="The optional edge opacity must be a whole number between 0 and 10." promptTitle="Edge Opacity" prompt="Enter an optional edge opacity between 0 (transparent) and 100 (opaque)." sqref="F3:F97"/>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97">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97"/>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97">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97"/>
  </dataValidations>
  <pageMargins left="0.7" right="0.7" top="0.75" bottom="0.75" header="0.3" footer="0.3"/>
  <pageSetup orientation="portrait"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I36"/>
  <sheetViews>
    <sheetView workbookViewId="0">
      <pane xSplit="1" ySplit="2" topLeftCell="B3" activePane="bottomRight" state="frozen"/>
      <selection pane="topRight" activeCell="B1" sqref="B1"/>
      <selection pane="bottomLeft" activeCell="A3" sqref="A3"/>
      <selection pane="bottomRight" activeCell="A29" sqref="A29"/>
    </sheetView>
  </sheetViews>
  <sheetFormatPr defaultRowHeight="15" x14ac:dyDescent="0.25"/>
  <cols>
    <col min="1" max="1" width="28.140625" style="1" customWidth="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customWidth="1"/>
    <col min="19" max="19" width="9.28515625" customWidth="1"/>
    <col min="20" max="20" width="9.5703125" customWidth="1"/>
    <col min="21" max="23" width="14.28515625" customWidth="1"/>
    <col min="24" max="24" width="11.85546875" customWidth="1"/>
    <col min="25" max="25" width="14.42578125" customWidth="1"/>
    <col min="26" max="26" width="18.28515625" customWidth="1"/>
    <col min="27" max="27" width="5" style="3" hidden="1" customWidth="1"/>
    <col min="28" max="28" width="16" style="3" hidden="1" customWidth="1"/>
    <col min="29" max="29" width="16" style="6" bestFit="1" customWidth="1"/>
    <col min="30" max="30" width="15.140625" style="2" bestFit="1" customWidth="1"/>
    <col min="31"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5" x14ac:dyDescent="0.25">
      <c r="B1" s="23" t="s">
        <v>40</v>
      </c>
      <c r="C1" s="16"/>
      <c r="D1" s="16"/>
      <c r="E1" s="16"/>
      <c r="F1" s="16"/>
      <c r="G1" s="16"/>
      <c r="H1" s="25" t="s">
        <v>44</v>
      </c>
      <c r="I1" s="24"/>
      <c r="J1" s="24"/>
      <c r="K1" s="24"/>
      <c r="L1" s="27" t="s">
        <v>45</v>
      </c>
      <c r="M1" s="26"/>
      <c r="N1" s="26"/>
      <c r="O1" s="26"/>
      <c r="P1" s="26"/>
      <c r="Q1" s="26"/>
      <c r="R1" s="22" t="s">
        <v>43</v>
      </c>
      <c r="S1" s="19"/>
      <c r="T1" s="20"/>
      <c r="U1" s="21"/>
      <c r="V1" s="19"/>
      <c r="W1" s="19"/>
      <c r="X1" s="19"/>
      <c r="Y1" s="19"/>
      <c r="Z1" s="19"/>
      <c r="AA1" s="28" t="s">
        <v>41</v>
      </c>
      <c r="AB1" s="18"/>
      <c r="AC1" s="29" t="s">
        <v>42</v>
      </c>
      <c r="AD1"/>
      <c r="AE1"/>
      <c r="AF1"/>
      <c r="AG1"/>
      <c r="AH1"/>
    </row>
    <row r="2" spans="1:35" ht="30" customHeight="1" x14ac:dyDescent="0.25">
      <c r="A2" s="11" t="s">
        <v>5</v>
      </c>
      <c r="B2" s="8" t="s">
        <v>2</v>
      </c>
      <c r="C2" s="8" t="s">
        <v>8</v>
      </c>
      <c r="D2" s="9" t="s">
        <v>46</v>
      </c>
      <c r="E2" s="10" t="s">
        <v>4</v>
      </c>
      <c r="F2" s="8" t="s">
        <v>49</v>
      </c>
      <c r="G2" s="8" t="s">
        <v>11</v>
      </c>
      <c r="H2" s="8" t="s">
        <v>47</v>
      </c>
      <c r="I2" s="8" t="s">
        <v>48</v>
      </c>
      <c r="J2" s="8" t="s">
        <v>78</v>
      </c>
      <c r="K2" s="8" t="s">
        <v>10</v>
      </c>
      <c r="L2" s="8" t="s">
        <v>27</v>
      </c>
      <c r="M2" s="8" t="s">
        <v>15</v>
      </c>
      <c r="N2" s="8" t="s">
        <v>16</v>
      </c>
      <c r="O2" s="8" t="s">
        <v>13</v>
      </c>
      <c r="P2" s="8" t="s">
        <v>28</v>
      </c>
      <c r="Q2" s="8" t="s">
        <v>29</v>
      </c>
      <c r="R2" s="13" t="s">
        <v>32</v>
      </c>
      <c r="S2" s="13" t="s">
        <v>33</v>
      </c>
      <c r="T2" s="13" t="s">
        <v>34</v>
      </c>
      <c r="U2" s="13" t="s">
        <v>35</v>
      </c>
      <c r="V2" s="13" t="s">
        <v>36</v>
      </c>
      <c r="W2" s="13" t="s">
        <v>37</v>
      </c>
      <c r="X2" s="13" t="s">
        <v>138</v>
      </c>
      <c r="Y2" s="13" t="s">
        <v>38</v>
      </c>
      <c r="Z2" s="13" t="s">
        <v>171</v>
      </c>
      <c r="AA2" s="11" t="s">
        <v>12</v>
      </c>
      <c r="AB2" s="11" t="s">
        <v>39</v>
      </c>
      <c r="AC2" s="8" t="s">
        <v>26</v>
      </c>
      <c r="AD2" s="13" t="s">
        <v>215</v>
      </c>
      <c r="AG2"/>
      <c r="AH2"/>
    </row>
    <row r="3" spans="1:35" ht="15" customHeight="1" x14ac:dyDescent="0.25">
      <c r="A3" s="48" t="s">
        <v>175</v>
      </c>
      <c r="B3" s="51"/>
      <c r="C3" s="51"/>
      <c r="D3" s="52">
        <v>2.4444444444444446</v>
      </c>
      <c r="E3" s="53"/>
      <c r="F3" s="51"/>
      <c r="G3" s="51"/>
      <c r="H3" s="55"/>
      <c r="I3" s="54"/>
      <c r="J3" s="54"/>
      <c r="K3" s="55"/>
      <c r="L3" s="57"/>
      <c r="M3" s="58">
        <v>9621.4033203125</v>
      </c>
      <c r="N3" s="58">
        <v>6279.453125</v>
      </c>
      <c r="O3" s="56"/>
      <c r="P3" s="59"/>
      <c r="Q3" s="59"/>
      <c r="R3" s="49">
        <v>2</v>
      </c>
      <c r="S3" s="49"/>
      <c r="T3" s="49"/>
      <c r="U3" s="50">
        <v>0</v>
      </c>
      <c r="V3" s="50">
        <v>9.9010000000000001E-3</v>
      </c>
      <c r="W3" s="50">
        <v>1.353E-3</v>
      </c>
      <c r="X3" s="50">
        <v>0.83625099999999997</v>
      </c>
      <c r="Y3" s="50">
        <v>1</v>
      </c>
      <c r="Z3" s="50"/>
      <c r="AA3" s="60">
        <v>3</v>
      </c>
      <c r="AB3" s="60"/>
      <c r="AC3" s="61"/>
      <c r="AD3" s="99" t="str">
        <f>REPLACE(INDEX(GroupVertices[Group], MATCH(Vertices[[#This Row],[Vertex]],GroupVertices[Vertex],0)),1,1,"")</f>
        <v>1</v>
      </c>
      <c r="AG3"/>
      <c r="AH3"/>
    </row>
    <row r="4" spans="1:35" x14ac:dyDescent="0.25">
      <c r="A4" s="1" t="s">
        <v>176</v>
      </c>
      <c r="D4">
        <v>3.3888888888888888</v>
      </c>
      <c r="G4" s="51"/>
      <c r="M4">
        <v>8478.005859375</v>
      </c>
      <c r="N4">
        <v>7891.322265625</v>
      </c>
      <c r="R4" s="49">
        <v>3</v>
      </c>
      <c r="U4" s="50">
        <v>44</v>
      </c>
      <c r="V4" s="50">
        <v>1.2658000000000001E-2</v>
      </c>
      <c r="W4" s="50">
        <v>5.2329999999999998E-3</v>
      </c>
      <c r="X4" s="50">
        <v>1.167691</v>
      </c>
      <c r="Y4" s="50">
        <v>0.33333333333333331</v>
      </c>
      <c r="AA4" s="3">
        <v>4</v>
      </c>
      <c r="AD4" s="99" t="str">
        <f>REPLACE(INDEX(GroupVertices[Group], MATCH(Vertices[[#This Row],[Vertex]],GroupVertices[Vertex],0)),1,1,"")</f>
        <v>1</v>
      </c>
      <c r="AE4" s="2"/>
      <c r="AI4" s="3"/>
    </row>
    <row r="5" spans="1:35" x14ac:dyDescent="0.25">
      <c r="A5" s="1" t="s">
        <v>177</v>
      </c>
      <c r="B5" s="3"/>
      <c r="C5" s="3"/>
      <c r="D5" s="6">
        <v>2.4444444444444446</v>
      </c>
      <c r="E5" s="2"/>
      <c r="F5" s="3"/>
      <c r="G5" s="51"/>
      <c r="H5" s="1"/>
      <c r="I5" s="3"/>
      <c r="K5" s="1"/>
      <c r="L5" s="6"/>
      <c r="M5" s="86">
        <v>9181.0771484375</v>
      </c>
      <c r="N5" s="86">
        <v>7141.3603515625</v>
      </c>
      <c r="O5" s="3"/>
      <c r="P5" s="87"/>
      <c r="Q5" s="88"/>
      <c r="R5" s="49">
        <v>2</v>
      </c>
      <c r="S5" s="89"/>
      <c r="T5" s="90"/>
      <c r="U5" s="50">
        <v>0</v>
      </c>
      <c r="V5" s="50">
        <v>9.9010000000000001E-3</v>
      </c>
      <c r="W5" s="50">
        <v>1.353E-3</v>
      </c>
      <c r="X5" s="50">
        <v>0.83625099999999997</v>
      </c>
      <c r="Y5" s="50">
        <v>1</v>
      </c>
      <c r="Z5" s="91"/>
      <c r="AA5" s="3">
        <v>5</v>
      </c>
      <c r="AC5" s="3"/>
      <c r="AD5" s="99" t="str">
        <f>REPLACE(INDEX(GroupVertices[Group], MATCH(Vertices[[#This Row],[Vertex]],GroupVertices[Vertex],0)),1,1,"")</f>
        <v>1</v>
      </c>
      <c r="AE5" s="2"/>
      <c r="AI5" s="3"/>
    </row>
    <row r="6" spans="1:35" x14ac:dyDescent="0.25">
      <c r="A6" s="1" t="s">
        <v>178</v>
      </c>
      <c r="D6">
        <v>1.5</v>
      </c>
      <c r="G6" s="51"/>
      <c r="M6">
        <v>3090.772216796875</v>
      </c>
      <c r="N6">
        <v>448.48455810546875</v>
      </c>
      <c r="R6" s="49">
        <v>1</v>
      </c>
      <c r="U6" s="50">
        <v>0</v>
      </c>
      <c r="V6" s="50">
        <v>1</v>
      </c>
      <c r="W6" s="50">
        <v>0</v>
      </c>
      <c r="X6" s="50">
        <v>0.99998200000000004</v>
      </c>
      <c r="Y6" s="50">
        <v>0</v>
      </c>
      <c r="AA6" s="3">
        <v>6</v>
      </c>
      <c r="AD6" s="99" t="str">
        <f>REPLACE(INDEX(GroupVertices[Group], MATCH(Vertices[[#This Row],[Vertex]],GroupVertices[Vertex],0)),1,1,"")</f>
        <v>2</v>
      </c>
      <c r="AE6" s="2"/>
      <c r="AI6" s="3"/>
    </row>
    <row r="7" spans="1:35" x14ac:dyDescent="0.25">
      <c r="A7" s="1" t="s">
        <v>179</v>
      </c>
      <c r="D7">
        <v>1.5</v>
      </c>
      <c r="G7" s="51"/>
      <c r="M7">
        <v>1182.044921875</v>
      </c>
      <c r="N7">
        <v>448.48455810546875</v>
      </c>
      <c r="R7" s="49">
        <v>1</v>
      </c>
      <c r="U7" s="50">
        <v>0</v>
      </c>
      <c r="V7" s="50">
        <v>1</v>
      </c>
      <c r="W7" s="50">
        <v>0</v>
      </c>
      <c r="X7" s="50">
        <v>0.99998200000000004</v>
      </c>
      <c r="Y7" s="50">
        <v>0</v>
      </c>
      <c r="AA7" s="3">
        <v>7</v>
      </c>
      <c r="AD7" s="99" t="str">
        <f>REPLACE(INDEX(GroupVertices[Group], MATCH(Vertices[[#This Row],[Vertex]],GroupVertices[Vertex],0)),1,1,"")</f>
        <v>2</v>
      </c>
      <c r="AE7" s="2"/>
      <c r="AI7" s="3"/>
    </row>
    <row r="8" spans="1:35" x14ac:dyDescent="0.25">
      <c r="A8" s="1" t="s">
        <v>180</v>
      </c>
      <c r="D8">
        <v>2.4444444444444446</v>
      </c>
      <c r="G8" s="51"/>
      <c r="M8">
        <v>6474.0732421875</v>
      </c>
      <c r="N8">
        <v>1842.59912109375</v>
      </c>
      <c r="R8" s="49">
        <v>2</v>
      </c>
      <c r="U8" s="50">
        <v>0</v>
      </c>
      <c r="V8" s="50">
        <v>1.5384999999999999E-2</v>
      </c>
      <c r="W8" s="50">
        <v>3.313E-2</v>
      </c>
      <c r="X8" s="50">
        <v>0.64375400000000005</v>
      </c>
      <c r="Y8" s="50">
        <v>1</v>
      </c>
      <c r="AA8" s="3">
        <v>8</v>
      </c>
      <c r="AD8" s="99" t="str">
        <f>REPLACE(INDEX(GroupVertices[Group], MATCH(Vertices[[#This Row],[Vertex]],GroupVertices[Vertex],0)),1,1,"")</f>
        <v>1</v>
      </c>
      <c r="AE8" s="2"/>
      <c r="AI8" s="3"/>
    </row>
    <row r="9" spans="1:35" x14ac:dyDescent="0.25">
      <c r="A9" s="1" t="s">
        <v>181</v>
      </c>
      <c r="D9">
        <v>3.3888888888888888</v>
      </c>
      <c r="G9" s="51"/>
      <c r="M9">
        <v>5299.125</v>
      </c>
      <c r="N9">
        <v>1668.89599609375</v>
      </c>
      <c r="R9" s="49">
        <v>3</v>
      </c>
      <c r="U9" s="50">
        <v>3</v>
      </c>
      <c r="V9" s="50">
        <v>1.7544000000000001E-2</v>
      </c>
      <c r="W9" s="50">
        <v>5.5684999999999998E-2</v>
      </c>
      <c r="X9" s="50">
        <v>0.89127599999999996</v>
      </c>
      <c r="Y9" s="50">
        <v>0.66666666666666663</v>
      </c>
      <c r="AA9" s="3">
        <v>9</v>
      </c>
      <c r="AD9" s="99" t="str">
        <f>REPLACE(INDEX(GroupVertices[Group], MATCH(Vertices[[#This Row],[Vertex]],GroupVertices[Vertex],0)),1,1,"")</f>
        <v>1</v>
      </c>
      <c r="AE9" s="2"/>
      <c r="AI9" s="3"/>
    </row>
    <row r="10" spans="1:35" x14ac:dyDescent="0.25">
      <c r="A10" s="1" t="s">
        <v>182</v>
      </c>
      <c r="D10">
        <v>9.0555555555555554</v>
      </c>
      <c r="G10" s="51"/>
      <c r="M10">
        <v>6474.0732421875</v>
      </c>
      <c r="N10">
        <v>8876.9169921875</v>
      </c>
      <c r="R10" s="49">
        <v>9</v>
      </c>
      <c r="U10" s="50">
        <v>164.58333300000001</v>
      </c>
      <c r="V10" s="50">
        <v>2.3255999999999999E-2</v>
      </c>
      <c r="W10" s="50">
        <v>0.10557800000000001</v>
      </c>
      <c r="X10" s="50">
        <v>2.554176</v>
      </c>
      <c r="Y10" s="50">
        <v>0.1388888888888889</v>
      </c>
      <c r="AA10" s="3">
        <v>10</v>
      </c>
      <c r="AD10" s="99" t="str">
        <f>REPLACE(INDEX(GroupVertices[Group], MATCH(Vertices[[#This Row],[Vertex]],GroupVertices[Vertex],0)),1,1,"")</f>
        <v>1</v>
      </c>
      <c r="AE10" s="2"/>
      <c r="AI10" s="3"/>
    </row>
    <row r="11" spans="1:35" x14ac:dyDescent="0.25">
      <c r="A11" s="1" t="s">
        <v>183</v>
      </c>
      <c r="D11">
        <v>6.2222222222222223</v>
      </c>
      <c r="G11" s="51"/>
      <c r="M11">
        <v>1139.017578125</v>
      </c>
      <c r="N11">
        <v>3186.0341796875</v>
      </c>
      <c r="R11" s="49">
        <v>6</v>
      </c>
      <c r="U11" s="50">
        <v>66.333332999999996</v>
      </c>
      <c r="V11" s="50">
        <v>0.02</v>
      </c>
      <c r="W11" s="50">
        <v>7.1323999999999999E-2</v>
      </c>
      <c r="X11" s="50">
        <v>1.7886230000000001</v>
      </c>
      <c r="Y11" s="50">
        <v>0.2</v>
      </c>
      <c r="AA11" s="3">
        <v>11</v>
      </c>
      <c r="AD11" s="99" t="str">
        <f>REPLACE(INDEX(GroupVertices[Group], MATCH(Vertices[[#This Row],[Vertex]],GroupVertices[Vertex],0)),1,1,"")</f>
        <v>1</v>
      </c>
      <c r="AE11" s="2"/>
      <c r="AI11" s="3"/>
    </row>
    <row r="12" spans="1:35" x14ac:dyDescent="0.25">
      <c r="A12" s="1" t="s">
        <v>184</v>
      </c>
      <c r="D12">
        <v>3.3888888888888888</v>
      </c>
      <c r="G12" s="51"/>
      <c r="M12">
        <v>265.30844116210938</v>
      </c>
      <c r="N12">
        <v>4896.255859375</v>
      </c>
      <c r="R12" s="49">
        <v>3</v>
      </c>
      <c r="U12" s="50">
        <v>4.1666670000000003</v>
      </c>
      <c r="V12" s="50">
        <v>1.4925000000000001E-2</v>
      </c>
      <c r="W12" s="50">
        <v>3.0082999999999999E-2</v>
      </c>
      <c r="X12" s="50">
        <v>0.92625199999999996</v>
      </c>
      <c r="Y12" s="50">
        <v>0.33333333333333331</v>
      </c>
      <c r="AA12" s="3">
        <v>12</v>
      </c>
      <c r="AD12" s="99" t="str">
        <f>REPLACE(INDEX(GroupVertices[Group], MATCH(Vertices[[#This Row],[Vertex]],GroupVertices[Vertex],0)),1,1,"")</f>
        <v>1</v>
      </c>
      <c r="AE12" s="2"/>
      <c r="AI12" s="3"/>
    </row>
    <row r="13" spans="1:35" x14ac:dyDescent="0.25">
      <c r="A13" s="1" t="s">
        <v>185</v>
      </c>
      <c r="D13">
        <v>3.3888888888888888</v>
      </c>
      <c r="G13" s="51"/>
      <c r="M13">
        <v>2967.75830078125</v>
      </c>
      <c r="N13">
        <v>2013.5628662109375</v>
      </c>
      <c r="R13" s="49">
        <v>3</v>
      </c>
      <c r="U13" s="50">
        <v>23</v>
      </c>
      <c r="V13" s="50">
        <v>1.6129000000000001E-2</v>
      </c>
      <c r="W13" s="50">
        <v>4.3685000000000002E-2</v>
      </c>
      <c r="X13" s="50">
        <v>0.99759500000000001</v>
      </c>
      <c r="Y13" s="50">
        <v>0.33333333333333331</v>
      </c>
      <c r="AA13" s="3">
        <v>13</v>
      </c>
      <c r="AD13" s="99" t="str">
        <f>REPLACE(INDEX(GroupVertices[Group], MATCH(Vertices[[#This Row],[Vertex]],GroupVertices[Vertex],0)),1,1,"")</f>
        <v>1</v>
      </c>
      <c r="AE13" s="2"/>
      <c r="AI13" s="3"/>
    </row>
    <row r="14" spans="1:35" x14ac:dyDescent="0.25">
      <c r="A14" s="1" t="s">
        <v>186</v>
      </c>
      <c r="D14">
        <v>2.4444444444444446</v>
      </c>
      <c r="G14" s="51"/>
      <c r="M14">
        <v>562.77508544921875</v>
      </c>
      <c r="N14">
        <v>3998.375</v>
      </c>
      <c r="R14" s="49">
        <v>2</v>
      </c>
      <c r="U14" s="50">
        <v>0</v>
      </c>
      <c r="V14" s="50">
        <v>1.4286E-2</v>
      </c>
      <c r="W14" s="50">
        <v>2.0833000000000001E-2</v>
      </c>
      <c r="X14" s="50">
        <v>0.665825</v>
      </c>
      <c r="Y14" s="50">
        <v>1</v>
      </c>
      <c r="AA14" s="3">
        <v>14</v>
      </c>
      <c r="AD14" s="99" t="str">
        <f>REPLACE(INDEX(GroupVertices[Group], MATCH(Vertices[[#This Row],[Vertex]],GroupVertices[Vertex],0)),1,1,"")</f>
        <v>1</v>
      </c>
      <c r="AE14" s="2"/>
      <c r="AI14" s="3"/>
    </row>
    <row r="15" spans="1:35" x14ac:dyDescent="0.25">
      <c r="A15" s="1" t="s">
        <v>187</v>
      </c>
      <c r="D15">
        <v>1.5</v>
      </c>
      <c r="G15" s="51"/>
      <c r="M15">
        <v>1957.8282470703125</v>
      </c>
      <c r="N15">
        <v>2510.277099609375</v>
      </c>
      <c r="R15" s="49">
        <v>1</v>
      </c>
      <c r="U15" s="50">
        <v>0</v>
      </c>
      <c r="V15" s="50">
        <v>1.3698999999999999E-2</v>
      </c>
      <c r="W15" s="50">
        <v>1.4652999999999999E-2</v>
      </c>
      <c r="X15" s="50">
        <v>0.403387</v>
      </c>
      <c r="Y15" s="50">
        <v>0</v>
      </c>
      <c r="AA15" s="3">
        <v>15</v>
      </c>
      <c r="AD15" s="99" t="str">
        <f>REPLACE(INDEX(GroupVertices[Group], MATCH(Vertices[[#This Row],[Vertex]],GroupVertices[Vertex],0)),1,1,"")</f>
        <v>1</v>
      </c>
      <c r="AE15" s="2"/>
      <c r="AI15" s="3"/>
    </row>
    <row r="16" spans="1:35" x14ac:dyDescent="0.25">
      <c r="A16" s="1" t="s">
        <v>188</v>
      </c>
      <c r="D16">
        <v>10</v>
      </c>
      <c r="G16" s="51"/>
      <c r="M16">
        <v>5299.125</v>
      </c>
      <c r="N16">
        <v>9050.6201171875</v>
      </c>
      <c r="R16" s="49">
        <v>10</v>
      </c>
      <c r="U16" s="50">
        <v>92.583332999999996</v>
      </c>
      <c r="V16" s="50">
        <v>2.2221999999999999E-2</v>
      </c>
      <c r="W16" s="50">
        <v>0.13234099999999999</v>
      </c>
      <c r="X16" s="50">
        <v>2.6641840000000001</v>
      </c>
      <c r="Y16" s="50">
        <v>0.22222222222222221</v>
      </c>
      <c r="AA16" s="3">
        <v>16</v>
      </c>
      <c r="AD16" s="99" t="str">
        <f>REPLACE(INDEX(GroupVertices[Group], MATCH(Vertices[[#This Row],[Vertex]],GroupVertices[Vertex],0)),1,1,"")</f>
        <v>1</v>
      </c>
      <c r="AE16" s="2"/>
      <c r="AI16" s="3"/>
    </row>
    <row r="17" spans="1:35" x14ac:dyDescent="0.25">
      <c r="A17" s="1" t="s">
        <v>189</v>
      </c>
      <c r="D17">
        <v>2.4444444444444446</v>
      </c>
      <c r="G17" s="51"/>
      <c r="M17">
        <v>7556.3681640625</v>
      </c>
      <c r="N17">
        <v>8482.216796875</v>
      </c>
      <c r="R17" s="49">
        <v>2</v>
      </c>
      <c r="U17" s="50">
        <v>63</v>
      </c>
      <c r="V17" s="50">
        <v>1.6667000000000001E-2</v>
      </c>
      <c r="W17" s="50">
        <v>2.2765000000000001E-2</v>
      </c>
      <c r="X17" s="50">
        <v>0.72207200000000005</v>
      </c>
      <c r="Y17" s="50">
        <v>0</v>
      </c>
      <c r="AA17" s="3">
        <v>17</v>
      </c>
      <c r="AD17" s="99" t="str">
        <f>REPLACE(INDEX(GroupVertices[Group], MATCH(Vertices[[#This Row],[Vertex]],GroupVertices[Vertex],0)),1,1,"")</f>
        <v>1</v>
      </c>
      <c r="AE17" s="2"/>
      <c r="AI17" s="3"/>
    </row>
    <row r="18" spans="1:35" x14ac:dyDescent="0.25">
      <c r="A18" s="1" t="s">
        <v>190</v>
      </c>
      <c r="D18">
        <v>3.3888888888888888</v>
      </c>
      <c r="G18" s="51"/>
      <c r="M18">
        <v>562.77508544921875</v>
      </c>
      <c r="N18">
        <v>6721.14111328125</v>
      </c>
      <c r="R18" s="49">
        <v>3</v>
      </c>
      <c r="U18" s="50">
        <v>0.25</v>
      </c>
      <c r="V18" s="50">
        <v>1.5152000000000001E-2</v>
      </c>
      <c r="W18" s="50">
        <v>5.8561000000000002E-2</v>
      </c>
      <c r="X18" s="50">
        <v>0.83640700000000001</v>
      </c>
      <c r="Y18" s="50">
        <v>0.66666666666666663</v>
      </c>
      <c r="AA18" s="3">
        <v>18</v>
      </c>
      <c r="AD18" s="99" t="str">
        <f>REPLACE(INDEX(GroupVertices[Group], MATCH(Vertices[[#This Row],[Vertex]],GroupVertices[Vertex],0)),1,1,"")</f>
        <v>1</v>
      </c>
      <c r="AE18" s="2"/>
      <c r="AI18" s="3"/>
    </row>
    <row r="19" spans="1:35" x14ac:dyDescent="0.25">
      <c r="A19" s="1" t="s">
        <v>191</v>
      </c>
      <c r="D19">
        <v>4.3333333333333339</v>
      </c>
      <c r="G19" s="51"/>
      <c r="M19">
        <v>265.30844116210938</v>
      </c>
      <c r="N19">
        <v>5823.26025390625</v>
      </c>
      <c r="R19" s="49">
        <v>4</v>
      </c>
      <c r="U19" s="50">
        <v>9.5</v>
      </c>
      <c r="V19" s="50">
        <v>1.8182E-2</v>
      </c>
      <c r="W19" s="50">
        <v>7.6353000000000004E-2</v>
      </c>
      <c r="X19" s="50">
        <v>1.0822449999999999</v>
      </c>
      <c r="Y19" s="50">
        <v>0.5</v>
      </c>
      <c r="AA19" s="3">
        <v>19</v>
      </c>
      <c r="AD19" s="99" t="str">
        <f>REPLACE(INDEX(GroupVertices[Group], MATCH(Vertices[[#This Row],[Vertex]],GroupVertices[Vertex],0)),1,1,"")</f>
        <v>1</v>
      </c>
      <c r="AE19" s="2"/>
      <c r="AI19" s="3"/>
    </row>
    <row r="20" spans="1:35" x14ac:dyDescent="0.25">
      <c r="A20" s="1" t="s">
        <v>192</v>
      </c>
      <c r="D20">
        <v>4.3333333333333339</v>
      </c>
      <c r="G20" s="51"/>
      <c r="M20">
        <v>1139.017578125</v>
      </c>
      <c r="N20">
        <v>7533.4814453125</v>
      </c>
      <c r="R20" s="49">
        <v>4</v>
      </c>
      <c r="U20" s="50">
        <v>9.5</v>
      </c>
      <c r="V20" s="50">
        <v>1.8182E-2</v>
      </c>
      <c r="W20" s="50">
        <v>7.6353000000000004E-2</v>
      </c>
      <c r="X20" s="50">
        <v>1.0822449999999999</v>
      </c>
      <c r="Y20" s="50">
        <v>0.5</v>
      </c>
      <c r="AA20" s="3">
        <v>20</v>
      </c>
      <c r="AD20" s="99" t="str">
        <f>REPLACE(INDEX(GroupVertices[Group], MATCH(Vertices[[#This Row],[Vertex]],GroupVertices[Vertex],0)),1,1,"")</f>
        <v>1</v>
      </c>
      <c r="AE20" s="2"/>
      <c r="AI20" s="3"/>
    </row>
    <row r="21" spans="1:35" x14ac:dyDescent="0.25">
      <c r="A21" s="1" t="s">
        <v>193</v>
      </c>
      <c r="D21">
        <v>4.3333333333333339</v>
      </c>
      <c r="G21" s="51"/>
      <c r="M21">
        <v>4105.35009765625</v>
      </c>
      <c r="N21">
        <v>8992.412109375</v>
      </c>
      <c r="R21" s="49">
        <v>4</v>
      </c>
      <c r="U21" s="50">
        <v>13</v>
      </c>
      <c r="V21" s="50">
        <v>1.6129000000000001E-2</v>
      </c>
      <c r="W21" s="50">
        <v>5.4275999999999998E-2</v>
      </c>
      <c r="X21" s="50">
        <v>1.1288990000000001</v>
      </c>
      <c r="Y21" s="50">
        <v>0.33333333333333331</v>
      </c>
      <c r="AA21" s="3">
        <v>21</v>
      </c>
      <c r="AD21" s="99" t="str">
        <f>REPLACE(INDEX(GroupVertices[Group], MATCH(Vertices[[#This Row],[Vertex]],GroupVertices[Vertex],0)),1,1,"")</f>
        <v>1</v>
      </c>
      <c r="AE21" s="2"/>
      <c r="AI21" s="3"/>
    </row>
    <row r="22" spans="1:35" x14ac:dyDescent="0.25">
      <c r="A22" s="1" t="s">
        <v>194</v>
      </c>
      <c r="D22">
        <v>5.2777777777777777</v>
      </c>
      <c r="G22" s="51"/>
      <c r="M22">
        <v>1957.8282470703125</v>
      </c>
      <c r="N22">
        <v>8209.2392578125</v>
      </c>
      <c r="R22" s="49">
        <v>5</v>
      </c>
      <c r="U22" s="50">
        <v>15.083333</v>
      </c>
      <c r="V22" s="50">
        <v>1.6129000000000001E-2</v>
      </c>
      <c r="W22" s="50">
        <v>7.5175000000000006E-2</v>
      </c>
      <c r="X22" s="50">
        <v>1.338722</v>
      </c>
      <c r="Y22" s="50">
        <v>0.4</v>
      </c>
      <c r="AA22" s="3">
        <v>22</v>
      </c>
      <c r="AD22" s="99" t="str">
        <f>REPLACE(INDEX(GroupVertices[Group], MATCH(Vertices[[#This Row],[Vertex]],GroupVertices[Vertex],0)),1,1,"")</f>
        <v>1</v>
      </c>
      <c r="AE22" s="2"/>
      <c r="AI22" s="3"/>
    </row>
    <row r="23" spans="1:35" x14ac:dyDescent="0.25">
      <c r="A23" s="1" t="s">
        <v>195</v>
      </c>
      <c r="D23">
        <v>2.4444444444444446</v>
      </c>
      <c r="G23" s="51"/>
      <c r="M23">
        <v>2967.75830078125</v>
      </c>
      <c r="N23">
        <v>8705.953125</v>
      </c>
      <c r="R23" s="49">
        <v>2</v>
      </c>
      <c r="U23" s="50">
        <v>0</v>
      </c>
      <c r="V23" s="50">
        <v>1.2194999999999999E-2</v>
      </c>
      <c r="W23" s="50">
        <v>2.6595000000000001E-2</v>
      </c>
      <c r="X23" s="50">
        <v>0.61747200000000002</v>
      </c>
      <c r="Y23" s="50">
        <v>1</v>
      </c>
      <c r="AA23" s="3">
        <v>23</v>
      </c>
      <c r="AD23" s="99" t="str">
        <f>REPLACE(INDEX(GroupVertices[Group], MATCH(Vertices[[#This Row],[Vertex]],GroupVertices[Vertex],0)),1,1,"")</f>
        <v>1</v>
      </c>
      <c r="AE23" s="2"/>
      <c r="AI23" s="3"/>
    </row>
    <row r="24" spans="1:35" x14ac:dyDescent="0.25">
      <c r="A24" s="1" t="s">
        <v>196</v>
      </c>
      <c r="D24">
        <v>1.5</v>
      </c>
      <c r="G24" s="51"/>
      <c r="M24">
        <v>4105.35009765625</v>
      </c>
      <c r="N24">
        <v>1727.103271484375</v>
      </c>
      <c r="R24" s="49">
        <v>1</v>
      </c>
      <c r="U24" s="50">
        <v>0</v>
      </c>
      <c r="V24" s="50">
        <v>1.1764999999999999E-2</v>
      </c>
      <c r="W24" s="50">
        <v>8.9750000000000003E-3</v>
      </c>
      <c r="X24" s="50">
        <v>0.43265100000000001</v>
      </c>
      <c r="Y24" s="50">
        <v>0</v>
      </c>
      <c r="AA24" s="3">
        <v>24</v>
      </c>
      <c r="AD24" s="99" t="str">
        <f>REPLACE(INDEX(GroupVertices[Group], MATCH(Vertices[[#This Row],[Vertex]],GroupVertices[Vertex],0)),1,1,"")</f>
        <v>1</v>
      </c>
      <c r="AE24" s="2"/>
      <c r="AI24" s="3"/>
    </row>
    <row r="25" spans="1:35" x14ac:dyDescent="0.25">
      <c r="A25" s="1" t="s">
        <v>197</v>
      </c>
      <c r="B25" s="3"/>
      <c r="C25" s="3"/>
      <c r="D25" s="6">
        <v>1.5</v>
      </c>
      <c r="E25" s="2"/>
      <c r="F25" s="3"/>
      <c r="G25" s="51"/>
      <c r="H25" s="1"/>
      <c r="I25" s="3"/>
      <c r="K25" s="1"/>
      <c r="L25" s="6"/>
      <c r="M25" s="86">
        <v>9771.318359375</v>
      </c>
      <c r="N25" s="86">
        <v>5359.75830078125</v>
      </c>
      <c r="O25" s="3"/>
      <c r="P25" s="87"/>
      <c r="Q25" s="88"/>
      <c r="R25" s="49">
        <v>1</v>
      </c>
      <c r="S25" s="89"/>
      <c r="T25" s="90"/>
      <c r="U25" s="50">
        <v>0</v>
      </c>
      <c r="V25" s="50">
        <v>1.5152000000000001E-2</v>
      </c>
      <c r="W25" s="50">
        <v>2.1690000000000001E-2</v>
      </c>
      <c r="X25" s="50">
        <v>0.39122699999999999</v>
      </c>
      <c r="Y25" s="50">
        <v>0</v>
      </c>
      <c r="Z25" s="91"/>
      <c r="AA25" s="3">
        <v>25</v>
      </c>
      <c r="AC25" s="3"/>
      <c r="AD25" s="99" t="str">
        <f>REPLACE(INDEX(GroupVertices[Group], MATCH(Vertices[[#This Row],[Vertex]],GroupVertices[Vertex],0)),1,1,"")</f>
        <v>1</v>
      </c>
      <c r="AE25" s="2"/>
      <c r="AI25" s="3"/>
    </row>
    <row r="26" spans="1:35" x14ac:dyDescent="0.25">
      <c r="A26" s="1" t="s">
        <v>198</v>
      </c>
      <c r="D26">
        <v>1.5</v>
      </c>
      <c r="G26" s="51"/>
      <c r="M26">
        <v>7556.3681640625</v>
      </c>
      <c r="N26">
        <v>2237.299072265625</v>
      </c>
      <c r="R26" s="49">
        <v>1</v>
      </c>
      <c r="U26" s="50">
        <v>0</v>
      </c>
      <c r="V26" s="50">
        <v>1.4706E-2</v>
      </c>
      <c r="W26" s="50">
        <v>2.7188E-2</v>
      </c>
      <c r="X26" s="50">
        <v>0.37645499999999998</v>
      </c>
      <c r="Y26" s="50">
        <v>0</v>
      </c>
      <c r="AA26" s="3">
        <v>26</v>
      </c>
      <c r="AD26" s="99" t="str">
        <f>REPLACE(INDEX(GroupVertices[Group], MATCH(Vertices[[#This Row],[Vertex]],GroupVertices[Vertex],0)),1,1,"")</f>
        <v>1</v>
      </c>
      <c r="AE26" s="2"/>
      <c r="AI26" s="3"/>
    </row>
    <row r="27" spans="1:35" x14ac:dyDescent="0.25">
      <c r="A27" s="1" t="s">
        <v>199</v>
      </c>
      <c r="D27">
        <v>2.4444444444444446</v>
      </c>
      <c r="G27" s="51"/>
      <c r="M27">
        <v>9621.4033203125</v>
      </c>
      <c r="N27">
        <v>4440.0634765625</v>
      </c>
      <c r="R27" s="49">
        <v>2</v>
      </c>
      <c r="U27" s="50">
        <v>0</v>
      </c>
      <c r="V27" s="50">
        <v>1.1905000000000001E-2</v>
      </c>
      <c r="W27" s="50">
        <v>6.2750000000000002E-3</v>
      </c>
      <c r="X27" s="50">
        <v>0.78058499999999997</v>
      </c>
      <c r="Y27" s="50">
        <v>1</v>
      </c>
      <c r="AA27" s="3">
        <v>27</v>
      </c>
      <c r="AD27" s="99" t="str">
        <f>REPLACE(INDEX(GroupVertices[Group], MATCH(Vertices[[#This Row],[Vertex]],GroupVertices[Vertex],0)),1,1,"")</f>
        <v>1</v>
      </c>
      <c r="AE27" s="2"/>
      <c r="AI27" s="3"/>
    </row>
    <row r="28" spans="1:35" x14ac:dyDescent="0.25">
      <c r="A28" s="1" t="s">
        <v>200</v>
      </c>
      <c r="D28">
        <v>3.3888888888888888</v>
      </c>
      <c r="G28" s="51"/>
      <c r="M28">
        <v>8478.005859375</v>
      </c>
      <c r="N28">
        <v>2828.193603515625</v>
      </c>
      <c r="R28" s="49">
        <v>3</v>
      </c>
      <c r="U28" s="50">
        <v>44</v>
      </c>
      <c r="V28" s="50">
        <v>1.6129000000000001E-2</v>
      </c>
      <c r="W28" s="50">
        <v>2.4268000000000001E-2</v>
      </c>
      <c r="X28" s="50">
        <v>1.0547219999999999</v>
      </c>
      <c r="Y28" s="50">
        <v>0.33333333333333331</v>
      </c>
      <c r="AA28" s="3">
        <v>28</v>
      </c>
      <c r="AD28" s="99" t="str">
        <f>REPLACE(INDEX(GroupVertices[Group], MATCH(Vertices[[#This Row],[Vertex]],GroupVertices[Vertex],0)),1,1,"")</f>
        <v>1</v>
      </c>
      <c r="AE28" s="2"/>
      <c r="AI28" s="3"/>
    </row>
    <row r="29" spans="1:35" x14ac:dyDescent="0.25">
      <c r="A29" s="1" t="s">
        <v>201</v>
      </c>
      <c r="D29">
        <v>2.4444444444444446</v>
      </c>
      <c r="G29" s="51"/>
      <c r="M29">
        <v>9181.0771484375</v>
      </c>
      <c r="N29">
        <v>3578.15625</v>
      </c>
      <c r="R29" s="49">
        <v>2</v>
      </c>
      <c r="U29" s="50">
        <v>0</v>
      </c>
      <c r="V29" s="50">
        <v>1.1905000000000001E-2</v>
      </c>
      <c r="W29" s="50">
        <v>6.2750000000000002E-3</v>
      </c>
      <c r="X29" s="50">
        <v>0.78058499999999997</v>
      </c>
      <c r="Y29" s="50">
        <v>1</v>
      </c>
      <c r="AA29" s="3">
        <v>29</v>
      </c>
      <c r="AD29" s="99" t="str">
        <f>REPLACE(INDEX(GroupVertices[Group], MATCH(Vertices[[#This Row],[Vertex]],GroupVertices[Vertex],0)),1,1,"")</f>
        <v>1</v>
      </c>
      <c r="AE29" s="2"/>
      <c r="AI29" s="3"/>
    </row>
    <row r="30" spans="1:35" x14ac:dyDescent="0.25">
      <c r="G30" s="51"/>
      <c r="R30" s="49"/>
      <c r="U30" s="50"/>
      <c r="V30" s="50"/>
      <c r="W30" s="50"/>
      <c r="X30" s="50"/>
      <c r="Y30" s="50"/>
      <c r="AA30" s="3">
        <v>30</v>
      </c>
      <c r="AD30" s="99" t="e">
        <f>REPLACE(INDEX(GroupVertices[Group], MATCH(Vertices[[#This Row],[Vertex]],GroupVertices[Vertex],0)),1,1,"")</f>
        <v>#N/A</v>
      </c>
      <c r="AE30" s="2"/>
      <c r="AI30" s="3"/>
    </row>
    <row r="31" spans="1:35" x14ac:dyDescent="0.25">
      <c r="G31" s="51"/>
      <c r="R31" s="49"/>
      <c r="U31" s="50"/>
      <c r="V31" s="50"/>
      <c r="W31" s="50"/>
      <c r="X31" s="50"/>
      <c r="Y31" s="50"/>
      <c r="AA31" s="3">
        <v>31</v>
      </c>
      <c r="AD31" s="99" t="e">
        <f>REPLACE(INDEX(GroupVertices[Group], MATCH(Vertices[[#This Row],[Vertex]],GroupVertices[Vertex],0)),1,1,"")</f>
        <v>#N/A</v>
      </c>
      <c r="AE31" s="2"/>
      <c r="AI31" s="3"/>
    </row>
    <row r="32" spans="1:35" x14ac:dyDescent="0.25">
      <c r="G32" s="51"/>
      <c r="R32" s="49"/>
      <c r="U32" s="50"/>
      <c r="V32" s="50"/>
      <c r="W32" s="50"/>
      <c r="X32" s="50"/>
      <c r="Y32" s="50"/>
      <c r="AA32" s="3">
        <v>32</v>
      </c>
      <c r="AD32" s="99" t="e">
        <f>REPLACE(INDEX(GroupVertices[Group], MATCH(Vertices[[#This Row],[Vertex]],GroupVertices[Vertex],0)),1,1,"")</f>
        <v>#N/A</v>
      </c>
      <c r="AE32" s="2"/>
      <c r="AI32" s="3"/>
    </row>
    <row r="33" spans="7:35" x14ac:dyDescent="0.25">
      <c r="G33" s="51"/>
      <c r="R33" s="49"/>
      <c r="U33" s="50"/>
      <c r="V33" s="50"/>
      <c r="W33" s="50"/>
      <c r="X33" s="50"/>
      <c r="Y33" s="50"/>
      <c r="AA33" s="3">
        <v>33</v>
      </c>
      <c r="AD33" s="99" t="e">
        <f>REPLACE(INDEX(GroupVertices[Group], MATCH(Vertices[[#This Row],[Vertex]],GroupVertices[Vertex],0)),1,1,"")</f>
        <v>#N/A</v>
      </c>
      <c r="AE33" s="2"/>
      <c r="AI33" s="3"/>
    </row>
    <row r="34" spans="7:35" x14ac:dyDescent="0.25">
      <c r="G34" s="51"/>
      <c r="R34" s="49"/>
      <c r="U34" s="50"/>
      <c r="V34" s="50"/>
      <c r="W34" s="50"/>
      <c r="X34" s="50"/>
      <c r="Y34" s="50"/>
      <c r="AA34" s="3">
        <v>34</v>
      </c>
      <c r="AD34" s="99" t="e">
        <f>REPLACE(INDEX(GroupVertices[Group], MATCH(Vertices[[#This Row],[Vertex]],GroupVertices[Vertex],0)),1,1,"")</f>
        <v>#N/A</v>
      </c>
      <c r="AE34" s="2"/>
      <c r="AI34" s="3"/>
    </row>
    <row r="35" spans="7:35" x14ac:dyDescent="0.25">
      <c r="G35" s="51"/>
      <c r="R35" s="49"/>
      <c r="U35" s="50"/>
      <c r="V35" s="50"/>
      <c r="W35" s="50"/>
      <c r="X35" s="50"/>
      <c r="Y35" s="50"/>
      <c r="AA35" s="3">
        <v>35</v>
      </c>
      <c r="AD35" s="99" t="e">
        <f>REPLACE(INDEX(GroupVertices[Group], MATCH(Vertices[[#This Row],[Vertex]],GroupVertices[Vertex],0)),1,1,"")</f>
        <v>#N/A</v>
      </c>
      <c r="AE35" s="2"/>
      <c r="AI35" s="3"/>
    </row>
    <row r="36" spans="7:35" x14ac:dyDescent="0.25">
      <c r="G36" s="51"/>
      <c r="R36" s="49"/>
      <c r="U36" s="50"/>
      <c r="V36" s="50"/>
      <c r="W36" s="50"/>
      <c r="X36" s="50"/>
      <c r="Y36" s="50"/>
      <c r="AA36" s="3">
        <v>36</v>
      </c>
      <c r="AD36" s="99" t="e">
        <f>REPLACE(INDEX(GroupVertices[Group], MATCH(Vertices[[#This Row],[Vertex]],GroupVertices[Vertex],0)),1,1,"")</f>
        <v>#N/A</v>
      </c>
      <c r="AE36" s="2"/>
      <c r="AI36" s="3"/>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AA36"/>
    <dataValidation allowBlank="1" errorTitle="Invalid Vertex Visibility" error="You have entered an unrecognized vertex visibility.  Try selecting from the drop-down list instead." sqref="AE3"/>
    <dataValidation allowBlank="1" showErrorMessage="1" sqref="AE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O36">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36"/>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L36"/>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P36"/>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Q36"/>
    <dataValidation allowBlank="1" showInputMessage="1" errorTitle="Invalid Vertex Image Key" promptTitle="Vertex Tooltip" prompt="Enter optional text that will pop up when the mouse is hovered over the vertex." sqref="K3:K36"/>
    <dataValidation allowBlank="1" errorTitle="Invalid Vertex Visibility" error="You have entered an unrecognized vertex visibility.  Try selecting from the drop-down list instead." promptTitle="Vertex ID" prompt="This is a unique ID that gets filled in automatically.  Do not edit this column." sqref="AB3:AB36"/>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36">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H36"/>
    <dataValidation allowBlank="1" showInputMessage="1" promptTitle="Vertex Label Fill Color" prompt="To select an optional fill color for the Label shape, right-click and select Select Color on the right-click menu." sqref="I3:I36"/>
    <dataValidation allowBlank="1" showInputMessage="1" errorTitle="Invalid Vertex Image Key" promptTitle="Vertex Image File" prompt="Enter the path to an image file.  Hover over the column header for examples." sqref="F3:F36"/>
    <dataValidation allowBlank="1" showInputMessage="1" promptTitle="Vertex Color" prompt="To select an optional vertex color, right-click and select Select Color on the right-click menu." sqref="B3:B36"/>
    <dataValidation allowBlank="1" showInputMessage="1" errorTitle="Invalid Vertex Opacity" error="The optional vertex opacity must be a whole number between 0 and 10." promptTitle="Vertex Opacity" prompt="Enter an optional vertex opacity between 0 (transparent) and 100 (opaque)." sqref="E3:E36"/>
    <dataValidation type="list" allowBlank="1" showInputMessage="1" showErrorMessage="1" errorTitle="Invalid Vertex Shape" error="You have entered an invalid vertex shape.  Try selecting from the drop-down list instead." promptTitle="Vertex Shape" prompt="Select an optional vertex shape." sqref="C3:C36">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D36"/>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J36">
      <formula1>ValidVertexLabelPositions</formula1>
    </dataValidation>
    <dataValidation allowBlank="1" showInputMessage="1" showErrorMessage="1" promptTitle="Vertex Name" prompt="Enter the name of the vertex." sqref="A3:A36"/>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50</v>
      </c>
    </row>
    <row r="2" spans="1:1" ht="15" customHeight="1" x14ac:dyDescent="0.25"/>
    <row r="3" spans="1:1" ht="15" customHeight="1" x14ac:dyDescent="0.25">
      <c r="A3" s="30" t="s">
        <v>51</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10"/>
  <sheetViews>
    <sheetView workbookViewId="0">
      <pane ySplit="2" topLeftCell="A3" activePane="bottomLeft" state="frozen"/>
      <selection pane="bottomLeft" activeCell="A2" sqref="A2:X2"/>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 customWidth="1"/>
  </cols>
  <sheetData>
    <row r="1" spans="1:24" x14ac:dyDescent="0.25">
      <c r="B1" s="64" t="s">
        <v>40</v>
      </c>
      <c r="C1" s="65"/>
      <c r="D1" s="65"/>
      <c r="E1" s="66"/>
      <c r="F1" s="63" t="s">
        <v>44</v>
      </c>
      <c r="G1" s="67" t="s">
        <v>45</v>
      </c>
      <c r="H1" s="68"/>
      <c r="I1" s="69" t="s">
        <v>41</v>
      </c>
      <c r="J1" s="70"/>
      <c r="K1" s="71" t="s">
        <v>43</v>
      </c>
      <c r="L1" s="72"/>
      <c r="M1" s="72"/>
      <c r="N1" s="72"/>
      <c r="O1" s="72"/>
      <c r="P1" s="72"/>
      <c r="Q1" s="72"/>
      <c r="R1" s="72"/>
      <c r="S1" s="72"/>
      <c r="T1" s="72"/>
      <c r="U1" s="72"/>
      <c r="V1" s="72"/>
      <c r="W1" s="72"/>
      <c r="X1" s="72"/>
    </row>
    <row r="2" spans="1:24" s="13" customFormat="1" ht="30" customHeight="1" x14ac:dyDescent="0.25">
      <c r="A2" s="11" t="s">
        <v>145</v>
      </c>
      <c r="B2" s="13" t="s">
        <v>21</v>
      </c>
      <c r="C2" s="13" t="s">
        <v>20</v>
      </c>
      <c r="D2" s="13" t="s">
        <v>11</v>
      </c>
      <c r="E2" s="13" t="s">
        <v>146</v>
      </c>
      <c r="F2" s="13" t="s">
        <v>47</v>
      </c>
      <c r="G2" s="13" t="s">
        <v>168</v>
      </c>
      <c r="H2" s="13" t="s">
        <v>169</v>
      </c>
      <c r="I2" s="13" t="s">
        <v>12</v>
      </c>
      <c r="J2" s="13" t="s">
        <v>167</v>
      </c>
      <c r="K2" s="13" t="s">
        <v>147</v>
      </c>
      <c r="L2" s="13" t="s">
        <v>149</v>
      </c>
      <c r="M2" s="13" t="s">
        <v>150</v>
      </c>
      <c r="N2" s="13" t="s">
        <v>151</v>
      </c>
      <c r="O2" s="13" t="s">
        <v>152</v>
      </c>
      <c r="P2" s="13" t="s">
        <v>171</v>
      </c>
      <c r="Q2" s="13" t="s">
        <v>172</v>
      </c>
      <c r="R2" s="13" t="s">
        <v>153</v>
      </c>
      <c r="S2" s="13" t="s">
        <v>154</v>
      </c>
      <c r="T2" s="13" t="s">
        <v>155</v>
      </c>
      <c r="U2" s="13" t="s">
        <v>156</v>
      </c>
      <c r="V2" s="13" t="s">
        <v>157</v>
      </c>
      <c r="W2" s="13" t="s">
        <v>158</v>
      </c>
      <c r="X2" s="13" t="s">
        <v>159</v>
      </c>
    </row>
    <row r="3" spans="1:24" x14ac:dyDescent="0.25">
      <c r="A3" s="98" t="s">
        <v>211</v>
      </c>
      <c r="B3" s="100" t="s">
        <v>213</v>
      </c>
      <c r="C3" s="100" t="s">
        <v>57</v>
      </c>
      <c r="D3" s="93"/>
      <c r="E3" s="92"/>
      <c r="F3" s="94"/>
      <c r="G3" s="95"/>
      <c r="H3" s="95"/>
      <c r="I3" s="96">
        <v>3</v>
      </c>
      <c r="J3" s="97"/>
      <c r="K3" s="49"/>
      <c r="L3" s="49"/>
      <c r="M3" s="49"/>
      <c r="N3" s="49"/>
      <c r="O3" s="49"/>
      <c r="P3" s="50"/>
      <c r="Q3" s="50"/>
      <c r="R3" s="49"/>
      <c r="S3" s="49"/>
      <c r="T3" s="49"/>
      <c r="U3" s="49"/>
      <c r="V3" s="49"/>
      <c r="W3" s="50"/>
      <c r="X3" s="50"/>
    </row>
    <row r="4" spans="1:24" x14ac:dyDescent="0.25">
      <c r="A4" s="116" t="s">
        <v>212</v>
      </c>
      <c r="B4" s="100" t="s">
        <v>214</v>
      </c>
      <c r="C4" s="100" t="s">
        <v>57</v>
      </c>
      <c r="D4" s="117"/>
      <c r="E4" s="12"/>
      <c r="F4" s="112"/>
      <c r="G4" s="12"/>
      <c r="H4" s="12"/>
      <c r="I4" s="119">
        <v>4</v>
      </c>
      <c r="J4" s="118"/>
      <c r="K4" s="120"/>
      <c r="L4" s="120"/>
      <c r="M4" s="120"/>
      <c r="N4" s="120"/>
      <c r="O4" s="120"/>
      <c r="P4" s="121"/>
      <c r="Q4" s="121"/>
      <c r="R4" s="120"/>
      <c r="S4" s="120"/>
      <c r="T4" s="120"/>
      <c r="U4" s="120"/>
      <c r="V4" s="120"/>
      <c r="W4" s="121"/>
      <c r="X4" s="121"/>
    </row>
    <row r="5" spans="1:24" x14ac:dyDescent="0.25">
      <c r="A5"/>
    </row>
    <row r="6" spans="1:24" x14ac:dyDescent="0.25">
      <c r="A6"/>
    </row>
    <row r="7" spans="1:24" x14ac:dyDescent="0.25">
      <c r="A7"/>
    </row>
    <row r="8" spans="1:24" x14ac:dyDescent="0.25">
      <c r="A8"/>
    </row>
    <row r="9" spans="1:24" x14ac:dyDescent="0.25">
      <c r="A9"/>
    </row>
    <row r="10" spans="1:24" ht="14.25" customHeight="1" x14ac:dyDescent="0.25">
      <c r="A10"/>
    </row>
  </sheetData>
  <dataConsolidate/>
  <dataValidations count="8">
    <dataValidation allowBlank="1" showInputMessage="1" promptTitle="Group Vertex Color" prompt="To select a color to use for all vertices in the group, right-click and select Select Color on the right-click menu." sqref="B3:B4"/>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C4">
      <formula1>ValidGroupShapes</formula1>
    </dataValidation>
    <dataValidation allowBlank="1" showInputMessage="1" showErrorMessage="1" promptTitle="Group Name" prompt="Enter the name of the group." sqref="A3:A4"/>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E4">
      <formula1>ValidBooleansDefaultFalse</formula1>
    </dataValidation>
    <dataValidation allowBlank="1" sqref="K3:K4"/>
    <dataValidation allowBlank="1" showInputMessage="1" showErrorMessage="1" errorTitle="Invalid Group Collapsed" error="You have entered an unrecognized &quot;group collapsed.&quot;  Try selecting from the drop-down list instead." promptTitle="Group Label" prompt="Enter an optional group label." sqref="F3:F4"/>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4"/>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D4">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35"/>
  <sheetViews>
    <sheetView workbookViewId="0">
      <selection activeCell="C18" sqref="C18"/>
    </sheetView>
  </sheetViews>
  <sheetFormatPr defaultRowHeight="15" x14ac:dyDescent="0.25"/>
  <cols>
    <col min="1" max="1" width="9.42578125" style="1" bestFit="1" customWidth="1"/>
    <col min="2" max="2" width="30" style="1" customWidth="1"/>
    <col min="3" max="3" width="11.5703125" bestFit="1" customWidth="1"/>
    <col min="4" max="4" width="9.140625" customWidth="1"/>
  </cols>
  <sheetData>
    <row r="1" spans="1:3" ht="15" customHeight="1" x14ac:dyDescent="0.25">
      <c r="A1" s="11" t="s">
        <v>145</v>
      </c>
      <c r="B1" s="11" t="s">
        <v>5</v>
      </c>
      <c r="C1" s="11" t="s">
        <v>148</v>
      </c>
    </row>
    <row r="2" spans="1:3" x14ac:dyDescent="0.25">
      <c r="A2" s="99" t="s">
        <v>211</v>
      </c>
      <c r="B2" s="101" t="s">
        <v>197</v>
      </c>
      <c r="C2" s="99">
        <f>VLOOKUP(GroupVertices[[#This Row],[Vertex]], Vertices[], MATCH("ID", Vertices[#Headers], 0), FALSE)</f>
        <v>25</v>
      </c>
    </row>
    <row r="3" spans="1:3" x14ac:dyDescent="0.25">
      <c r="A3" s="99" t="s">
        <v>211</v>
      </c>
      <c r="B3" s="101" t="s">
        <v>199</v>
      </c>
      <c r="C3" s="99">
        <f>VLOOKUP(GroupVertices[[#This Row],[Vertex]], Vertices[], MATCH("ID", Vertices[#Headers], 0), FALSE)</f>
        <v>27</v>
      </c>
    </row>
    <row r="4" spans="1:3" x14ac:dyDescent="0.25">
      <c r="A4" s="99" t="s">
        <v>211</v>
      </c>
      <c r="B4" s="101" t="s">
        <v>201</v>
      </c>
      <c r="C4" s="99">
        <f>VLOOKUP(GroupVertices[[#This Row],[Vertex]], Vertices[], MATCH("ID", Vertices[#Headers], 0), FALSE)</f>
        <v>29</v>
      </c>
    </row>
    <row r="5" spans="1:3" x14ac:dyDescent="0.25">
      <c r="A5" s="99" t="s">
        <v>211</v>
      </c>
      <c r="B5" s="101" t="s">
        <v>200</v>
      </c>
      <c r="C5" s="99">
        <f>VLOOKUP(GroupVertices[[#This Row],[Vertex]], Vertices[], MATCH("ID", Vertices[#Headers], 0), FALSE)</f>
        <v>28</v>
      </c>
    </row>
    <row r="6" spans="1:3" x14ac:dyDescent="0.25">
      <c r="A6" s="99" t="s">
        <v>211</v>
      </c>
      <c r="B6" s="101" t="s">
        <v>198</v>
      </c>
      <c r="C6" s="99">
        <f>VLOOKUP(GroupVertices[[#This Row],[Vertex]], Vertices[], MATCH("ID", Vertices[#Headers], 0), FALSE)</f>
        <v>26</v>
      </c>
    </row>
    <row r="7" spans="1:3" x14ac:dyDescent="0.25">
      <c r="A7" s="99" t="s">
        <v>211</v>
      </c>
      <c r="B7" s="101" t="s">
        <v>180</v>
      </c>
      <c r="C7" s="99">
        <f>VLOOKUP(GroupVertices[[#This Row],[Vertex]], Vertices[], MATCH("ID", Vertices[#Headers], 0), FALSE)</f>
        <v>8</v>
      </c>
    </row>
    <row r="8" spans="1:3" x14ac:dyDescent="0.25">
      <c r="A8" s="99" t="s">
        <v>211</v>
      </c>
      <c r="B8" s="101" t="s">
        <v>181</v>
      </c>
      <c r="C8" s="99">
        <f>VLOOKUP(GroupVertices[[#This Row],[Vertex]], Vertices[], MATCH("ID", Vertices[#Headers], 0), FALSE)</f>
        <v>9</v>
      </c>
    </row>
    <row r="9" spans="1:3" x14ac:dyDescent="0.25">
      <c r="A9" s="99" t="s">
        <v>211</v>
      </c>
      <c r="B9" s="101" t="s">
        <v>196</v>
      </c>
      <c r="C9" s="99">
        <f>VLOOKUP(GroupVertices[[#This Row],[Vertex]], Vertices[], MATCH("ID", Vertices[#Headers], 0), FALSE)</f>
        <v>24</v>
      </c>
    </row>
    <row r="10" spans="1:3" x14ac:dyDescent="0.25">
      <c r="A10" s="99" t="s">
        <v>211</v>
      </c>
      <c r="B10" s="101" t="s">
        <v>185</v>
      </c>
      <c r="C10" s="99">
        <f>VLOOKUP(GroupVertices[[#This Row],[Vertex]], Vertices[], MATCH("ID", Vertices[#Headers], 0), FALSE)</f>
        <v>13</v>
      </c>
    </row>
    <row r="11" spans="1:3" x14ac:dyDescent="0.25">
      <c r="A11" s="99" t="s">
        <v>211</v>
      </c>
      <c r="B11" s="101" t="s">
        <v>187</v>
      </c>
      <c r="C11" s="99">
        <f>VLOOKUP(GroupVertices[[#This Row],[Vertex]], Vertices[], MATCH("ID", Vertices[#Headers], 0), FALSE)</f>
        <v>15</v>
      </c>
    </row>
    <row r="12" spans="1:3" x14ac:dyDescent="0.25">
      <c r="A12" s="99" t="s">
        <v>211</v>
      </c>
      <c r="B12" s="101" t="s">
        <v>183</v>
      </c>
      <c r="C12" s="99">
        <f>VLOOKUP(GroupVertices[[#This Row],[Vertex]], Vertices[], MATCH("ID", Vertices[#Headers], 0), FALSE)</f>
        <v>11</v>
      </c>
    </row>
    <row r="13" spans="1:3" x14ac:dyDescent="0.25">
      <c r="A13" s="99" t="s">
        <v>211</v>
      </c>
      <c r="B13" s="101" t="s">
        <v>186</v>
      </c>
      <c r="C13" s="99">
        <f>VLOOKUP(GroupVertices[[#This Row],[Vertex]], Vertices[], MATCH("ID", Vertices[#Headers], 0), FALSE)</f>
        <v>14</v>
      </c>
    </row>
    <row r="14" spans="1:3" x14ac:dyDescent="0.25">
      <c r="A14" s="99" t="s">
        <v>211</v>
      </c>
      <c r="B14" s="101" t="s">
        <v>184</v>
      </c>
      <c r="C14" s="99">
        <f>VLOOKUP(GroupVertices[[#This Row],[Vertex]], Vertices[], MATCH("ID", Vertices[#Headers], 0), FALSE)</f>
        <v>12</v>
      </c>
    </row>
    <row r="15" spans="1:3" x14ac:dyDescent="0.25">
      <c r="A15" s="99" t="s">
        <v>211</v>
      </c>
      <c r="B15" s="101" t="s">
        <v>191</v>
      </c>
      <c r="C15" s="99">
        <f>VLOOKUP(GroupVertices[[#This Row],[Vertex]], Vertices[], MATCH("ID", Vertices[#Headers], 0), FALSE)</f>
        <v>19</v>
      </c>
    </row>
    <row r="16" spans="1:3" x14ac:dyDescent="0.25">
      <c r="A16" s="99" t="s">
        <v>211</v>
      </c>
      <c r="B16" s="101" t="s">
        <v>190</v>
      </c>
      <c r="C16" s="99">
        <f>VLOOKUP(GroupVertices[[#This Row],[Vertex]], Vertices[], MATCH("ID", Vertices[#Headers], 0), FALSE)</f>
        <v>18</v>
      </c>
    </row>
    <row r="17" spans="1:3" x14ac:dyDescent="0.25">
      <c r="A17" s="99" t="s">
        <v>211</v>
      </c>
      <c r="B17" s="101" t="s">
        <v>192</v>
      </c>
      <c r="C17" s="99">
        <f>VLOOKUP(GroupVertices[[#This Row],[Vertex]], Vertices[], MATCH("ID", Vertices[#Headers], 0), FALSE)</f>
        <v>20</v>
      </c>
    </row>
    <row r="18" spans="1:3" x14ac:dyDescent="0.25">
      <c r="A18" s="99" t="s">
        <v>211</v>
      </c>
      <c r="B18" s="101" t="s">
        <v>194</v>
      </c>
      <c r="C18" s="99">
        <f>VLOOKUP(GroupVertices[[#This Row],[Vertex]], Vertices[], MATCH("ID", Vertices[#Headers], 0), FALSE)</f>
        <v>22</v>
      </c>
    </row>
    <row r="19" spans="1:3" x14ac:dyDescent="0.25">
      <c r="A19" s="99" t="s">
        <v>211</v>
      </c>
      <c r="B19" s="101" t="s">
        <v>195</v>
      </c>
      <c r="C19" s="99">
        <f>VLOOKUP(GroupVertices[[#This Row],[Vertex]], Vertices[], MATCH("ID", Vertices[#Headers], 0), FALSE)</f>
        <v>23</v>
      </c>
    </row>
    <row r="20" spans="1:3" x14ac:dyDescent="0.25">
      <c r="A20" s="99" t="s">
        <v>211</v>
      </c>
      <c r="B20" s="101" t="s">
        <v>193</v>
      </c>
      <c r="C20" s="99">
        <f>VLOOKUP(GroupVertices[[#This Row],[Vertex]], Vertices[], MATCH("ID", Vertices[#Headers], 0), FALSE)</f>
        <v>21</v>
      </c>
    </row>
    <row r="21" spans="1:3" x14ac:dyDescent="0.25">
      <c r="A21" s="99" t="s">
        <v>211</v>
      </c>
      <c r="B21" s="101" t="s">
        <v>188</v>
      </c>
      <c r="C21" s="99">
        <f>VLOOKUP(GroupVertices[[#This Row],[Vertex]], Vertices[], MATCH("ID", Vertices[#Headers], 0), FALSE)</f>
        <v>16</v>
      </c>
    </row>
    <row r="22" spans="1:3" x14ac:dyDescent="0.25">
      <c r="A22" s="99" t="s">
        <v>211</v>
      </c>
      <c r="B22" s="101" t="s">
        <v>182</v>
      </c>
      <c r="C22" s="99">
        <f>VLOOKUP(GroupVertices[[#This Row],[Vertex]], Vertices[], MATCH("ID", Vertices[#Headers], 0), FALSE)</f>
        <v>10</v>
      </c>
    </row>
    <row r="23" spans="1:3" x14ac:dyDescent="0.25">
      <c r="A23" s="99" t="s">
        <v>211</v>
      </c>
      <c r="B23" s="101" t="s">
        <v>189</v>
      </c>
      <c r="C23" s="99">
        <f>VLOOKUP(GroupVertices[[#This Row],[Vertex]], Vertices[], MATCH("ID", Vertices[#Headers], 0), FALSE)</f>
        <v>17</v>
      </c>
    </row>
    <row r="24" spans="1:3" x14ac:dyDescent="0.25">
      <c r="A24" s="99" t="s">
        <v>211</v>
      </c>
      <c r="B24" s="101" t="s">
        <v>176</v>
      </c>
      <c r="C24" s="99">
        <f>VLOOKUP(GroupVertices[[#This Row],[Vertex]], Vertices[], MATCH("ID", Vertices[#Headers], 0), FALSE)</f>
        <v>4</v>
      </c>
    </row>
    <row r="25" spans="1:3" x14ac:dyDescent="0.25">
      <c r="A25" s="99" t="s">
        <v>211</v>
      </c>
      <c r="B25" s="101" t="s">
        <v>177</v>
      </c>
      <c r="C25" s="99">
        <f>VLOOKUP(GroupVertices[[#This Row],[Vertex]], Vertices[], MATCH("ID", Vertices[#Headers], 0), FALSE)</f>
        <v>5</v>
      </c>
    </row>
    <row r="26" spans="1:3" x14ac:dyDescent="0.25">
      <c r="A26" s="99" t="s">
        <v>211</v>
      </c>
      <c r="B26" s="101" t="s">
        <v>175</v>
      </c>
      <c r="C26" s="99">
        <f>VLOOKUP(GroupVertices[[#This Row],[Vertex]], Vertices[], MATCH("ID", Vertices[#Headers], 0), FALSE)</f>
        <v>3</v>
      </c>
    </row>
    <row r="27" spans="1:3" x14ac:dyDescent="0.25">
      <c r="A27" s="99" t="s">
        <v>212</v>
      </c>
      <c r="B27" s="101" t="s">
        <v>179</v>
      </c>
      <c r="C27" s="99">
        <f>VLOOKUP(GroupVertices[[#This Row],[Vertex]], Vertices[], MATCH("ID", Vertices[#Headers], 0), FALSE)</f>
        <v>7</v>
      </c>
    </row>
    <row r="28" spans="1:3" x14ac:dyDescent="0.25">
      <c r="A28" s="99" t="s">
        <v>212</v>
      </c>
      <c r="B28" s="101" t="s">
        <v>178</v>
      </c>
      <c r="C28" s="99">
        <f>VLOOKUP(GroupVertices[[#This Row],[Vertex]], Vertices[], MATCH("ID", Vertices[#Headers], 0), FALSE)</f>
        <v>6</v>
      </c>
    </row>
    <row r="29" spans="1:3" x14ac:dyDescent="0.25">
      <c r="A29"/>
      <c r="B29"/>
    </row>
    <row r="30" spans="1:3" x14ac:dyDescent="0.25">
      <c r="A30"/>
      <c r="B30"/>
    </row>
    <row r="31" spans="1:3" x14ac:dyDescent="0.25">
      <c r="A31"/>
      <c r="B31"/>
    </row>
    <row r="32" spans="1:3" x14ac:dyDescent="0.25">
      <c r="A32"/>
      <c r="B32"/>
    </row>
    <row r="33" spans="1:2" x14ac:dyDescent="0.25">
      <c r="A33"/>
      <c r="B33"/>
    </row>
    <row r="34" spans="1:2" x14ac:dyDescent="0.25">
      <c r="A34"/>
      <c r="B34"/>
    </row>
    <row r="35" spans="1:2" x14ac:dyDescent="0.25">
      <c r="A35"/>
      <c r="B35"/>
    </row>
  </sheetData>
  <dataConsolidate/>
  <dataValidations xWindow="58" yWindow="226" count="3">
    <dataValidation allowBlank="1" showInputMessage="1" showErrorMessage="1" promptTitle="Group Name" prompt="Enter the name of the group.  The group name must also be entered on the Groups worksheet." sqref="A2:A28"/>
    <dataValidation allowBlank="1" showInputMessage="1" showErrorMessage="1" promptTitle="Vertex Name" prompt="Enter the name of a vertex to include in the group." sqref="B2:B28"/>
    <dataValidation allowBlank="1" showInputMessage="1" promptTitle="Vertex ID" prompt="This is the value of the hidden ID cell in the Vertices worksheet.  It gets filled in by the items on the NodeXL, Analysis, Groups menu." sqref="C2:C28"/>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tabSelected="1" workbookViewId="0">
      <selection activeCell="B23" sqref="B23"/>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163</v>
      </c>
      <c r="B1" s="13" t="s">
        <v>17</v>
      </c>
      <c r="D1" t="s">
        <v>80</v>
      </c>
      <c r="E1" t="s">
        <v>81</v>
      </c>
      <c r="F1" s="35" t="s">
        <v>87</v>
      </c>
      <c r="G1" s="36" t="s">
        <v>88</v>
      </c>
      <c r="H1" s="35" t="s">
        <v>93</v>
      </c>
      <c r="I1" s="36" t="s">
        <v>94</v>
      </c>
      <c r="J1" s="35" t="s">
        <v>99</v>
      </c>
      <c r="K1" s="36" t="s">
        <v>100</v>
      </c>
      <c r="L1" s="35" t="s">
        <v>105</v>
      </c>
      <c r="M1" s="36" t="s">
        <v>106</v>
      </c>
      <c r="N1" s="35" t="s">
        <v>111</v>
      </c>
      <c r="O1" s="36" t="s">
        <v>112</v>
      </c>
      <c r="P1" s="36" t="s">
        <v>139</v>
      </c>
      <c r="Q1" s="36" t="s">
        <v>140</v>
      </c>
      <c r="R1" s="35" t="s">
        <v>117</v>
      </c>
      <c r="S1" s="35" t="s">
        <v>118</v>
      </c>
      <c r="T1" s="35" t="s">
        <v>123</v>
      </c>
      <c r="U1" s="36" t="s">
        <v>124</v>
      </c>
      <c r="W1" t="s">
        <v>128</v>
      </c>
      <c r="X1" t="s">
        <v>17</v>
      </c>
    </row>
    <row r="2" spans="1:24" ht="15.75" thickTop="1" x14ac:dyDescent="0.25">
      <c r="A2" s="34" t="s">
        <v>206</v>
      </c>
      <c r="B2" s="34" t="s">
        <v>31</v>
      </c>
      <c r="D2" s="31">
        <f>MIN(Vertices[Degree])</f>
        <v>1</v>
      </c>
      <c r="E2" s="3">
        <f>COUNTIF(Vertices[Degree], "&gt;= " &amp; D2) - COUNTIF(Vertices[Degree], "&gt;=" &amp; D3)</f>
        <v>6</v>
      </c>
      <c r="F2" s="37">
        <f>MIN(Vertices[In-Degree])</f>
        <v>0</v>
      </c>
      <c r="G2" s="38">
        <f>COUNTIF(Vertices[In-Degree], "&gt;= " &amp; F2) - COUNTIF(Vertices[In-Degree], "&gt;=" &amp; F3)</f>
        <v>0</v>
      </c>
      <c r="H2" s="37">
        <f>MIN(Vertices[Out-Degree])</f>
        <v>0</v>
      </c>
      <c r="I2" s="38">
        <f>COUNTIF(Vertices[Out-Degree], "&gt;= " &amp; H2) - COUNTIF(Vertices[Out-Degree], "&gt;=" &amp; H3)</f>
        <v>0</v>
      </c>
      <c r="J2" s="37">
        <f>MIN(Vertices[Betweenness Centrality])</f>
        <v>0</v>
      </c>
      <c r="K2" s="38">
        <f>COUNTIF(Vertices[Betweenness Centrality], "&gt;= " &amp; J2) - COUNTIF(Vertices[Betweenness Centrality], "&gt;=" &amp; J3)</f>
        <v>14</v>
      </c>
      <c r="L2" s="37">
        <f>MIN(Vertices[Closeness Centrality])</f>
        <v>9.9010000000000001E-3</v>
      </c>
      <c r="M2" s="38">
        <f>COUNTIF(Vertices[Closeness Centrality], "&gt;= " &amp; L2) - COUNTIF(Vertices[Closeness Centrality], "&gt;=" &amp; L3)</f>
        <v>25</v>
      </c>
      <c r="N2" s="37">
        <f>MIN(Vertices[Eigenvector Centrality])</f>
        <v>0</v>
      </c>
      <c r="O2" s="38">
        <f>COUNTIF(Vertices[Eigenvector Centrality], "&gt;= " &amp; N2) - COUNTIF(Vertices[Eigenvector Centrality], "&gt;=" &amp; N3)</f>
        <v>4</v>
      </c>
      <c r="P2" s="37">
        <f>MIN(Vertices[PageRank])</f>
        <v>0.37645499999999998</v>
      </c>
      <c r="Q2" s="38">
        <f>COUNTIF(Vertices[PageRank], "&gt;= " &amp; P2) - COUNTIF(Vertices[PageRank], "&gt;=" &amp; P3)</f>
        <v>3</v>
      </c>
      <c r="R2" s="37">
        <f>MIN(Vertices[Clustering Coefficient])</f>
        <v>0</v>
      </c>
      <c r="S2" s="43">
        <f>COUNTIF(Vertices[Clustering Coefficient], "&gt;= " &amp; R2) - COUNTIF(Vertices[Clustering Coefficient], "&gt;=" &amp; R3)</f>
        <v>7</v>
      </c>
      <c r="T2" s="37" t="e">
        <f ca="1">MIN(INDIRECT(DynamicFilterSourceColumnRange))</f>
        <v>#REF!</v>
      </c>
      <c r="U2" s="38" t="e">
        <f t="shared" ref="U2:U57" ca="1" si="0">COUNTIF(INDIRECT(DynamicFilterSourceColumnRange), "&gt;= " &amp; T2) - COUNTIF(INDIRECT(DynamicFilterSourceColumnRange), "&gt;=" &amp; T3)</f>
        <v>#REF!</v>
      </c>
      <c r="W2" t="s">
        <v>125</v>
      </c>
      <c r="X2">
        <f>ROWS(HistogramBins[Degree Bin]) - 1</f>
        <v>55</v>
      </c>
    </row>
    <row r="3" spans="1:24" x14ac:dyDescent="0.25">
      <c r="A3" s="85"/>
      <c r="B3" s="85"/>
      <c r="D3" s="32">
        <f t="shared" ref="D3:D26" si="1">D2+($D$57-$D$2)/BinDivisor</f>
        <v>1.1636363636363636</v>
      </c>
      <c r="E3" s="3">
        <f>COUNTIF(Vertices[Degree], "&gt;= " &amp; D3) - COUNTIF(Vertices[Degree], "&gt;=" &amp; D4)</f>
        <v>0</v>
      </c>
      <c r="F3" s="39">
        <f t="shared" ref="F3:F26" si="2">F2+($F$57-$F$2)/BinDivisor</f>
        <v>0</v>
      </c>
      <c r="G3" s="40">
        <f>COUNTIF(Vertices[In-Degree], "&gt;= " &amp; F3) - COUNTIF(Vertices[In-Degree], "&gt;=" &amp; F4)</f>
        <v>0</v>
      </c>
      <c r="H3" s="39">
        <f t="shared" ref="H3:H26" si="3">H2+($H$57-$H$2)/BinDivisor</f>
        <v>0</v>
      </c>
      <c r="I3" s="40">
        <f>COUNTIF(Vertices[Out-Degree], "&gt;= " &amp; H3) - COUNTIF(Vertices[Out-Degree], "&gt;=" &amp; H4)</f>
        <v>0</v>
      </c>
      <c r="J3" s="39">
        <f t="shared" ref="J3:J26" si="4">J2+($J$57-$J$2)/BinDivisor</f>
        <v>2.9924242363636364</v>
      </c>
      <c r="K3" s="40">
        <f>COUNTIF(Vertices[Betweenness Centrality], "&gt;= " &amp; J3) - COUNTIF(Vertices[Betweenness Centrality], "&gt;=" &amp; J4)</f>
        <v>2</v>
      </c>
      <c r="L3" s="39">
        <f t="shared" ref="L3:L26" si="5">L2+($L$57-$L$2)/BinDivisor</f>
        <v>2.7902799999999998E-2</v>
      </c>
      <c r="M3" s="40">
        <f>COUNTIF(Vertices[Closeness Centrality], "&gt;= " &amp; L3) - COUNTIF(Vertices[Closeness Centrality], "&gt;=" &amp; L4)</f>
        <v>0</v>
      </c>
      <c r="N3" s="39">
        <f t="shared" ref="N3:N26" si="6">N2+($N$57-$N$2)/BinDivisor</f>
        <v>2.4061999999999998E-3</v>
      </c>
      <c r="O3" s="40">
        <f>COUNTIF(Vertices[Eigenvector Centrality], "&gt;= " &amp; N3) - COUNTIF(Vertices[Eigenvector Centrality], "&gt;=" &amp; N4)</f>
        <v>0</v>
      </c>
      <c r="P3" s="39">
        <f t="shared" ref="P3:P26" si="7">P2+($P$57-$P$2)/BinDivisor</f>
        <v>0.41805007272727274</v>
      </c>
      <c r="Q3" s="40">
        <f>COUNTIF(Vertices[PageRank], "&gt;= " &amp; P3) - COUNTIF(Vertices[PageRank], "&gt;=" &amp; P4)</f>
        <v>1</v>
      </c>
      <c r="R3" s="39">
        <f t="shared" ref="R3:R26" si="8">R2+($R$57-$R$2)/BinDivisor</f>
        <v>1.8181818181818181E-2</v>
      </c>
      <c r="S3" s="44">
        <f>COUNTIF(Vertices[Clustering Coefficient], "&gt;= " &amp; R3) - COUNTIF(Vertices[Clustering Coefficient], "&gt;=" &amp; R4)</f>
        <v>0</v>
      </c>
      <c r="T3" s="39" t="e">
        <f t="shared" ref="T3:T26" ca="1" si="9">T2+($T$57-$T$2)/BinDivisor</f>
        <v>#REF!</v>
      </c>
      <c r="U3" s="40" t="e">
        <f t="shared" ca="1" si="0"/>
        <v>#REF!</v>
      </c>
      <c r="W3" t="s">
        <v>126</v>
      </c>
      <c r="X3" t="s">
        <v>86</v>
      </c>
    </row>
    <row r="4" spans="1:24" x14ac:dyDescent="0.25">
      <c r="A4" s="34" t="s">
        <v>147</v>
      </c>
      <c r="B4" s="34">
        <v>27</v>
      </c>
      <c r="D4" s="32">
        <f t="shared" si="1"/>
        <v>1.3272727272727272</v>
      </c>
      <c r="E4" s="3">
        <f>COUNTIF(Vertices[Degree], "&gt;= " &amp; D4) - COUNTIF(Vertices[Degree], "&gt;=" &amp; D5)</f>
        <v>0</v>
      </c>
      <c r="F4" s="37">
        <f t="shared" si="2"/>
        <v>0</v>
      </c>
      <c r="G4" s="38">
        <f>COUNTIF(Vertices[In-Degree], "&gt;= " &amp; F4) - COUNTIF(Vertices[In-Degree], "&gt;=" &amp; F5)</f>
        <v>0</v>
      </c>
      <c r="H4" s="37">
        <f t="shared" si="3"/>
        <v>0</v>
      </c>
      <c r="I4" s="38">
        <f>COUNTIF(Vertices[Out-Degree], "&gt;= " &amp; H4) - COUNTIF(Vertices[Out-Degree], "&gt;=" &amp; H5)</f>
        <v>0</v>
      </c>
      <c r="J4" s="37">
        <f t="shared" si="4"/>
        <v>5.9848484727272728</v>
      </c>
      <c r="K4" s="38">
        <f>COUNTIF(Vertices[Betweenness Centrality], "&gt;= " &amp; J4) - COUNTIF(Vertices[Betweenness Centrality], "&gt;=" &amp; J5)</f>
        <v>0</v>
      </c>
      <c r="L4" s="37">
        <f t="shared" si="5"/>
        <v>4.5904599999999997E-2</v>
      </c>
      <c r="M4" s="38">
        <f>COUNTIF(Vertices[Closeness Centrality], "&gt;= " &amp; L4) - COUNTIF(Vertices[Closeness Centrality], "&gt;=" &amp; L5)</f>
        <v>0</v>
      </c>
      <c r="N4" s="37">
        <f t="shared" si="6"/>
        <v>4.8123999999999997E-3</v>
      </c>
      <c r="O4" s="38">
        <f>COUNTIF(Vertices[Eigenvector Centrality], "&gt;= " &amp; N4) - COUNTIF(Vertices[Eigenvector Centrality], "&gt;=" &amp; N5)</f>
        <v>3</v>
      </c>
      <c r="P4" s="37">
        <f t="shared" si="7"/>
        <v>0.45964514545454549</v>
      </c>
      <c r="Q4" s="38">
        <f>COUNTIF(Vertices[PageRank], "&gt;= " &amp; P4) - COUNTIF(Vertices[PageRank], "&gt;=" &amp; P5)</f>
        <v>0</v>
      </c>
      <c r="R4" s="37">
        <f t="shared" si="8"/>
        <v>3.6363636363636362E-2</v>
      </c>
      <c r="S4" s="43">
        <f>COUNTIF(Vertices[Clustering Coefficient], "&gt;= " &amp; R4) - COUNTIF(Vertices[Clustering Coefficient], "&gt;=" &amp; R5)</f>
        <v>0</v>
      </c>
      <c r="T4" s="37" t="e">
        <f t="shared" ca="1" si="9"/>
        <v>#REF!</v>
      </c>
      <c r="U4" s="38" t="e">
        <f t="shared" ca="1" si="0"/>
        <v>#REF!</v>
      </c>
      <c r="W4" s="12" t="s">
        <v>127</v>
      </c>
      <c r="X4" s="12" t="s">
        <v>129</v>
      </c>
    </row>
    <row r="5" spans="1:24" x14ac:dyDescent="0.25">
      <c r="A5" s="85"/>
      <c r="B5" s="85"/>
      <c r="D5" s="32">
        <f t="shared" si="1"/>
        <v>1.4909090909090907</v>
      </c>
      <c r="E5" s="3">
        <f>COUNTIF(Vertices[Degree], "&gt;= " &amp; D5) - COUNTIF(Vertices[Degree], "&gt;=" &amp; D6)</f>
        <v>0</v>
      </c>
      <c r="F5" s="39">
        <f t="shared" si="2"/>
        <v>0</v>
      </c>
      <c r="G5" s="40">
        <f>COUNTIF(Vertices[In-Degree], "&gt;= " &amp; F5) - COUNTIF(Vertices[In-Degree], "&gt;=" &amp; F6)</f>
        <v>0</v>
      </c>
      <c r="H5" s="39">
        <f t="shared" si="3"/>
        <v>0</v>
      </c>
      <c r="I5" s="40">
        <f>COUNTIF(Vertices[Out-Degree], "&gt;= " &amp; H5) - COUNTIF(Vertices[Out-Degree], "&gt;=" &amp; H6)</f>
        <v>0</v>
      </c>
      <c r="J5" s="39">
        <f t="shared" si="4"/>
        <v>8.9772727090909097</v>
      </c>
      <c r="K5" s="40">
        <f>COUNTIF(Vertices[Betweenness Centrality], "&gt;= " &amp; J5) - COUNTIF(Vertices[Betweenness Centrality], "&gt;=" &amp; J6)</f>
        <v>2</v>
      </c>
      <c r="L5" s="39">
        <f t="shared" si="5"/>
        <v>6.3906400000000002E-2</v>
      </c>
      <c r="M5" s="40">
        <f>COUNTIF(Vertices[Closeness Centrality], "&gt;= " &amp; L5) - COUNTIF(Vertices[Closeness Centrality], "&gt;=" &amp; L6)</f>
        <v>0</v>
      </c>
      <c r="N5" s="39">
        <f t="shared" si="6"/>
        <v>7.2185999999999995E-3</v>
      </c>
      <c r="O5" s="40">
        <f>COUNTIF(Vertices[Eigenvector Centrality], "&gt;= " &amp; N5) - COUNTIF(Vertices[Eigenvector Centrality], "&gt;=" &amp; N6)</f>
        <v>1</v>
      </c>
      <c r="P5" s="39">
        <f t="shared" si="7"/>
        <v>0.50124021818181819</v>
      </c>
      <c r="Q5" s="40">
        <f>COUNTIF(Vertices[PageRank], "&gt;= " &amp; P5) - COUNTIF(Vertices[PageRank], "&gt;=" &amp; P6)</f>
        <v>0</v>
      </c>
      <c r="R5" s="39">
        <f t="shared" si="8"/>
        <v>5.4545454545454543E-2</v>
      </c>
      <c r="S5" s="44">
        <f>COUNTIF(Vertices[Clustering Coefficient], "&gt;= " &amp; R5) - COUNTIF(Vertices[Clustering Coefficient], "&gt;=" &amp; R6)</f>
        <v>0</v>
      </c>
      <c r="T5" s="39" t="e">
        <f t="shared" ca="1" si="9"/>
        <v>#REF!</v>
      </c>
      <c r="U5" s="40" t="e">
        <f t="shared" ca="1" si="0"/>
        <v>#REF!</v>
      </c>
    </row>
    <row r="6" spans="1:24" x14ac:dyDescent="0.25">
      <c r="A6" s="34" t="s">
        <v>149</v>
      </c>
      <c r="B6" s="34">
        <v>41</v>
      </c>
      <c r="D6" s="32">
        <f t="shared" si="1"/>
        <v>1.6545454545454543</v>
      </c>
      <c r="E6" s="3">
        <f>COUNTIF(Vertices[Degree], "&gt;= " &amp; D6) - COUNTIF(Vertices[Degree], "&gt;=" &amp; D7)</f>
        <v>0</v>
      </c>
      <c r="F6" s="37">
        <f t="shared" si="2"/>
        <v>0</v>
      </c>
      <c r="G6" s="38">
        <f>COUNTIF(Vertices[In-Degree], "&gt;= " &amp; F6) - COUNTIF(Vertices[In-Degree], "&gt;=" &amp; F7)</f>
        <v>0</v>
      </c>
      <c r="H6" s="37">
        <f t="shared" si="3"/>
        <v>0</v>
      </c>
      <c r="I6" s="38">
        <f>COUNTIF(Vertices[Out-Degree], "&gt;= " &amp; H6) - COUNTIF(Vertices[Out-Degree], "&gt;=" &amp; H7)</f>
        <v>0</v>
      </c>
      <c r="J6" s="37">
        <f t="shared" si="4"/>
        <v>11.969696945454546</v>
      </c>
      <c r="K6" s="38">
        <f>COUNTIF(Vertices[Betweenness Centrality], "&gt;= " &amp; J6) - COUNTIF(Vertices[Betweenness Centrality], "&gt;=" &amp; J7)</f>
        <v>1</v>
      </c>
      <c r="L6" s="37">
        <f t="shared" si="5"/>
        <v>8.19082E-2</v>
      </c>
      <c r="M6" s="38">
        <f>COUNTIF(Vertices[Closeness Centrality], "&gt;= " &amp; L6) - COUNTIF(Vertices[Closeness Centrality], "&gt;=" &amp; L7)</f>
        <v>0</v>
      </c>
      <c r="N6" s="37">
        <f t="shared" si="6"/>
        <v>9.6247999999999993E-3</v>
      </c>
      <c r="O6" s="38">
        <f>COUNTIF(Vertices[Eigenvector Centrality], "&gt;= " &amp; N6) - COUNTIF(Vertices[Eigenvector Centrality], "&gt;=" &amp; N7)</f>
        <v>0</v>
      </c>
      <c r="P6" s="37">
        <f t="shared" si="7"/>
        <v>0.54283529090909088</v>
      </c>
      <c r="Q6" s="38">
        <f>COUNTIF(Vertices[PageRank], "&gt;= " &amp; P6) - COUNTIF(Vertices[PageRank], "&gt;=" &amp; P7)</f>
        <v>0</v>
      </c>
      <c r="R6" s="37">
        <f t="shared" si="8"/>
        <v>7.2727272727272724E-2</v>
      </c>
      <c r="S6" s="43">
        <f>COUNTIF(Vertices[Clustering Coefficient], "&gt;= " &amp; R6) - COUNTIF(Vertices[Clustering Coefficient], "&gt;=" &amp; R7)</f>
        <v>0</v>
      </c>
      <c r="T6" s="37" t="e">
        <f t="shared" ca="1" si="9"/>
        <v>#REF!</v>
      </c>
      <c r="U6" s="38" t="e">
        <f t="shared" ca="1" si="0"/>
        <v>#REF!</v>
      </c>
    </row>
    <row r="7" spans="1:24" x14ac:dyDescent="0.25">
      <c r="A7" s="34" t="s">
        <v>150</v>
      </c>
      <c r="B7" s="34">
        <v>0</v>
      </c>
      <c r="D7" s="32">
        <f t="shared" si="1"/>
        <v>1.8181818181818179</v>
      </c>
      <c r="E7" s="3">
        <f>COUNTIF(Vertices[Degree], "&gt;= " &amp; D7) - COUNTIF(Vertices[Degree], "&gt;=" &amp; D8)</f>
        <v>0</v>
      </c>
      <c r="F7" s="39">
        <f t="shared" si="2"/>
        <v>0</v>
      </c>
      <c r="G7" s="40">
        <f>COUNTIF(Vertices[In-Degree], "&gt;= " &amp; F7) - COUNTIF(Vertices[In-Degree], "&gt;=" &amp; F8)</f>
        <v>0</v>
      </c>
      <c r="H7" s="39">
        <f t="shared" si="3"/>
        <v>0</v>
      </c>
      <c r="I7" s="40">
        <f>COUNTIF(Vertices[Out-Degree], "&gt;= " &amp; H7) - COUNTIF(Vertices[Out-Degree], "&gt;=" &amp; H8)</f>
        <v>0</v>
      </c>
      <c r="J7" s="39">
        <f t="shared" si="4"/>
        <v>14.962121181818182</v>
      </c>
      <c r="K7" s="40">
        <f>COUNTIF(Vertices[Betweenness Centrality], "&gt;= " &amp; J7) - COUNTIF(Vertices[Betweenness Centrality], "&gt;=" &amp; J8)</f>
        <v>1</v>
      </c>
      <c r="L7" s="39">
        <f t="shared" si="5"/>
        <v>9.9909999999999999E-2</v>
      </c>
      <c r="M7" s="40">
        <f>COUNTIF(Vertices[Closeness Centrality], "&gt;= " &amp; L7) - COUNTIF(Vertices[Closeness Centrality], "&gt;=" &amp; L8)</f>
        <v>0</v>
      </c>
      <c r="N7" s="39">
        <f t="shared" si="6"/>
        <v>1.2031E-2</v>
      </c>
      <c r="O7" s="40">
        <f>COUNTIF(Vertices[Eigenvector Centrality], "&gt;= " &amp; N7) - COUNTIF(Vertices[Eigenvector Centrality], "&gt;=" &amp; N8)</f>
        <v>0</v>
      </c>
      <c r="P7" s="39">
        <f t="shared" si="7"/>
        <v>0.58443036363636358</v>
      </c>
      <c r="Q7" s="40">
        <f>COUNTIF(Vertices[PageRank], "&gt;= " &amp; P7) - COUNTIF(Vertices[PageRank], "&gt;=" &amp; P8)</f>
        <v>1</v>
      </c>
      <c r="R7" s="39">
        <f t="shared" si="8"/>
        <v>9.0909090909090912E-2</v>
      </c>
      <c r="S7" s="44">
        <f>COUNTIF(Vertices[Clustering Coefficient], "&gt;= " &amp; R7) - COUNTIF(Vertices[Clustering Coefficient], "&gt;=" &amp; R8)</f>
        <v>0</v>
      </c>
      <c r="T7" s="39" t="e">
        <f t="shared" ca="1" si="9"/>
        <v>#REF!</v>
      </c>
      <c r="U7" s="40" t="e">
        <f t="shared" ca="1" si="0"/>
        <v>#REF!</v>
      </c>
    </row>
    <row r="8" spans="1:24" x14ac:dyDescent="0.25">
      <c r="A8" s="34" t="s">
        <v>151</v>
      </c>
      <c r="B8" s="34">
        <v>41</v>
      </c>
      <c r="D8" s="32">
        <f t="shared" si="1"/>
        <v>1.9818181818181815</v>
      </c>
      <c r="E8" s="3">
        <f>COUNTIF(Vertices[Degree], "&gt;= " &amp; D8) - COUNTIF(Vertices[Degree], "&gt;=" &amp; D9)</f>
        <v>8</v>
      </c>
      <c r="F8" s="37">
        <f t="shared" si="2"/>
        <v>0</v>
      </c>
      <c r="G8" s="38">
        <f>COUNTIF(Vertices[In-Degree], "&gt;= " &amp; F8) - COUNTIF(Vertices[In-Degree], "&gt;=" &amp; F9)</f>
        <v>0</v>
      </c>
      <c r="H8" s="37">
        <f t="shared" si="3"/>
        <v>0</v>
      </c>
      <c r="I8" s="38">
        <f>COUNTIF(Vertices[Out-Degree], "&gt;= " &amp; H8) - COUNTIF(Vertices[Out-Degree], "&gt;=" &amp; H9)</f>
        <v>0</v>
      </c>
      <c r="J8" s="37">
        <f t="shared" si="4"/>
        <v>17.954545418181819</v>
      </c>
      <c r="K8" s="38">
        <f>COUNTIF(Vertices[Betweenness Centrality], "&gt;= " &amp; J8) - COUNTIF(Vertices[Betweenness Centrality], "&gt;=" &amp; J9)</f>
        <v>0</v>
      </c>
      <c r="L8" s="37">
        <f t="shared" si="5"/>
        <v>0.1179118</v>
      </c>
      <c r="M8" s="38">
        <f>COUNTIF(Vertices[Closeness Centrality], "&gt;= " &amp; L8) - COUNTIF(Vertices[Closeness Centrality], "&gt;=" &amp; L9)</f>
        <v>0</v>
      </c>
      <c r="N8" s="37">
        <f t="shared" si="6"/>
        <v>1.4437200000000001E-2</v>
      </c>
      <c r="O8" s="38">
        <f>COUNTIF(Vertices[Eigenvector Centrality], "&gt;= " &amp; N8) - COUNTIF(Vertices[Eigenvector Centrality], "&gt;=" &amp; N9)</f>
        <v>1</v>
      </c>
      <c r="P8" s="37">
        <f t="shared" si="7"/>
        <v>0.62602543636363628</v>
      </c>
      <c r="Q8" s="38">
        <f>COUNTIF(Vertices[PageRank], "&gt;= " &amp; P8) - COUNTIF(Vertices[PageRank], "&gt;=" &amp; P9)</f>
        <v>2</v>
      </c>
      <c r="R8" s="37">
        <f t="shared" si="8"/>
        <v>0.1090909090909091</v>
      </c>
      <c r="S8" s="43">
        <f>COUNTIF(Vertices[Clustering Coefficient], "&gt;= " &amp; R8) - COUNTIF(Vertices[Clustering Coefficient], "&gt;=" &amp; R9)</f>
        <v>0</v>
      </c>
      <c r="T8" s="37" t="e">
        <f t="shared" ca="1" si="9"/>
        <v>#REF!</v>
      </c>
      <c r="U8" s="38" t="e">
        <f t="shared" ca="1" si="0"/>
        <v>#REF!</v>
      </c>
    </row>
    <row r="9" spans="1:24" x14ac:dyDescent="0.25">
      <c r="A9" s="85"/>
      <c r="B9" s="85"/>
      <c r="D9" s="32">
        <f t="shared" si="1"/>
        <v>2.1454545454545451</v>
      </c>
      <c r="E9" s="3">
        <f>COUNTIF(Vertices[Degree], "&gt;= " &amp; D9) - COUNTIF(Vertices[Degree], "&gt;=" &amp; D10)</f>
        <v>0</v>
      </c>
      <c r="F9" s="39">
        <f t="shared" si="2"/>
        <v>0</v>
      </c>
      <c r="G9" s="40">
        <f>COUNTIF(Vertices[In-Degree], "&gt;= " &amp; F9) - COUNTIF(Vertices[In-Degree], "&gt;=" &amp; F10)</f>
        <v>0</v>
      </c>
      <c r="H9" s="39">
        <f t="shared" si="3"/>
        <v>0</v>
      </c>
      <c r="I9" s="40">
        <f>COUNTIF(Vertices[Out-Degree], "&gt;= " &amp; H9) - COUNTIF(Vertices[Out-Degree], "&gt;=" &amp; H10)</f>
        <v>0</v>
      </c>
      <c r="J9" s="39">
        <f t="shared" si="4"/>
        <v>20.946969654545455</v>
      </c>
      <c r="K9" s="40">
        <f>COUNTIF(Vertices[Betweenness Centrality], "&gt;= " &amp; J9) - COUNTIF(Vertices[Betweenness Centrality], "&gt;=" &amp; J10)</f>
        <v>1</v>
      </c>
      <c r="L9" s="39">
        <f t="shared" si="5"/>
        <v>0.1359136</v>
      </c>
      <c r="M9" s="40">
        <f>COUNTIF(Vertices[Closeness Centrality], "&gt;= " &amp; L9) - COUNTIF(Vertices[Closeness Centrality], "&gt;=" &amp; L10)</f>
        <v>0</v>
      </c>
      <c r="N9" s="39">
        <f t="shared" si="6"/>
        <v>1.6843400000000001E-2</v>
      </c>
      <c r="O9" s="40">
        <f>COUNTIF(Vertices[Eigenvector Centrality], "&gt;= " &amp; N9) - COUNTIF(Vertices[Eigenvector Centrality], "&gt;=" &amp; N10)</f>
        <v>0</v>
      </c>
      <c r="P9" s="39">
        <f t="shared" si="7"/>
        <v>0.66762050909090898</v>
      </c>
      <c r="Q9" s="40">
        <f>COUNTIF(Vertices[PageRank], "&gt;= " &amp; P9) - COUNTIF(Vertices[PageRank], "&gt;=" &amp; P10)</f>
        <v>0</v>
      </c>
      <c r="R9" s="39">
        <f t="shared" si="8"/>
        <v>0.12727272727272729</v>
      </c>
      <c r="S9" s="44">
        <f>COUNTIF(Vertices[Clustering Coefficient], "&gt;= " &amp; R9) - COUNTIF(Vertices[Clustering Coefficient], "&gt;=" &amp; R10)</f>
        <v>1</v>
      </c>
      <c r="T9" s="39" t="e">
        <f t="shared" ca="1" si="9"/>
        <v>#REF!</v>
      </c>
      <c r="U9" s="40" t="e">
        <f t="shared" ca="1" si="0"/>
        <v>#REF!</v>
      </c>
    </row>
    <row r="10" spans="1:24" x14ac:dyDescent="0.25">
      <c r="A10" s="34" t="s">
        <v>152</v>
      </c>
      <c r="B10" s="34">
        <v>0</v>
      </c>
      <c r="D10" s="32">
        <f t="shared" si="1"/>
        <v>2.3090909090909086</v>
      </c>
      <c r="E10" s="3">
        <f>COUNTIF(Vertices[Degree], "&gt;= " &amp; D10) - COUNTIF(Vertices[Degree], "&gt;=" &amp; D11)</f>
        <v>0</v>
      </c>
      <c r="F10" s="37">
        <f t="shared" si="2"/>
        <v>0</v>
      </c>
      <c r="G10" s="38">
        <f>COUNTIF(Vertices[In-Degree], "&gt;= " &amp; F10) - COUNTIF(Vertices[In-Degree], "&gt;=" &amp; F11)</f>
        <v>0</v>
      </c>
      <c r="H10" s="37">
        <f t="shared" si="3"/>
        <v>0</v>
      </c>
      <c r="I10" s="38">
        <f>COUNTIF(Vertices[Out-Degree], "&gt;= " &amp; H10) - COUNTIF(Vertices[Out-Degree], "&gt;=" &amp; H11)</f>
        <v>0</v>
      </c>
      <c r="J10" s="37">
        <f t="shared" si="4"/>
        <v>23.939393890909091</v>
      </c>
      <c r="K10" s="38">
        <f>COUNTIF(Vertices[Betweenness Centrality], "&gt;= " &amp; J10) - COUNTIF(Vertices[Betweenness Centrality], "&gt;=" &amp; J11)</f>
        <v>0</v>
      </c>
      <c r="L10" s="37">
        <f t="shared" si="5"/>
        <v>0.15391539999999998</v>
      </c>
      <c r="M10" s="38">
        <f>COUNTIF(Vertices[Closeness Centrality], "&gt;= " &amp; L10) - COUNTIF(Vertices[Closeness Centrality], "&gt;=" &amp; L11)</f>
        <v>0</v>
      </c>
      <c r="N10" s="37">
        <f t="shared" si="6"/>
        <v>1.9249600000000002E-2</v>
      </c>
      <c r="O10" s="38">
        <f>COUNTIF(Vertices[Eigenvector Centrality], "&gt;= " &amp; N10) - COUNTIF(Vertices[Eigenvector Centrality], "&gt;=" &amp; N11)</f>
        <v>1</v>
      </c>
      <c r="P10" s="37">
        <f t="shared" si="7"/>
        <v>0.70921558181818167</v>
      </c>
      <c r="Q10" s="38">
        <f>COUNTIF(Vertices[PageRank], "&gt;= " &amp; P10) - COUNTIF(Vertices[PageRank], "&gt;=" &amp; P11)</f>
        <v>1</v>
      </c>
      <c r="R10" s="37">
        <f t="shared" si="8"/>
        <v>0.14545454545454548</v>
      </c>
      <c r="S10" s="43">
        <f>COUNTIF(Vertices[Clustering Coefficient], "&gt;= " &amp; R10) - COUNTIF(Vertices[Clustering Coefficient], "&gt;=" &amp; R11)</f>
        <v>0</v>
      </c>
      <c r="T10" s="37" t="e">
        <f t="shared" ca="1" si="9"/>
        <v>#REF!</v>
      </c>
      <c r="U10" s="38" t="e">
        <f t="shared" ca="1" si="0"/>
        <v>#REF!</v>
      </c>
    </row>
    <row r="11" spans="1:24" x14ac:dyDescent="0.25">
      <c r="A11" s="85"/>
      <c r="B11" s="85"/>
      <c r="D11" s="32">
        <f t="shared" si="1"/>
        <v>2.4727272727272722</v>
      </c>
      <c r="E11" s="3">
        <f>COUNTIF(Vertices[Degree], "&gt;= " &amp; D11) - COUNTIF(Vertices[Degree], "&gt;=" &amp; D12)</f>
        <v>0</v>
      </c>
      <c r="F11" s="39">
        <f t="shared" si="2"/>
        <v>0</v>
      </c>
      <c r="G11" s="40">
        <f>COUNTIF(Vertices[In-Degree], "&gt;= " &amp; F11) - COUNTIF(Vertices[In-Degree], "&gt;=" &amp; F12)</f>
        <v>0</v>
      </c>
      <c r="H11" s="39">
        <f t="shared" si="3"/>
        <v>0</v>
      </c>
      <c r="I11" s="40">
        <f>COUNTIF(Vertices[Out-Degree], "&gt;= " &amp; H11) - COUNTIF(Vertices[Out-Degree], "&gt;=" &amp; H12)</f>
        <v>0</v>
      </c>
      <c r="J11" s="39">
        <f t="shared" si="4"/>
        <v>26.931818127272727</v>
      </c>
      <c r="K11" s="40">
        <f>COUNTIF(Vertices[Betweenness Centrality], "&gt;= " &amp; J11) - COUNTIF(Vertices[Betweenness Centrality], "&gt;=" &amp; J12)</f>
        <v>0</v>
      </c>
      <c r="L11" s="39">
        <f t="shared" si="5"/>
        <v>0.17191719999999999</v>
      </c>
      <c r="M11" s="40">
        <f>COUNTIF(Vertices[Closeness Centrality], "&gt;= " &amp; L11) - COUNTIF(Vertices[Closeness Centrality], "&gt;=" &amp; L12)</f>
        <v>0</v>
      </c>
      <c r="N11" s="39">
        <f t="shared" si="6"/>
        <v>2.1655800000000003E-2</v>
      </c>
      <c r="O11" s="40">
        <f>COUNTIF(Vertices[Eigenvector Centrality], "&gt;= " &amp; N11) - COUNTIF(Vertices[Eigenvector Centrality], "&gt;=" &amp; N12)</f>
        <v>2</v>
      </c>
      <c r="P11" s="39">
        <f t="shared" si="7"/>
        <v>0.75081065454545437</v>
      </c>
      <c r="Q11" s="40">
        <f>COUNTIF(Vertices[PageRank], "&gt;= " &amp; P11) - COUNTIF(Vertices[PageRank], "&gt;=" &amp; P12)</f>
        <v>2</v>
      </c>
      <c r="R11" s="39">
        <f t="shared" si="8"/>
        <v>0.16363636363636366</v>
      </c>
      <c r="S11" s="44">
        <f>COUNTIF(Vertices[Clustering Coefficient], "&gt;= " &amp; R11) - COUNTIF(Vertices[Clustering Coefficient], "&gt;=" &amp; R12)</f>
        <v>0</v>
      </c>
      <c r="T11" s="39" t="e">
        <f t="shared" ca="1" si="9"/>
        <v>#REF!</v>
      </c>
      <c r="U11" s="40" t="e">
        <f t="shared" ca="1" si="0"/>
        <v>#REF!</v>
      </c>
    </row>
    <row r="12" spans="1:24" x14ac:dyDescent="0.25">
      <c r="A12" s="34" t="s">
        <v>171</v>
      </c>
      <c r="B12" s="34" t="s">
        <v>209</v>
      </c>
      <c r="D12" s="32">
        <f t="shared" si="1"/>
        <v>2.6363636363636358</v>
      </c>
      <c r="E12" s="3">
        <f>COUNTIF(Vertices[Degree], "&gt;= " &amp; D12) - COUNTIF(Vertices[Degree], "&gt;=" &amp; D13)</f>
        <v>0</v>
      </c>
      <c r="F12" s="37">
        <f t="shared" si="2"/>
        <v>0</v>
      </c>
      <c r="G12" s="38">
        <f>COUNTIF(Vertices[In-Degree], "&gt;= " &amp; F12) - COUNTIF(Vertices[In-Degree], "&gt;=" &amp; F13)</f>
        <v>0</v>
      </c>
      <c r="H12" s="37">
        <f t="shared" si="3"/>
        <v>0</v>
      </c>
      <c r="I12" s="38">
        <f>COUNTIF(Vertices[Out-Degree], "&gt;= " &amp; H12) - COUNTIF(Vertices[Out-Degree], "&gt;=" &amp; H13)</f>
        <v>0</v>
      </c>
      <c r="J12" s="37">
        <f t="shared" si="4"/>
        <v>29.924242363636363</v>
      </c>
      <c r="K12" s="38">
        <f>COUNTIF(Vertices[Betweenness Centrality], "&gt;= " &amp; J12) - COUNTIF(Vertices[Betweenness Centrality], "&gt;=" &amp; J13)</f>
        <v>0</v>
      </c>
      <c r="L12" s="37">
        <f t="shared" si="5"/>
        <v>0.189919</v>
      </c>
      <c r="M12" s="38">
        <f>COUNTIF(Vertices[Closeness Centrality], "&gt;= " &amp; L12) - COUNTIF(Vertices[Closeness Centrality], "&gt;=" &amp; L13)</f>
        <v>0</v>
      </c>
      <c r="N12" s="37">
        <f t="shared" si="6"/>
        <v>2.4062000000000004E-2</v>
      </c>
      <c r="O12" s="38">
        <f>COUNTIF(Vertices[Eigenvector Centrality], "&gt;= " &amp; N12) - COUNTIF(Vertices[Eigenvector Centrality], "&gt;=" &amp; N13)</f>
        <v>1</v>
      </c>
      <c r="P12" s="37">
        <f t="shared" si="7"/>
        <v>0.79240572727272707</v>
      </c>
      <c r="Q12" s="38">
        <f>COUNTIF(Vertices[PageRank], "&gt;= " &amp; P12) - COUNTIF(Vertices[PageRank], "&gt;=" &amp; P13)</f>
        <v>0</v>
      </c>
      <c r="R12" s="37">
        <f t="shared" si="8"/>
        <v>0.18181818181818185</v>
      </c>
      <c r="S12" s="43">
        <f>COUNTIF(Vertices[Clustering Coefficient], "&gt;= " &amp; R12) - COUNTIF(Vertices[Clustering Coefficient], "&gt;=" &amp; R13)</f>
        <v>0</v>
      </c>
      <c r="T12" s="37" t="e">
        <f t="shared" ca="1" si="9"/>
        <v>#REF!</v>
      </c>
      <c r="U12" s="38" t="e">
        <f t="shared" ca="1" si="0"/>
        <v>#REF!</v>
      </c>
    </row>
    <row r="13" spans="1:24" x14ac:dyDescent="0.25">
      <c r="A13" s="34" t="s">
        <v>172</v>
      </c>
      <c r="B13" s="34" t="s">
        <v>209</v>
      </c>
      <c r="D13" s="32">
        <f t="shared" si="1"/>
        <v>2.7999999999999994</v>
      </c>
      <c r="E13" s="3">
        <f>COUNTIF(Vertices[Degree], "&gt;= " &amp; D13) - COUNTIF(Vertices[Degree], "&gt;=" &amp; D14)</f>
        <v>0</v>
      </c>
      <c r="F13" s="39">
        <f t="shared" si="2"/>
        <v>0</v>
      </c>
      <c r="G13" s="40">
        <f>COUNTIF(Vertices[In-Degree], "&gt;= " &amp; F13) - COUNTIF(Vertices[In-Degree], "&gt;=" &amp; F14)</f>
        <v>0</v>
      </c>
      <c r="H13" s="39">
        <f t="shared" si="3"/>
        <v>0</v>
      </c>
      <c r="I13" s="40">
        <f>COUNTIF(Vertices[Out-Degree], "&gt;= " &amp; H13) - COUNTIF(Vertices[Out-Degree], "&gt;=" &amp; H14)</f>
        <v>0</v>
      </c>
      <c r="J13" s="39">
        <f t="shared" si="4"/>
        <v>32.916666599999999</v>
      </c>
      <c r="K13" s="40">
        <f>COUNTIF(Vertices[Betweenness Centrality], "&gt;= " &amp; J13) - COUNTIF(Vertices[Betweenness Centrality], "&gt;=" &amp; J14)</f>
        <v>0</v>
      </c>
      <c r="L13" s="39">
        <f t="shared" si="5"/>
        <v>0.20792080000000002</v>
      </c>
      <c r="M13" s="40">
        <f>COUNTIF(Vertices[Closeness Centrality], "&gt;= " &amp; L13) - COUNTIF(Vertices[Closeness Centrality], "&gt;=" &amp; L14)</f>
        <v>0</v>
      </c>
      <c r="N13" s="39">
        <f t="shared" si="6"/>
        <v>2.6468200000000004E-2</v>
      </c>
      <c r="O13" s="40">
        <f>COUNTIF(Vertices[Eigenvector Centrality], "&gt;= " &amp; N13) - COUNTIF(Vertices[Eigenvector Centrality], "&gt;=" &amp; N14)</f>
        <v>2</v>
      </c>
      <c r="P13" s="39">
        <f t="shared" si="7"/>
        <v>0.83400079999999976</v>
      </c>
      <c r="Q13" s="40">
        <f>COUNTIF(Vertices[PageRank], "&gt;= " &amp; P13) - COUNTIF(Vertices[PageRank], "&gt;=" &amp; P14)</f>
        <v>3</v>
      </c>
      <c r="R13" s="39">
        <f t="shared" si="8"/>
        <v>0.20000000000000004</v>
      </c>
      <c r="S13" s="44">
        <f>COUNTIF(Vertices[Clustering Coefficient], "&gt;= " &amp; R13) - COUNTIF(Vertices[Clustering Coefficient], "&gt;=" &amp; R14)</f>
        <v>1</v>
      </c>
      <c r="T13" s="39" t="e">
        <f t="shared" ca="1" si="9"/>
        <v>#REF!</v>
      </c>
      <c r="U13" s="40" t="e">
        <f t="shared" ca="1" si="0"/>
        <v>#REF!</v>
      </c>
    </row>
    <row r="14" spans="1:24" x14ac:dyDescent="0.25">
      <c r="A14" s="85"/>
      <c r="B14" s="85"/>
      <c r="D14" s="32">
        <f t="shared" si="1"/>
        <v>2.963636363636363</v>
      </c>
      <c r="E14" s="3">
        <f>COUNTIF(Vertices[Degree], "&gt;= " &amp; D14) - COUNTIF(Vertices[Degree], "&gt;=" &amp; D15)</f>
        <v>6</v>
      </c>
      <c r="F14" s="37">
        <f t="shared" si="2"/>
        <v>0</v>
      </c>
      <c r="G14" s="38">
        <f>COUNTIF(Vertices[In-Degree], "&gt;= " &amp; F14) - COUNTIF(Vertices[In-Degree], "&gt;=" &amp; F15)</f>
        <v>0</v>
      </c>
      <c r="H14" s="37">
        <f t="shared" si="3"/>
        <v>0</v>
      </c>
      <c r="I14" s="38">
        <f>COUNTIF(Vertices[Out-Degree], "&gt;= " &amp; H14) - COUNTIF(Vertices[Out-Degree], "&gt;=" &amp; H15)</f>
        <v>0</v>
      </c>
      <c r="J14" s="37">
        <f t="shared" si="4"/>
        <v>35.909090836363639</v>
      </c>
      <c r="K14" s="38">
        <f>COUNTIF(Vertices[Betweenness Centrality], "&gt;= " &amp; J14) - COUNTIF(Vertices[Betweenness Centrality], "&gt;=" &amp; J15)</f>
        <v>0</v>
      </c>
      <c r="L14" s="37">
        <f t="shared" si="5"/>
        <v>0.22592260000000003</v>
      </c>
      <c r="M14" s="38">
        <f>COUNTIF(Vertices[Closeness Centrality], "&gt;= " &amp; L14) - COUNTIF(Vertices[Closeness Centrality], "&gt;=" &amp; L15)</f>
        <v>0</v>
      </c>
      <c r="N14" s="37">
        <f t="shared" si="6"/>
        <v>2.8874400000000005E-2</v>
      </c>
      <c r="O14" s="38">
        <f>COUNTIF(Vertices[Eigenvector Centrality], "&gt;= " &amp; N14) - COUNTIF(Vertices[Eigenvector Centrality], "&gt;=" &amp; N15)</f>
        <v>1</v>
      </c>
      <c r="P14" s="37">
        <f t="shared" si="7"/>
        <v>0.87559587272727246</v>
      </c>
      <c r="Q14" s="38">
        <f>COUNTIF(Vertices[PageRank], "&gt;= " &amp; P14) - COUNTIF(Vertices[PageRank], "&gt;=" &amp; P15)</f>
        <v>1</v>
      </c>
      <c r="R14" s="37">
        <f t="shared" si="8"/>
        <v>0.21818181818181823</v>
      </c>
      <c r="S14" s="43">
        <f>COUNTIF(Vertices[Clustering Coefficient], "&gt;= " &amp; R14) - COUNTIF(Vertices[Clustering Coefficient], "&gt;=" &amp; R15)</f>
        <v>1</v>
      </c>
      <c r="T14" s="37" t="e">
        <f t="shared" ca="1" si="9"/>
        <v>#REF!</v>
      </c>
      <c r="U14" s="38" t="e">
        <f t="shared" ca="1" si="0"/>
        <v>#REF!</v>
      </c>
    </row>
    <row r="15" spans="1:24" x14ac:dyDescent="0.25">
      <c r="A15" s="34" t="s">
        <v>153</v>
      </c>
      <c r="B15" s="34">
        <v>2</v>
      </c>
      <c r="D15" s="32">
        <f t="shared" si="1"/>
        <v>3.1272727272727265</v>
      </c>
      <c r="E15" s="3">
        <f>COUNTIF(Vertices[Degree], "&gt;= " &amp; D15) - COUNTIF(Vertices[Degree], "&gt;=" &amp; D16)</f>
        <v>0</v>
      </c>
      <c r="F15" s="39">
        <f t="shared" si="2"/>
        <v>0</v>
      </c>
      <c r="G15" s="40">
        <f>COUNTIF(Vertices[In-Degree], "&gt;= " &amp; F15) - COUNTIF(Vertices[In-Degree], "&gt;=" &amp; F16)</f>
        <v>0</v>
      </c>
      <c r="H15" s="39">
        <f t="shared" si="3"/>
        <v>0</v>
      </c>
      <c r="I15" s="40">
        <f>COUNTIF(Vertices[Out-Degree], "&gt;= " &amp; H15) - COUNTIF(Vertices[Out-Degree], "&gt;=" &amp; H16)</f>
        <v>0</v>
      </c>
      <c r="J15" s="39">
        <f t="shared" si="4"/>
        <v>38.901515072727278</v>
      </c>
      <c r="K15" s="40">
        <f>COUNTIF(Vertices[Betweenness Centrality], "&gt;= " &amp; J15) - COUNTIF(Vertices[Betweenness Centrality], "&gt;=" &amp; J16)</f>
        <v>0</v>
      </c>
      <c r="L15" s="39">
        <f t="shared" si="5"/>
        <v>0.24392440000000004</v>
      </c>
      <c r="M15" s="40">
        <f>COUNTIF(Vertices[Closeness Centrality], "&gt;= " &amp; L15) - COUNTIF(Vertices[Closeness Centrality], "&gt;=" &amp; L16)</f>
        <v>0</v>
      </c>
      <c r="N15" s="39">
        <f t="shared" si="6"/>
        <v>3.1280600000000006E-2</v>
      </c>
      <c r="O15" s="40">
        <f>COUNTIF(Vertices[Eigenvector Centrality], "&gt;= " &amp; N15) - COUNTIF(Vertices[Eigenvector Centrality], "&gt;=" &amp; N16)</f>
        <v>1</v>
      </c>
      <c r="P15" s="39">
        <f t="shared" si="7"/>
        <v>0.91719094545454516</v>
      </c>
      <c r="Q15" s="40">
        <f>COUNTIF(Vertices[PageRank], "&gt;= " &amp; P15) - COUNTIF(Vertices[PageRank], "&gt;=" &amp; P16)</f>
        <v>1</v>
      </c>
      <c r="R15" s="39">
        <f t="shared" si="8"/>
        <v>0.23636363636363641</v>
      </c>
      <c r="S15" s="44">
        <f>COUNTIF(Vertices[Clustering Coefficient], "&gt;= " &amp; R15) - COUNTIF(Vertices[Clustering Coefficient], "&gt;=" &amp; R16)</f>
        <v>0</v>
      </c>
      <c r="T15" s="39" t="e">
        <f t="shared" ca="1" si="9"/>
        <v>#REF!</v>
      </c>
      <c r="U15" s="40" t="e">
        <f t="shared" ca="1" si="0"/>
        <v>#REF!</v>
      </c>
    </row>
    <row r="16" spans="1:24" x14ac:dyDescent="0.25">
      <c r="A16" s="34" t="s">
        <v>154</v>
      </c>
      <c r="B16" s="34">
        <v>0</v>
      </c>
      <c r="D16" s="32">
        <f t="shared" si="1"/>
        <v>3.2909090909090901</v>
      </c>
      <c r="E16" s="3">
        <f>COUNTIF(Vertices[Degree], "&gt;= " &amp; D16) - COUNTIF(Vertices[Degree], "&gt;=" &amp; D17)</f>
        <v>0</v>
      </c>
      <c r="F16" s="37">
        <f t="shared" si="2"/>
        <v>0</v>
      </c>
      <c r="G16" s="38">
        <f>COUNTIF(Vertices[In-Degree], "&gt;= " &amp; F16) - COUNTIF(Vertices[In-Degree], "&gt;=" &amp; F17)</f>
        <v>0</v>
      </c>
      <c r="H16" s="37">
        <f t="shared" si="3"/>
        <v>0</v>
      </c>
      <c r="I16" s="38">
        <f>COUNTIF(Vertices[Out-Degree], "&gt;= " &amp; H16) - COUNTIF(Vertices[Out-Degree], "&gt;=" &amp; H17)</f>
        <v>0</v>
      </c>
      <c r="J16" s="37">
        <f t="shared" si="4"/>
        <v>41.893939309090918</v>
      </c>
      <c r="K16" s="38">
        <f>COUNTIF(Vertices[Betweenness Centrality], "&gt;= " &amp; J16) - COUNTIF(Vertices[Betweenness Centrality], "&gt;=" &amp; J17)</f>
        <v>2</v>
      </c>
      <c r="L16" s="37">
        <f t="shared" si="5"/>
        <v>0.26192620000000005</v>
      </c>
      <c r="M16" s="38">
        <f>COUNTIF(Vertices[Closeness Centrality], "&gt;= " &amp; L16) - COUNTIF(Vertices[Closeness Centrality], "&gt;=" &amp; L17)</f>
        <v>0</v>
      </c>
      <c r="N16" s="37">
        <f t="shared" si="6"/>
        <v>3.3686800000000003E-2</v>
      </c>
      <c r="O16" s="38">
        <f>COUNTIF(Vertices[Eigenvector Centrality], "&gt;= " &amp; N16) - COUNTIF(Vertices[Eigenvector Centrality], "&gt;=" &amp; N17)</f>
        <v>0</v>
      </c>
      <c r="P16" s="37">
        <f t="shared" si="7"/>
        <v>0.95878601818181786</v>
      </c>
      <c r="Q16" s="38">
        <f>COUNTIF(Vertices[PageRank], "&gt;= " &amp; P16) - COUNTIF(Vertices[PageRank], "&gt;=" &amp; P17)</f>
        <v>3</v>
      </c>
      <c r="R16" s="37">
        <f t="shared" si="8"/>
        <v>0.25454545454545457</v>
      </c>
      <c r="S16" s="43">
        <f>COUNTIF(Vertices[Clustering Coefficient], "&gt;= " &amp; R16) - COUNTIF(Vertices[Clustering Coefficient], "&gt;=" &amp; R17)</f>
        <v>0</v>
      </c>
      <c r="T16" s="37" t="e">
        <f t="shared" ca="1" si="9"/>
        <v>#REF!</v>
      </c>
      <c r="U16" s="38" t="e">
        <f t="shared" ca="1" si="0"/>
        <v>#REF!</v>
      </c>
    </row>
    <row r="17" spans="1:21" x14ac:dyDescent="0.25">
      <c r="A17" s="34" t="s">
        <v>155</v>
      </c>
      <c r="B17" s="34">
        <v>25</v>
      </c>
      <c r="D17" s="32">
        <f t="shared" si="1"/>
        <v>3.4545454545454537</v>
      </c>
      <c r="E17" s="3">
        <f>COUNTIF(Vertices[Degree], "&gt;= " &amp; D17) - COUNTIF(Vertices[Degree], "&gt;=" &amp; D18)</f>
        <v>0</v>
      </c>
      <c r="F17" s="39">
        <f t="shared" si="2"/>
        <v>0</v>
      </c>
      <c r="G17" s="40">
        <f>COUNTIF(Vertices[In-Degree], "&gt;= " &amp; F17) - COUNTIF(Vertices[In-Degree], "&gt;=" &amp; F18)</f>
        <v>0</v>
      </c>
      <c r="H17" s="39">
        <f t="shared" si="3"/>
        <v>0</v>
      </c>
      <c r="I17" s="40">
        <f>COUNTIF(Vertices[Out-Degree], "&gt;= " &amp; H17) - COUNTIF(Vertices[Out-Degree], "&gt;=" &amp; H18)</f>
        <v>0</v>
      </c>
      <c r="J17" s="39">
        <f t="shared" si="4"/>
        <v>44.886363545454557</v>
      </c>
      <c r="K17" s="40">
        <f>COUNTIF(Vertices[Betweenness Centrality], "&gt;= " &amp; J17) - COUNTIF(Vertices[Betweenness Centrality], "&gt;=" &amp; J18)</f>
        <v>0</v>
      </c>
      <c r="L17" s="39">
        <f t="shared" si="5"/>
        <v>0.27992800000000007</v>
      </c>
      <c r="M17" s="40">
        <f>COUNTIF(Vertices[Closeness Centrality], "&gt;= " &amp; L17) - COUNTIF(Vertices[Closeness Centrality], "&gt;=" &amp; L18)</f>
        <v>0</v>
      </c>
      <c r="N17" s="39">
        <f t="shared" si="6"/>
        <v>3.6093E-2</v>
      </c>
      <c r="O17" s="40">
        <f>COUNTIF(Vertices[Eigenvector Centrality], "&gt;= " &amp; N17) - COUNTIF(Vertices[Eigenvector Centrality], "&gt;=" &amp; N18)</f>
        <v>0</v>
      </c>
      <c r="P17" s="39">
        <f t="shared" si="7"/>
        <v>1.0003810909090907</v>
      </c>
      <c r="Q17" s="40">
        <f>COUNTIF(Vertices[PageRank], "&gt;= " &amp; P17) - COUNTIF(Vertices[PageRank], "&gt;=" &amp; P18)</f>
        <v>0</v>
      </c>
      <c r="R17" s="39">
        <f t="shared" si="8"/>
        <v>0.27272727272727276</v>
      </c>
      <c r="S17" s="44">
        <f>COUNTIF(Vertices[Clustering Coefficient], "&gt;= " &amp; R17) - COUNTIF(Vertices[Clustering Coefficient], "&gt;=" &amp; R18)</f>
        <v>0</v>
      </c>
      <c r="T17" s="39" t="e">
        <f t="shared" ca="1" si="9"/>
        <v>#REF!</v>
      </c>
      <c r="U17" s="40" t="e">
        <f t="shared" ca="1" si="0"/>
        <v>#REF!</v>
      </c>
    </row>
    <row r="18" spans="1:21" x14ac:dyDescent="0.25">
      <c r="A18" s="34" t="s">
        <v>156</v>
      </c>
      <c r="B18" s="34">
        <v>40</v>
      </c>
      <c r="D18" s="32">
        <f t="shared" si="1"/>
        <v>3.6181818181818173</v>
      </c>
      <c r="E18" s="3">
        <f>COUNTIF(Vertices[Degree], "&gt;= " &amp; D18) - COUNTIF(Vertices[Degree], "&gt;=" &amp; D19)</f>
        <v>0</v>
      </c>
      <c r="F18" s="37">
        <f t="shared" si="2"/>
        <v>0</v>
      </c>
      <c r="G18" s="38">
        <f>COUNTIF(Vertices[In-Degree], "&gt;= " &amp; F18) - COUNTIF(Vertices[In-Degree], "&gt;=" &amp; F19)</f>
        <v>0</v>
      </c>
      <c r="H18" s="37">
        <f t="shared" si="3"/>
        <v>0</v>
      </c>
      <c r="I18" s="38">
        <f>COUNTIF(Vertices[Out-Degree], "&gt;= " &amp; H18) - COUNTIF(Vertices[Out-Degree], "&gt;=" &amp; H19)</f>
        <v>0</v>
      </c>
      <c r="J18" s="37">
        <f t="shared" si="4"/>
        <v>47.878787781818197</v>
      </c>
      <c r="K18" s="38">
        <f>COUNTIF(Vertices[Betweenness Centrality], "&gt;= " &amp; J18) - COUNTIF(Vertices[Betweenness Centrality], "&gt;=" &amp; J19)</f>
        <v>0</v>
      </c>
      <c r="L18" s="37">
        <f t="shared" si="5"/>
        <v>0.29792980000000008</v>
      </c>
      <c r="M18" s="38">
        <f>COUNTIF(Vertices[Closeness Centrality], "&gt;= " &amp; L18) - COUNTIF(Vertices[Closeness Centrality], "&gt;=" &amp; L19)</f>
        <v>0</v>
      </c>
      <c r="N18" s="37">
        <f t="shared" si="6"/>
        <v>3.8499199999999997E-2</v>
      </c>
      <c r="O18" s="38">
        <f>COUNTIF(Vertices[Eigenvector Centrality], "&gt;= " &amp; N18) - COUNTIF(Vertices[Eigenvector Centrality], "&gt;=" &amp; N19)</f>
        <v>0</v>
      </c>
      <c r="P18" s="37">
        <f t="shared" si="7"/>
        <v>1.0419761636363634</v>
      </c>
      <c r="Q18" s="38">
        <f>COUNTIF(Vertices[PageRank], "&gt;= " &amp; P18) - COUNTIF(Vertices[PageRank], "&gt;=" &amp; P19)</f>
        <v>3</v>
      </c>
      <c r="R18" s="37">
        <f t="shared" si="8"/>
        <v>0.29090909090909095</v>
      </c>
      <c r="S18" s="43">
        <f>COUNTIF(Vertices[Clustering Coefficient], "&gt;= " &amp; R18) - COUNTIF(Vertices[Clustering Coefficient], "&gt;=" &amp; R19)</f>
        <v>0</v>
      </c>
      <c r="T18" s="37" t="e">
        <f t="shared" ca="1" si="9"/>
        <v>#REF!</v>
      </c>
      <c r="U18" s="38" t="e">
        <f t="shared" ca="1" si="0"/>
        <v>#REF!</v>
      </c>
    </row>
    <row r="19" spans="1:21" x14ac:dyDescent="0.25">
      <c r="A19" s="85"/>
      <c r="B19" s="85"/>
      <c r="D19" s="32">
        <f t="shared" si="1"/>
        <v>3.7818181818181809</v>
      </c>
      <c r="E19" s="3">
        <f>COUNTIF(Vertices[Degree], "&gt;= " &amp; D19) - COUNTIF(Vertices[Degree], "&gt;=" &amp; D20)</f>
        <v>0</v>
      </c>
      <c r="F19" s="39">
        <f t="shared" si="2"/>
        <v>0</v>
      </c>
      <c r="G19" s="40">
        <f>COUNTIF(Vertices[In-Degree], "&gt;= " &amp; F19) - COUNTIF(Vertices[In-Degree], "&gt;=" &amp; F20)</f>
        <v>0</v>
      </c>
      <c r="H19" s="39">
        <f t="shared" si="3"/>
        <v>0</v>
      </c>
      <c r="I19" s="40">
        <f>COUNTIF(Vertices[Out-Degree], "&gt;= " &amp; H19) - COUNTIF(Vertices[Out-Degree], "&gt;=" &amp; H20)</f>
        <v>0</v>
      </c>
      <c r="J19" s="39">
        <f t="shared" si="4"/>
        <v>50.871212018181836</v>
      </c>
      <c r="K19" s="40">
        <f>COUNTIF(Vertices[Betweenness Centrality], "&gt;= " &amp; J19) - COUNTIF(Vertices[Betweenness Centrality], "&gt;=" &amp; J20)</f>
        <v>0</v>
      </c>
      <c r="L19" s="39">
        <f t="shared" si="5"/>
        <v>0.31593160000000009</v>
      </c>
      <c r="M19" s="40">
        <f>COUNTIF(Vertices[Closeness Centrality], "&gt;= " &amp; L19) - COUNTIF(Vertices[Closeness Centrality], "&gt;=" &amp; L20)</f>
        <v>0</v>
      </c>
      <c r="N19" s="39">
        <f t="shared" si="6"/>
        <v>4.0905399999999995E-2</v>
      </c>
      <c r="O19" s="40">
        <f>COUNTIF(Vertices[Eigenvector Centrality], "&gt;= " &amp; N19) - COUNTIF(Vertices[Eigenvector Centrality], "&gt;=" &amp; N20)</f>
        <v>0</v>
      </c>
      <c r="P19" s="39">
        <f t="shared" si="7"/>
        <v>1.0835712363636361</v>
      </c>
      <c r="Q19" s="40">
        <f>COUNTIF(Vertices[PageRank], "&gt;= " &amp; P19) - COUNTIF(Vertices[PageRank], "&gt;=" &amp; P20)</f>
        <v>0</v>
      </c>
      <c r="R19" s="39">
        <f t="shared" si="8"/>
        <v>0.30909090909090914</v>
      </c>
      <c r="S19" s="44">
        <f>COUNTIF(Vertices[Clustering Coefficient], "&gt;= " &amp; R19) - COUNTIF(Vertices[Clustering Coefficient], "&gt;=" &amp; R20)</f>
        <v>0</v>
      </c>
      <c r="T19" s="39" t="e">
        <f t="shared" ca="1" si="9"/>
        <v>#REF!</v>
      </c>
      <c r="U19" s="40" t="e">
        <f t="shared" ca="1" si="0"/>
        <v>#REF!</v>
      </c>
    </row>
    <row r="20" spans="1:21" x14ac:dyDescent="0.25">
      <c r="A20" s="34" t="s">
        <v>157</v>
      </c>
      <c r="B20" s="34">
        <v>6</v>
      </c>
      <c r="D20" s="32">
        <f t="shared" si="1"/>
        <v>3.9454545454545444</v>
      </c>
      <c r="E20" s="3">
        <f>COUNTIF(Vertices[Degree], "&gt;= " &amp; D20) - COUNTIF(Vertices[Degree], "&gt;=" &amp; D21)</f>
        <v>3</v>
      </c>
      <c r="F20" s="37">
        <f t="shared" si="2"/>
        <v>0</v>
      </c>
      <c r="G20" s="38">
        <f>COUNTIF(Vertices[In-Degree], "&gt;= " &amp; F20) - COUNTIF(Vertices[In-Degree], "&gt;=" &amp; F21)</f>
        <v>0</v>
      </c>
      <c r="H20" s="37">
        <f t="shared" si="3"/>
        <v>0</v>
      </c>
      <c r="I20" s="38">
        <f>COUNTIF(Vertices[Out-Degree], "&gt;= " &amp; H20) - COUNTIF(Vertices[Out-Degree], "&gt;=" &amp; H21)</f>
        <v>0</v>
      </c>
      <c r="J20" s="37">
        <f t="shared" si="4"/>
        <v>53.863636254545476</v>
      </c>
      <c r="K20" s="38">
        <f>COUNTIF(Vertices[Betweenness Centrality], "&gt;= " &amp; J20) - COUNTIF(Vertices[Betweenness Centrality], "&gt;=" &amp; J21)</f>
        <v>0</v>
      </c>
      <c r="L20" s="37">
        <f t="shared" si="5"/>
        <v>0.3339334000000001</v>
      </c>
      <c r="M20" s="38">
        <f>COUNTIF(Vertices[Closeness Centrality], "&gt;= " &amp; L20) - COUNTIF(Vertices[Closeness Centrality], "&gt;=" &amp; L21)</f>
        <v>0</v>
      </c>
      <c r="N20" s="37">
        <f t="shared" si="6"/>
        <v>4.3311599999999992E-2</v>
      </c>
      <c r="O20" s="38">
        <f>COUNTIF(Vertices[Eigenvector Centrality], "&gt;= " &amp; N20) - COUNTIF(Vertices[Eigenvector Centrality], "&gt;=" &amp; N21)</f>
        <v>1</v>
      </c>
      <c r="P20" s="37">
        <f t="shared" si="7"/>
        <v>1.1251663090909088</v>
      </c>
      <c r="Q20" s="38">
        <f>COUNTIF(Vertices[PageRank], "&gt;= " &amp; P20) - COUNTIF(Vertices[PageRank], "&gt;=" &amp; P21)</f>
        <v>1</v>
      </c>
      <c r="R20" s="37">
        <f t="shared" si="8"/>
        <v>0.32727272727272733</v>
      </c>
      <c r="S20" s="43">
        <f>COUNTIF(Vertices[Clustering Coefficient], "&gt;= " &amp; R20) - COUNTIF(Vertices[Clustering Coefficient], "&gt;=" &amp; R21)</f>
        <v>5</v>
      </c>
      <c r="T20" s="37" t="e">
        <f t="shared" ca="1" si="9"/>
        <v>#REF!</v>
      </c>
      <c r="U20" s="38" t="e">
        <f t="shared" ca="1" si="0"/>
        <v>#REF!</v>
      </c>
    </row>
    <row r="21" spans="1:21" x14ac:dyDescent="0.25">
      <c r="A21" s="34" t="s">
        <v>158</v>
      </c>
      <c r="B21" s="34">
        <v>2.7122419999999998</v>
      </c>
      <c r="D21" s="32">
        <f t="shared" si="1"/>
        <v>4.1090909090909085</v>
      </c>
      <c r="E21" s="3">
        <f>COUNTIF(Vertices[Degree], "&gt;= " &amp; D21) - COUNTIF(Vertices[Degree], "&gt;=" &amp; D22)</f>
        <v>0</v>
      </c>
      <c r="F21" s="39">
        <f t="shared" si="2"/>
        <v>0</v>
      </c>
      <c r="G21" s="40">
        <f>COUNTIF(Vertices[In-Degree], "&gt;= " &amp; F21) - COUNTIF(Vertices[In-Degree], "&gt;=" &amp; F22)</f>
        <v>0</v>
      </c>
      <c r="H21" s="39">
        <f t="shared" si="3"/>
        <v>0</v>
      </c>
      <c r="I21" s="40">
        <f>COUNTIF(Vertices[Out-Degree], "&gt;= " &amp; H21) - COUNTIF(Vertices[Out-Degree], "&gt;=" &amp; H22)</f>
        <v>0</v>
      </c>
      <c r="J21" s="39">
        <f t="shared" si="4"/>
        <v>56.856060490909115</v>
      </c>
      <c r="K21" s="40">
        <f>COUNTIF(Vertices[Betweenness Centrality], "&gt;= " &amp; J21) - COUNTIF(Vertices[Betweenness Centrality], "&gt;=" &amp; J22)</f>
        <v>0</v>
      </c>
      <c r="L21" s="39">
        <f t="shared" si="5"/>
        <v>0.35193520000000011</v>
      </c>
      <c r="M21" s="40">
        <f>COUNTIF(Vertices[Closeness Centrality], "&gt;= " &amp; L21) - COUNTIF(Vertices[Closeness Centrality], "&gt;=" &amp; L22)</f>
        <v>0</v>
      </c>
      <c r="N21" s="39">
        <f t="shared" si="6"/>
        <v>4.5717799999999989E-2</v>
      </c>
      <c r="O21" s="40">
        <f>COUNTIF(Vertices[Eigenvector Centrality], "&gt;= " &amp; N21) - COUNTIF(Vertices[Eigenvector Centrality], "&gt;=" &amp; N22)</f>
        <v>0</v>
      </c>
      <c r="P21" s="39">
        <f t="shared" si="7"/>
        <v>1.1667613818181815</v>
      </c>
      <c r="Q21" s="40">
        <f>COUNTIF(Vertices[PageRank], "&gt;= " &amp; P21) - COUNTIF(Vertices[PageRank], "&gt;=" &amp; P22)</f>
        <v>1</v>
      </c>
      <c r="R21" s="39">
        <f t="shared" si="8"/>
        <v>0.34545454545454551</v>
      </c>
      <c r="S21" s="44">
        <f>COUNTIF(Vertices[Clustering Coefficient], "&gt;= " &amp; R21) - COUNTIF(Vertices[Clustering Coefficient], "&gt;=" &amp; R22)</f>
        <v>0</v>
      </c>
      <c r="T21" s="39" t="e">
        <f t="shared" ca="1" si="9"/>
        <v>#REF!</v>
      </c>
      <c r="U21" s="40" t="e">
        <f t="shared" ca="1" si="0"/>
        <v>#REF!</v>
      </c>
    </row>
    <row r="22" spans="1:21" x14ac:dyDescent="0.25">
      <c r="A22" s="85"/>
      <c r="B22" s="85"/>
      <c r="D22" s="32">
        <f t="shared" si="1"/>
        <v>4.2727272727272725</v>
      </c>
      <c r="E22" s="3">
        <f>COUNTIF(Vertices[Degree], "&gt;= " &amp; D22) - COUNTIF(Vertices[Degree], "&gt;=" &amp; D23)</f>
        <v>0</v>
      </c>
      <c r="F22" s="37">
        <f t="shared" si="2"/>
        <v>0</v>
      </c>
      <c r="G22" s="38">
        <f>COUNTIF(Vertices[In-Degree], "&gt;= " &amp; F22) - COUNTIF(Vertices[In-Degree], "&gt;=" &amp; F23)</f>
        <v>0</v>
      </c>
      <c r="H22" s="37">
        <f t="shared" si="3"/>
        <v>0</v>
      </c>
      <c r="I22" s="38">
        <f>COUNTIF(Vertices[Out-Degree], "&gt;= " &amp; H22) - COUNTIF(Vertices[Out-Degree], "&gt;=" &amp; H23)</f>
        <v>0</v>
      </c>
      <c r="J22" s="37">
        <f t="shared" si="4"/>
        <v>59.848484727272755</v>
      </c>
      <c r="K22" s="38">
        <f>COUNTIF(Vertices[Betweenness Centrality], "&gt;= " &amp; J22) - COUNTIF(Vertices[Betweenness Centrality], "&gt;=" &amp; J23)</f>
        <v>0</v>
      </c>
      <c r="L22" s="37">
        <f t="shared" si="5"/>
        <v>0.36993700000000013</v>
      </c>
      <c r="M22" s="38">
        <f>COUNTIF(Vertices[Closeness Centrality], "&gt;= " &amp; L22) - COUNTIF(Vertices[Closeness Centrality], "&gt;=" &amp; L23)</f>
        <v>0</v>
      </c>
      <c r="N22" s="37">
        <f t="shared" si="6"/>
        <v>4.8123999999999986E-2</v>
      </c>
      <c r="O22" s="38">
        <f>COUNTIF(Vertices[Eigenvector Centrality], "&gt;= " &amp; N22) - COUNTIF(Vertices[Eigenvector Centrality], "&gt;=" &amp; N23)</f>
        <v>0</v>
      </c>
      <c r="P22" s="37">
        <f t="shared" si="7"/>
        <v>1.2083564545454542</v>
      </c>
      <c r="Q22" s="38">
        <f>COUNTIF(Vertices[PageRank], "&gt;= " &amp; P22) - COUNTIF(Vertices[PageRank], "&gt;=" &amp; P23)</f>
        <v>0</v>
      </c>
      <c r="R22" s="37">
        <f t="shared" si="8"/>
        <v>0.3636363636363637</v>
      </c>
      <c r="S22" s="43">
        <f>COUNTIF(Vertices[Clustering Coefficient], "&gt;= " &amp; R22) - COUNTIF(Vertices[Clustering Coefficient], "&gt;=" &amp; R23)</f>
        <v>0</v>
      </c>
      <c r="T22" s="37" t="e">
        <f t="shared" ca="1" si="9"/>
        <v>#REF!</v>
      </c>
      <c r="U22" s="38" t="e">
        <f t="shared" ca="1" si="0"/>
        <v>#REF!</v>
      </c>
    </row>
    <row r="23" spans="1:21" x14ac:dyDescent="0.25">
      <c r="A23" s="34" t="s">
        <v>159</v>
      </c>
      <c r="B23" s="34">
        <v>0.11680911680911681</v>
      </c>
      <c r="D23" s="32">
        <f t="shared" si="1"/>
        <v>4.4363636363636365</v>
      </c>
      <c r="E23" s="3">
        <f>COUNTIF(Vertices[Degree], "&gt;= " &amp; D23) - COUNTIF(Vertices[Degree], "&gt;=" &amp; D24)</f>
        <v>0</v>
      </c>
      <c r="F23" s="39">
        <f t="shared" si="2"/>
        <v>0</v>
      </c>
      <c r="G23" s="40">
        <f>COUNTIF(Vertices[In-Degree], "&gt;= " &amp; F23) - COUNTIF(Vertices[In-Degree], "&gt;=" &amp; F24)</f>
        <v>0</v>
      </c>
      <c r="H23" s="39">
        <f t="shared" si="3"/>
        <v>0</v>
      </c>
      <c r="I23" s="40">
        <f>COUNTIF(Vertices[Out-Degree], "&gt;= " &amp; H23) - COUNTIF(Vertices[Out-Degree], "&gt;=" &amp; H24)</f>
        <v>0</v>
      </c>
      <c r="J23" s="39">
        <f t="shared" si="4"/>
        <v>62.840908963636394</v>
      </c>
      <c r="K23" s="40">
        <f>COUNTIF(Vertices[Betweenness Centrality], "&gt;= " &amp; J23) - COUNTIF(Vertices[Betweenness Centrality], "&gt;=" &amp; J24)</f>
        <v>1</v>
      </c>
      <c r="L23" s="39">
        <f t="shared" si="5"/>
        <v>0.38793880000000014</v>
      </c>
      <c r="M23" s="40">
        <f>COUNTIF(Vertices[Closeness Centrality], "&gt;= " &amp; L23) - COUNTIF(Vertices[Closeness Centrality], "&gt;=" &amp; L24)</f>
        <v>0</v>
      </c>
      <c r="N23" s="39">
        <f t="shared" si="6"/>
        <v>5.0530199999999983E-2</v>
      </c>
      <c r="O23" s="40">
        <f>COUNTIF(Vertices[Eigenvector Centrality], "&gt;= " &amp; N23) - COUNTIF(Vertices[Eigenvector Centrality], "&gt;=" &amp; N24)</f>
        <v>0</v>
      </c>
      <c r="P23" s="39">
        <f t="shared" si="7"/>
        <v>1.2499515272727268</v>
      </c>
      <c r="Q23" s="40">
        <f>COUNTIF(Vertices[PageRank], "&gt;= " &amp; P23) - COUNTIF(Vertices[PageRank], "&gt;=" &amp; P24)</f>
        <v>0</v>
      </c>
      <c r="R23" s="39">
        <f t="shared" si="8"/>
        <v>0.38181818181818189</v>
      </c>
      <c r="S23" s="44">
        <f>COUNTIF(Vertices[Clustering Coefficient], "&gt;= " &amp; R23) - COUNTIF(Vertices[Clustering Coefficient], "&gt;=" &amp; R24)</f>
        <v>0</v>
      </c>
      <c r="T23" s="39" t="e">
        <f t="shared" ca="1" si="9"/>
        <v>#REF!</v>
      </c>
      <c r="U23" s="40" t="e">
        <f t="shared" ca="1" si="0"/>
        <v>#REF!</v>
      </c>
    </row>
    <row r="24" spans="1:21" x14ac:dyDescent="0.25">
      <c r="A24" s="34" t="s">
        <v>207</v>
      </c>
      <c r="B24" s="34">
        <v>4.7591000000000001E-2</v>
      </c>
      <c r="D24" s="32">
        <f t="shared" si="1"/>
        <v>4.6000000000000005</v>
      </c>
      <c r="E24" s="3">
        <f>COUNTIF(Vertices[Degree], "&gt;= " &amp; D24) - COUNTIF(Vertices[Degree], "&gt;=" &amp; D25)</f>
        <v>0</v>
      </c>
      <c r="F24" s="37">
        <f t="shared" si="2"/>
        <v>0</v>
      </c>
      <c r="G24" s="38">
        <f>COUNTIF(Vertices[In-Degree], "&gt;= " &amp; F24) - COUNTIF(Vertices[In-Degree], "&gt;=" &amp; F25)</f>
        <v>0</v>
      </c>
      <c r="H24" s="37">
        <f t="shared" si="3"/>
        <v>0</v>
      </c>
      <c r="I24" s="38">
        <f>COUNTIF(Vertices[Out-Degree], "&gt;= " &amp; H24) - COUNTIF(Vertices[Out-Degree], "&gt;=" &amp; H25)</f>
        <v>0</v>
      </c>
      <c r="J24" s="37">
        <f t="shared" si="4"/>
        <v>65.833333200000027</v>
      </c>
      <c r="K24" s="38">
        <f>COUNTIF(Vertices[Betweenness Centrality], "&gt;= " &amp; J24) - COUNTIF(Vertices[Betweenness Centrality], "&gt;=" &amp; J25)</f>
        <v>1</v>
      </c>
      <c r="L24" s="37">
        <f t="shared" si="5"/>
        <v>0.40594060000000015</v>
      </c>
      <c r="M24" s="38">
        <f>COUNTIF(Vertices[Closeness Centrality], "&gt;= " &amp; L24) - COUNTIF(Vertices[Closeness Centrality], "&gt;=" &amp; L25)</f>
        <v>0</v>
      </c>
      <c r="N24" s="37">
        <f t="shared" si="6"/>
        <v>5.2936399999999981E-2</v>
      </c>
      <c r="O24" s="38">
        <f>COUNTIF(Vertices[Eigenvector Centrality], "&gt;= " &amp; N24) - COUNTIF(Vertices[Eigenvector Centrality], "&gt;=" &amp; N25)</f>
        <v>1</v>
      </c>
      <c r="P24" s="37">
        <f t="shared" si="7"/>
        <v>1.2915465999999995</v>
      </c>
      <c r="Q24" s="38">
        <f>COUNTIF(Vertices[PageRank], "&gt;= " &amp; P24) - COUNTIF(Vertices[PageRank], "&gt;=" &amp; P25)</f>
        <v>0</v>
      </c>
      <c r="R24" s="37">
        <f t="shared" si="8"/>
        <v>0.40000000000000008</v>
      </c>
      <c r="S24" s="43">
        <f>COUNTIF(Vertices[Clustering Coefficient], "&gt;= " &amp; R24) - COUNTIF(Vertices[Clustering Coefficient], "&gt;=" &amp; R25)</f>
        <v>1</v>
      </c>
      <c r="T24" s="37" t="e">
        <f t="shared" ca="1" si="9"/>
        <v>#REF!</v>
      </c>
      <c r="U24" s="38" t="e">
        <f t="shared" ca="1" si="0"/>
        <v>#REF!</v>
      </c>
    </row>
    <row r="25" spans="1:21" x14ac:dyDescent="0.25">
      <c r="A25" s="85"/>
      <c r="B25" s="85"/>
      <c r="D25" s="32">
        <f t="shared" si="1"/>
        <v>4.7636363636363646</v>
      </c>
      <c r="E25" s="3">
        <f>COUNTIF(Vertices[Degree], "&gt;= " &amp; D25) - COUNTIF(Vertices[Degree], "&gt;=" &amp; D26)</f>
        <v>0</v>
      </c>
      <c r="F25" s="39">
        <f t="shared" si="2"/>
        <v>0</v>
      </c>
      <c r="G25" s="40">
        <f>COUNTIF(Vertices[In-Degree], "&gt;= " &amp; F25) - COUNTIF(Vertices[In-Degree], "&gt;=" &amp; F26)</f>
        <v>0</v>
      </c>
      <c r="H25" s="39">
        <f t="shared" si="3"/>
        <v>0</v>
      </c>
      <c r="I25" s="40">
        <f>COUNTIF(Vertices[Out-Degree], "&gt;= " &amp; H25) - COUNTIF(Vertices[Out-Degree], "&gt;=" &amp; H26)</f>
        <v>0</v>
      </c>
      <c r="J25" s="39">
        <f t="shared" si="4"/>
        <v>68.825757436363659</v>
      </c>
      <c r="K25" s="40">
        <f>COUNTIF(Vertices[Betweenness Centrality], "&gt;= " &amp; J25) - COUNTIF(Vertices[Betweenness Centrality], "&gt;=" &amp; J26)</f>
        <v>0</v>
      </c>
      <c r="L25" s="39">
        <f t="shared" si="5"/>
        <v>0.42394240000000016</v>
      </c>
      <c r="M25" s="40">
        <f>COUNTIF(Vertices[Closeness Centrality], "&gt;= " &amp; L25) - COUNTIF(Vertices[Closeness Centrality], "&gt;=" &amp; L26)</f>
        <v>0</v>
      </c>
      <c r="N25" s="39">
        <f t="shared" si="6"/>
        <v>5.5342599999999978E-2</v>
      </c>
      <c r="O25" s="40">
        <f>COUNTIF(Vertices[Eigenvector Centrality], "&gt;= " &amp; N25) - COUNTIF(Vertices[Eigenvector Centrality], "&gt;=" &amp; N26)</f>
        <v>1</v>
      </c>
      <c r="P25" s="39">
        <f t="shared" si="7"/>
        <v>1.3331416727272722</v>
      </c>
      <c r="Q25" s="40">
        <f>COUNTIF(Vertices[PageRank], "&gt;= " &amp; P25) - COUNTIF(Vertices[PageRank], "&gt;=" &amp; P26)</f>
        <v>1</v>
      </c>
      <c r="R25" s="39">
        <f t="shared" si="8"/>
        <v>0.41818181818181827</v>
      </c>
      <c r="S25" s="44">
        <f>COUNTIF(Vertices[Clustering Coefficient], "&gt;= " &amp; R25) - COUNTIF(Vertices[Clustering Coefficient], "&gt;=" &amp; R26)</f>
        <v>0</v>
      </c>
      <c r="T25" s="39" t="e">
        <f t="shared" ca="1" si="9"/>
        <v>#REF!</v>
      </c>
      <c r="U25" s="40" t="e">
        <f t="shared" ca="1" si="0"/>
        <v>#REF!</v>
      </c>
    </row>
    <row r="26" spans="1:21" x14ac:dyDescent="0.25">
      <c r="A26" s="34" t="s">
        <v>208</v>
      </c>
      <c r="B26" s="34" t="s">
        <v>210</v>
      </c>
      <c r="D26" s="32">
        <f t="shared" si="1"/>
        <v>4.9272727272727286</v>
      </c>
      <c r="E26" s="3">
        <f>COUNTIF(Vertices[Degree], "&gt;= " &amp; D26) - COUNTIF(Vertices[Degree], "&gt;=" &amp; D28)</f>
        <v>1</v>
      </c>
      <c r="F26" s="37">
        <f t="shared" si="2"/>
        <v>0</v>
      </c>
      <c r="G26" s="38">
        <f>COUNTIF(Vertices[In-Degree], "&gt;= " &amp; F26) - COUNTIF(Vertices[In-Degree], "&gt;=" &amp; F28)</f>
        <v>0</v>
      </c>
      <c r="H26" s="37">
        <f t="shared" si="3"/>
        <v>0</v>
      </c>
      <c r="I26" s="38">
        <f>COUNTIF(Vertices[Out-Degree], "&gt;= " &amp; H26) - COUNTIF(Vertices[Out-Degree], "&gt;=" &amp; H28)</f>
        <v>0</v>
      </c>
      <c r="J26" s="37">
        <f t="shared" si="4"/>
        <v>71.818181672727292</v>
      </c>
      <c r="K26" s="38">
        <f>COUNTIF(Vertices[Betweenness Centrality], "&gt;= " &amp; J26) - COUNTIF(Vertices[Betweenness Centrality], "&gt;=" &amp; J28)</f>
        <v>0</v>
      </c>
      <c r="L26" s="37">
        <f t="shared" si="5"/>
        <v>0.44194420000000018</v>
      </c>
      <c r="M26" s="38">
        <f>COUNTIF(Vertices[Closeness Centrality], "&gt;= " &amp; L26) - COUNTIF(Vertices[Closeness Centrality], "&gt;=" &amp; L28)</f>
        <v>0</v>
      </c>
      <c r="N26" s="37">
        <f t="shared" si="6"/>
        <v>5.7748799999999975E-2</v>
      </c>
      <c r="O26" s="38">
        <f>COUNTIF(Vertices[Eigenvector Centrality], "&gt;= " &amp; N26) - COUNTIF(Vertices[Eigenvector Centrality], "&gt;=" &amp; N28)</f>
        <v>1</v>
      </c>
      <c r="P26" s="37">
        <f t="shared" si="7"/>
        <v>1.3747367454545449</v>
      </c>
      <c r="Q26" s="38">
        <f>COUNTIF(Vertices[PageRank], "&gt;= " &amp; P26) - COUNTIF(Vertices[PageRank], "&gt;=" &amp; P28)</f>
        <v>0</v>
      </c>
      <c r="R26" s="37">
        <f t="shared" si="8"/>
        <v>0.43636363636363645</v>
      </c>
      <c r="S26" s="43">
        <f>COUNTIF(Vertices[Clustering Coefficient], "&gt;= " &amp; R26) - COUNTIF(Vertices[Clustering Coefficient], "&gt;=" &amp; R28)</f>
        <v>0</v>
      </c>
      <c r="T26" s="37" t="e">
        <f t="shared" ca="1" si="9"/>
        <v>#REF!</v>
      </c>
      <c r="U26" s="38" t="e">
        <f ca="1">COUNTIF(INDIRECT(DynamicFilterSourceColumnRange), "&gt;= " &amp; T26) - COUNTIF(INDIRECT(DynamicFilterSourceColumnRange), "&gt;=" &amp; T28)</f>
        <v>#REF!</v>
      </c>
    </row>
    <row r="27" spans="1:21" x14ac:dyDescent="0.25">
      <c r="D27" s="32"/>
      <c r="E27" s="3">
        <f>COUNTIF(Vertices[Degree], "&gt;= " &amp; D27) - COUNTIF(Vertices[Degree], "&gt;=" &amp; D28)</f>
        <v>-3</v>
      </c>
      <c r="F27" s="73"/>
      <c r="G27" s="74">
        <f>COUNTIF(Vertices[In-Degree], "&gt;= " &amp; F27) - COUNTIF(Vertices[In-Degree], "&gt;=" &amp; F28)</f>
        <v>0</v>
      </c>
      <c r="H27" s="73"/>
      <c r="I27" s="74">
        <f>COUNTIF(Vertices[Out-Degree], "&gt;= " &amp; H27) - COUNTIF(Vertices[Out-Degree], "&gt;=" &amp; H28)</f>
        <v>0</v>
      </c>
      <c r="J27" s="73"/>
      <c r="K27" s="74">
        <f>COUNTIF(Vertices[Betweenness Centrality], "&gt;= " &amp; J27) - COUNTIF(Vertices[Betweenness Centrality], "&gt;=" &amp; J28)</f>
        <v>-2</v>
      </c>
      <c r="L27" s="73"/>
      <c r="M27" s="74">
        <f>COUNTIF(Vertices[Closeness Centrality], "&gt;= " &amp; L27) - COUNTIF(Vertices[Closeness Centrality], "&gt;=" &amp; L28)</f>
        <v>-2</v>
      </c>
      <c r="N27" s="73"/>
      <c r="O27" s="74">
        <f>COUNTIF(Vertices[Eigenvector Centrality], "&gt;= " &amp; N27) - COUNTIF(Vertices[Eigenvector Centrality], "&gt;=" &amp; N28)</f>
        <v>-6</v>
      </c>
      <c r="P27" s="73"/>
      <c r="Q27" s="74">
        <f>COUNTIF(Vertices[Eigenvector Centrality], "&gt;= " &amp; P27) - COUNTIF(Vertices[Eigenvector Centrality], "&gt;=" &amp; P28)</f>
        <v>0</v>
      </c>
      <c r="R27" s="73"/>
      <c r="S27" s="75">
        <f>COUNTIF(Vertices[Clustering Coefficient], "&gt;= " &amp; R27) - COUNTIF(Vertices[Clustering Coefficient], "&gt;=" &amp; R28)</f>
        <v>-11</v>
      </c>
      <c r="T27" s="73"/>
      <c r="U27" s="74">
        <f ca="1">COUNTIF(Vertices[Clustering Coefficient], "&gt;= " &amp; T27) - COUNTIF(Vertices[Clustering Coefficient], "&gt;=" &amp; T28)</f>
        <v>0</v>
      </c>
    </row>
    <row r="28" spans="1:21" x14ac:dyDescent="0.25">
      <c r="D28" s="32">
        <f>D26+($D$57-$D$2)/BinDivisor</f>
        <v>5.0909090909090926</v>
      </c>
      <c r="E28" s="3">
        <f>COUNTIF(Vertices[Degree], "&gt;= " &amp; D28) - COUNTIF(Vertices[Degree], "&gt;=" &amp; D40)</f>
        <v>0</v>
      </c>
      <c r="F28" s="39">
        <f>F26+($F$57-$F$2)/BinDivisor</f>
        <v>0</v>
      </c>
      <c r="G28" s="40">
        <f>COUNTIF(Vertices[In-Degree], "&gt;= " &amp; F28) - COUNTIF(Vertices[In-Degree], "&gt;=" &amp; F40)</f>
        <v>0</v>
      </c>
      <c r="H28" s="39">
        <f>H26+($H$57-$H$2)/BinDivisor</f>
        <v>0</v>
      </c>
      <c r="I28" s="40">
        <f>COUNTIF(Vertices[Out-Degree], "&gt;= " &amp; H28) - COUNTIF(Vertices[Out-Degree], "&gt;=" &amp; H40)</f>
        <v>0</v>
      </c>
      <c r="J28" s="39">
        <f>J26+($J$57-$J$2)/BinDivisor</f>
        <v>74.810605909090924</v>
      </c>
      <c r="K28" s="40">
        <f>COUNTIF(Vertices[Betweenness Centrality], "&gt;= " &amp; J28) - COUNTIF(Vertices[Betweenness Centrality], "&gt;=" &amp; J40)</f>
        <v>0</v>
      </c>
      <c r="L28" s="39">
        <f>L26+($L$57-$L$2)/BinDivisor</f>
        <v>0.45994600000000019</v>
      </c>
      <c r="M28" s="40">
        <f>COUNTIF(Vertices[Closeness Centrality], "&gt;= " &amp; L28) - COUNTIF(Vertices[Closeness Centrality], "&gt;=" &amp; L40)</f>
        <v>0</v>
      </c>
      <c r="N28" s="39">
        <f>N26+($N$57-$N$2)/BinDivisor</f>
        <v>6.0154999999999972E-2</v>
      </c>
      <c r="O28" s="40">
        <f>COUNTIF(Vertices[Eigenvector Centrality], "&gt;= " &amp; N28) - COUNTIF(Vertices[Eigenvector Centrality], "&gt;=" &amp; N40)</f>
        <v>0</v>
      </c>
      <c r="P28" s="39">
        <f>P26+($P$57-$P$2)/BinDivisor</f>
        <v>1.4163318181818176</v>
      </c>
      <c r="Q28" s="40">
        <f>COUNTIF(Vertices[PageRank], "&gt;= " &amp; P28) - COUNTIF(Vertices[PageRank], "&gt;=" &amp; P40)</f>
        <v>0</v>
      </c>
      <c r="R28" s="39">
        <f>R26+($R$57-$R$2)/BinDivisor</f>
        <v>0.45454545454545464</v>
      </c>
      <c r="S28" s="44">
        <f>COUNTIF(Vertices[Clustering Coefficient], "&gt;= " &amp; R28) - COUNTIF(Vertices[Clustering Coefficient], "&gt;=" &amp; R40)</f>
        <v>0</v>
      </c>
      <c r="T28" s="39" t="e">
        <f ca="1">T26+($T$57-$T$2)/BinDivisor</f>
        <v>#REF!</v>
      </c>
      <c r="U28" s="40" t="e">
        <f ca="1">COUNTIF(INDIRECT(DynamicFilterSourceColumnRange), "&gt;= " &amp; T28) - COUNTIF(INDIRECT(DynamicFilterSourceColumnRange), "&gt;=" &amp; T40)</f>
        <v>#REF!</v>
      </c>
    </row>
    <row r="29" spans="1:21" x14ac:dyDescent="0.25">
      <c r="D29" s="32"/>
      <c r="E29" s="3">
        <f>COUNTIF(Vertices[Degree], "&gt;= " &amp; D29) - COUNTIF(Vertices[Degree], "&gt;=" &amp; D30)</f>
        <v>0</v>
      </c>
      <c r="F29" s="73"/>
      <c r="G29" s="74">
        <f>COUNTIF(Vertices[In-Degree], "&gt;= " &amp; F29) - COUNTIF(Vertices[In-Degree], "&gt;=" &amp; F30)</f>
        <v>0</v>
      </c>
      <c r="H29" s="73"/>
      <c r="I29" s="74">
        <f>COUNTIF(Vertices[Out-Degree], "&gt;= " &amp; H29) - COUNTIF(Vertices[Out-Degree], "&gt;=" &amp; H30)</f>
        <v>0</v>
      </c>
      <c r="J29" s="73"/>
      <c r="K29" s="74">
        <f>COUNTIF(Vertices[Betweenness Centrality], "&gt;= " &amp; J29) - COUNTIF(Vertices[Betweenness Centrality], "&gt;=" &amp; J30)</f>
        <v>0</v>
      </c>
      <c r="L29" s="73"/>
      <c r="M29" s="74">
        <f>COUNTIF(Vertices[Closeness Centrality], "&gt;= " &amp; L29) - COUNTIF(Vertices[Closeness Centrality], "&gt;=" &amp; L30)</f>
        <v>0</v>
      </c>
      <c r="N29" s="73"/>
      <c r="O29" s="74">
        <f>COUNTIF(Vertices[Eigenvector Centrality], "&gt;= " &amp; N29) - COUNTIF(Vertices[Eigenvector Centrality], "&gt;=" &amp; N30)</f>
        <v>0</v>
      </c>
      <c r="P29" s="73"/>
      <c r="Q29" s="74">
        <f>COUNTIF(Vertices[Eigenvector Centrality], "&gt;= " &amp; P29) - COUNTIF(Vertices[Eigenvector Centrality], "&gt;=" &amp; P30)</f>
        <v>0</v>
      </c>
      <c r="R29" s="73"/>
      <c r="S29" s="75">
        <f>COUNTIF(Vertices[Clustering Coefficient], "&gt;= " &amp; R29) - COUNTIF(Vertices[Clustering Coefficient], "&gt;=" &amp; R30)</f>
        <v>0</v>
      </c>
      <c r="T29" s="73"/>
      <c r="U29" s="74">
        <f>COUNTIF(Vertices[Clustering Coefficient], "&gt;= " &amp; T29) - COUNTIF(Vertices[Clustering Coefficient], "&gt;=" &amp; T30)</f>
        <v>0</v>
      </c>
    </row>
    <row r="30" spans="1:21" x14ac:dyDescent="0.25">
      <c r="D30" s="32"/>
      <c r="E30" s="3">
        <f>COUNTIF(Vertices[Degree], "&gt;= " &amp; D30) - COUNTIF(Vertices[Degree], "&gt;=" &amp; D31)</f>
        <v>0</v>
      </c>
      <c r="F30" s="73"/>
      <c r="G30" s="74">
        <f>COUNTIF(Vertices[In-Degree], "&gt;= " &amp; F30) - COUNTIF(Vertices[In-Degree], "&gt;=" &amp; F31)</f>
        <v>0</v>
      </c>
      <c r="H30" s="73"/>
      <c r="I30" s="74">
        <f>COUNTIF(Vertices[Out-Degree], "&gt;= " &amp; H30) - COUNTIF(Vertices[Out-Degree], "&gt;=" &amp; H31)</f>
        <v>0</v>
      </c>
      <c r="J30" s="73"/>
      <c r="K30" s="74">
        <f>COUNTIF(Vertices[Betweenness Centrality], "&gt;= " &amp; J30) - COUNTIF(Vertices[Betweenness Centrality], "&gt;=" &amp; J31)</f>
        <v>0</v>
      </c>
      <c r="L30" s="73"/>
      <c r="M30" s="74">
        <f>COUNTIF(Vertices[Closeness Centrality], "&gt;= " &amp; L30) - COUNTIF(Vertices[Closeness Centrality], "&gt;=" &amp; L31)</f>
        <v>0</v>
      </c>
      <c r="N30" s="73"/>
      <c r="O30" s="74">
        <f>COUNTIF(Vertices[Eigenvector Centrality], "&gt;= " &amp; N30) - COUNTIF(Vertices[Eigenvector Centrality], "&gt;=" &amp; N31)</f>
        <v>0</v>
      </c>
      <c r="P30" s="73"/>
      <c r="Q30" s="74">
        <f>COUNTIF(Vertices[Eigenvector Centrality], "&gt;= " &amp; P30) - COUNTIF(Vertices[Eigenvector Centrality], "&gt;=" &amp; P31)</f>
        <v>0</v>
      </c>
      <c r="R30" s="73"/>
      <c r="S30" s="75">
        <f>COUNTIF(Vertices[Clustering Coefficient], "&gt;= " &amp; R30) - COUNTIF(Vertices[Clustering Coefficient], "&gt;=" &amp; R31)</f>
        <v>0</v>
      </c>
      <c r="T30" s="73"/>
      <c r="U30" s="74">
        <f>COUNTIF(Vertices[Clustering Coefficient], "&gt;= " &amp; T30) - COUNTIF(Vertices[Clustering Coefficient], "&gt;=" &amp; T31)</f>
        <v>0</v>
      </c>
    </row>
    <row r="31" spans="1:21" x14ac:dyDescent="0.25">
      <c r="D31" s="32"/>
      <c r="E31" s="3">
        <f>COUNTIF(Vertices[Degree], "&gt;= " &amp; D31) - COUNTIF(Vertices[Degree], "&gt;=" &amp; D32)</f>
        <v>0</v>
      </c>
      <c r="F31" s="73"/>
      <c r="G31" s="74">
        <f>COUNTIF(Vertices[In-Degree], "&gt;= " &amp; F31) - COUNTIF(Vertices[In-Degree], "&gt;=" &amp; F32)</f>
        <v>0</v>
      </c>
      <c r="H31" s="73"/>
      <c r="I31" s="74">
        <f>COUNTIF(Vertices[Out-Degree], "&gt;= " &amp; H31) - COUNTIF(Vertices[Out-Degree], "&gt;=" &amp; H32)</f>
        <v>0</v>
      </c>
      <c r="J31" s="73"/>
      <c r="K31" s="74">
        <f>COUNTIF(Vertices[Betweenness Centrality], "&gt;= " &amp; J31) - COUNTIF(Vertices[Betweenness Centrality], "&gt;=" &amp; J32)</f>
        <v>0</v>
      </c>
      <c r="L31" s="73"/>
      <c r="M31" s="74">
        <f>COUNTIF(Vertices[Closeness Centrality], "&gt;= " &amp; L31) - COUNTIF(Vertices[Closeness Centrality], "&gt;=" &amp; L32)</f>
        <v>0</v>
      </c>
      <c r="N31" s="73"/>
      <c r="O31" s="74">
        <f>COUNTIF(Vertices[Eigenvector Centrality], "&gt;= " &amp; N31) - COUNTIF(Vertices[Eigenvector Centrality], "&gt;=" &amp; N32)</f>
        <v>0</v>
      </c>
      <c r="P31" s="73"/>
      <c r="Q31" s="74">
        <f>COUNTIF(Vertices[Eigenvector Centrality], "&gt;= " &amp; P31) - COUNTIF(Vertices[Eigenvector Centrality], "&gt;=" &amp; P32)</f>
        <v>0</v>
      </c>
      <c r="R31" s="73"/>
      <c r="S31" s="75">
        <f>COUNTIF(Vertices[Clustering Coefficient], "&gt;= " &amp; R31) - COUNTIF(Vertices[Clustering Coefficient], "&gt;=" &amp; R32)</f>
        <v>0</v>
      </c>
      <c r="T31" s="73"/>
      <c r="U31" s="74">
        <f>COUNTIF(Vertices[Clustering Coefficient], "&gt;= " &amp; T31) - COUNTIF(Vertices[Clustering Coefficient], "&gt;=" &amp; T32)</f>
        <v>0</v>
      </c>
    </row>
    <row r="32" spans="1:21" x14ac:dyDescent="0.25">
      <c r="D32" s="32"/>
      <c r="E32" s="3">
        <f>COUNTIF(Vertices[Degree], "&gt;= " &amp; D32) - COUNTIF(Vertices[Degree], "&gt;=" &amp; D33)</f>
        <v>0</v>
      </c>
      <c r="F32" s="73"/>
      <c r="G32" s="74">
        <f>COUNTIF(Vertices[In-Degree], "&gt;= " &amp; F32) - COUNTIF(Vertices[In-Degree], "&gt;=" &amp; F33)</f>
        <v>0</v>
      </c>
      <c r="H32" s="73"/>
      <c r="I32" s="74">
        <f>COUNTIF(Vertices[Out-Degree], "&gt;= " &amp; H32) - COUNTIF(Vertices[Out-Degree], "&gt;=" &amp; H33)</f>
        <v>0</v>
      </c>
      <c r="J32" s="73"/>
      <c r="K32" s="74">
        <f>COUNTIF(Vertices[Betweenness Centrality], "&gt;= " &amp; J32) - COUNTIF(Vertices[Betweenness Centrality], "&gt;=" &amp; J33)</f>
        <v>0</v>
      </c>
      <c r="L32" s="73"/>
      <c r="M32" s="74">
        <f>COUNTIF(Vertices[Closeness Centrality], "&gt;= " &amp; L32) - COUNTIF(Vertices[Closeness Centrality], "&gt;=" &amp; L33)</f>
        <v>0</v>
      </c>
      <c r="N32" s="73"/>
      <c r="O32" s="74">
        <f>COUNTIF(Vertices[Eigenvector Centrality], "&gt;= " &amp; N32) - COUNTIF(Vertices[Eigenvector Centrality], "&gt;=" &amp; N33)</f>
        <v>0</v>
      </c>
      <c r="P32" s="73"/>
      <c r="Q32" s="74">
        <f>COUNTIF(Vertices[Eigenvector Centrality], "&gt;= " &amp; P32) - COUNTIF(Vertices[Eigenvector Centrality], "&gt;=" &amp; P33)</f>
        <v>0</v>
      </c>
      <c r="R32" s="73"/>
      <c r="S32" s="75">
        <f>COUNTIF(Vertices[Clustering Coefficient], "&gt;= " &amp; R32) - COUNTIF(Vertices[Clustering Coefficient], "&gt;=" &amp; R33)</f>
        <v>0</v>
      </c>
      <c r="T32" s="73"/>
      <c r="U32" s="74">
        <f>COUNTIF(Vertices[Clustering Coefficient], "&gt;= " &amp; T32) - COUNTIF(Vertices[Clustering Coefficient], "&gt;=" &amp; T33)</f>
        <v>0</v>
      </c>
    </row>
    <row r="33" spans="1:21" x14ac:dyDescent="0.25">
      <c r="D33" s="32"/>
      <c r="E33" s="3">
        <f>COUNTIF(Vertices[Degree], "&gt;= " &amp; D33) - COUNTIF(Vertices[Degree], "&gt;=" &amp; D38)</f>
        <v>0</v>
      </c>
      <c r="F33" s="73"/>
      <c r="G33" s="74">
        <f>COUNTIF(Vertices[In-Degree], "&gt;= " &amp; F33) - COUNTIF(Vertices[In-Degree], "&gt;=" &amp; F38)</f>
        <v>0</v>
      </c>
      <c r="H33" s="73"/>
      <c r="I33" s="74">
        <f>COUNTIF(Vertices[Out-Degree], "&gt;= " &amp; H33) - COUNTIF(Vertices[Out-Degree], "&gt;=" &amp; H38)</f>
        <v>0</v>
      </c>
      <c r="J33" s="73"/>
      <c r="K33" s="74">
        <f>COUNTIF(Vertices[Betweenness Centrality], "&gt;= " &amp; J33) - COUNTIF(Vertices[Betweenness Centrality], "&gt;=" &amp; J38)</f>
        <v>0</v>
      </c>
      <c r="L33" s="73"/>
      <c r="M33" s="74">
        <f>COUNTIF(Vertices[Closeness Centrality], "&gt;= " &amp; L33) - COUNTIF(Vertices[Closeness Centrality], "&gt;=" &amp; L38)</f>
        <v>0</v>
      </c>
      <c r="N33" s="73"/>
      <c r="O33" s="74">
        <f>COUNTIF(Vertices[Eigenvector Centrality], "&gt;= " &amp; N33) - COUNTIF(Vertices[Eigenvector Centrality], "&gt;=" &amp; N38)</f>
        <v>0</v>
      </c>
      <c r="P33" s="73"/>
      <c r="Q33" s="74">
        <f>COUNTIF(Vertices[Eigenvector Centrality], "&gt;= " &amp; P33) - COUNTIF(Vertices[Eigenvector Centrality], "&gt;=" &amp; P38)</f>
        <v>0</v>
      </c>
      <c r="R33" s="73"/>
      <c r="S33" s="75">
        <f>COUNTIF(Vertices[Clustering Coefficient], "&gt;= " &amp; R33) - COUNTIF(Vertices[Clustering Coefficient], "&gt;=" &amp; R38)</f>
        <v>0</v>
      </c>
      <c r="T33" s="73"/>
      <c r="U33" s="74">
        <f>COUNTIF(Vertices[Clustering Coefficient], "&gt;= " &amp; T33) - COUNTIF(Vertices[Clustering Coefficient], "&gt;=" &amp; T38)</f>
        <v>0</v>
      </c>
    </row>
    <row r="34" spans="1:21" x14ac:dyDescent="0.25">
      <c r="D34" s="32"/>
      <c r="E34" s="3">
        <f>COUNTIF(Vertices[Degree], "&gt;= " &amp; D34) - COUNTIF(Vertices[Degree], "&gt;=" &amp; D35)</f>
        <v>0</v>
      </c>
      <c r="F34" s="73"/>
      <c r="G34" s="74">
        <f>COUNTIF(Vertices[In-Degree], "&gt;= " &amp; F34) - COUNTIF(Vertices[In-Degree], "&gt;=" &amp; F35)</f>
        <v>0</v>
      </c>
      <c r="H34" s="73"/>
      <c r="I34" s="74">
        <f>COUNTIF(Vertices[Out-Degree], "&gt;= " &amp; H34) - COUNTIF(Vertices[Out-Degree], "&gt;=" &amp; H35)</f>
        <v>0</v>
      </c>
      <c r="J34" s="73"/>
      <c r="K34" s="74">
        <f>COUNTIF(Vertices[Betweenness Centrality], "&gt;= " &amp; J34) - COUNTIF(Vertices[Betweenness Centrality], "&gt;=" &amp; J35)</f>
        <v>0</v>
      </c>
      <c r="L34" s="73"/>
      <c r="M34" s="74">
        <f>COUNTIF(Vertices[Closeness Centrality], "&gt;= " &amp; L34) - COUNTIF(Vertices[Closeness Centrality], "&gt;=" &amp; L35)</f>
        <v>0</v>
      </c>
      <c r="N34" s="73"/>
      <c r="O34" s="74">
        <f>COUNTIF(Vertices[Eigenvector Centrality], "&gt;= " &amp; N34) - COUNTIF(Vertices[Eigenvector Centrality], "&gt;=" &amp; N35)</f>
        <v>0</v>
      </c>
      <c r="P34" s="73"/>
      <c r="Q34" s="74">
        <f>COUNTIF(Vertices[Eigenvector Centrality], "&gt;= " &amp; P34) - COUNTIF(Vertices[Eigenvector Centrality], "&gt;=" &amp; P35)</f>
        <v>0</v>
      </c>
      <c r="R34" s="73"/>
      <c r="S34" s="75">
        <f>COUNTIF(Vertices[Clustering Coefficient], "&gt;= " &amp; R34) - COUNTIF(Vertices[Clustering Coefficient], "&gt;=" &amp; R35)</f>
        <v>0</v>
      </c>
      <c r="T34" s="73"/>
      <c r="U34" s="74">
        <f>COUNTIF(Vertices[Clustering Coefficient], "&gt;= " &amp; T34) - COUNTIF(Vertices[Clustering Coefficient], "&gt;=" &amp; T35)</f>
        <v>0</v>
      </c>
    </row>
    <row r="35" spans="1:21" x14ac:dyDescent="0.25">
      <c r="D35" s="32"/>
      <c r="E35" s="3">
        <f>COUNTIF(Vertices[Degree], "&gt;= " &amp; D35) - COUNTIF(Vertices[Degree], "&gt;=" &amp; D36)</f>
        <v>0</v>
      </c>
      <c r="F35" s="73"/>
      <c r="G35" s="74">
        <f>COUNTIF(Vertices[In-Degree], "&gt;= " &amp; F35) - COUNTIF(Vertices[In-Degree], "&gt;=" &amp; F36)</f>
        <v>0</v>
      </c>
      <c r="H35" s="73"/>
      <c r="I35" s="74">
        <f>COUNTIF(Vertices[Out-Degree], "&gt;= " &amp; H35) - COUNTIF(Vertices[Out-Degree], "&gt;=" &amp; H36)</f>
        <v>0</v>
      </c>
      <c r="J35" s="73"/>
      <c r="K35" s="74">
        <f>COUNTIF(Vertices[Betweenness Centrality], "&gt;= " &amp; J35) - COUNTIF(Vertices[Betweenness Centrality], "&gt;=" &amp; J36)</f>
        <v>0</v>
      </c>
      <c r="L35" s="73"/>
      <c r="M35" s="74">
        <f>COUNTIF(Vertices[Closeness Centrality], "&gt;= " &amp; L35) - COUNTIF(Vertices[Closeness Centrality], "&gt;=" &amp; L36)</f>
        <v>0</v>
      </c>
      <c r="N35" s="73"/>
      <c r="O35" s="74">
        <f>COUNTIF(Vertices[Eigenvector Centrality], "&gt;= " &amp; N35) - COUNTIF(Vertices[Eigenvector Centrality], "&gt;=" &amp; N36)</f>
        <v>0</v>
      </c>
      <c r="P35" s="73"/>
      <c r="Q35" s="74">
        <f>COUNTIF(Vertices[Eigenvector Centrality], "&gt;= " &amp; P35) - COUNTIF(Vertices[Eigenvector Centrality], "&gt;=" &amp; P36)</f>
        <v>0</v>
      </c>
      <c r="R35" s="73"/>
      <c r="S35" s="75">
        <f>COUNTIF(Vertices[Clustering Coefficient], "&gt;= " &amp; R35) - COUNTIF(Vertices[Clustering Coefficient], "&gt;=" &amp; R36)</f>
        <v>0</v>
      </c>
      <c r="T35" s="73"/>
      <c r="U35" s="74">
        <f>COUNTIF(Vertices[Clustering Coefficient], "&gt;= " &amp; T35) - COUNTIF(Vertices[Clustering Coefficient], "&gt;=" &amp; T36)</f>
        <v>0</v>
      </c>
    </row>
    <row r="36" spans="1:21" x14ac:dyDescent="0.25">
      <c r="D36" s="32"/>
      <c r="E36" s="3">
        <f>COUNTIF(Vertices[Degree], "&gt;= " &amp; D36) - COUNTIF(Vertices[Degree], "&gt;=" &amp; D37)</f>
        <v>0</v>
      </c>
      <c r="F36" s="73"/>
      <c r="G36" s="74">
        <f>COUNTIF(Vertices[In-Degree], "&gt;= " &amp; F36) - COUNTIF(Vertices[In-Degree], "&gt;=" &amp; F37)</f>
        <v>0</v>
      </c>
      <c r="H36" s="73"/>
      <c r="I36" s="74">
        <f>COUNTIF(Vertices[Out-Degree], "&gt;= " &amp; H36) - COUNTIF(Vertices[Out-Degree], "&gt;=" &amp; H37)</f>
        <v>0</v>
      </c>
      <c r="J36" s="73"/>
      <c r="K36" s="74">
        <f>COUNTIF(Vertices[Betweenness Centrality], "&gt;= " &amp; J36) - COUNTIF(Vertices[Betweenness Centrality], "&gt;=" &amp; J37)</f>
        <v>0</v>
      </c>
      <c r="L36" s="73"/>
      <c r="M36" s="74">
        <f>COUNTIF(Vertices[Closeness Centrality], "&gt;= " &amp; L36) - COUNTIF(Vertices[Closeness Centrality], "&gt;=" &amp; L37)</f>
        <v>0</v>
      </c>
      <c r="N36" s="73"/>
      <c r="O36" s="74">
        <f>COUNTIF(Vertices[Eigenvector Centrality], "&gt;= " &amp; N36) - COUNTIF(Vertices[Eigenvector Centrality], "&gt;=" &amp; N37)</f>
        <v>0</v>
      </c>
      <c r="P36" s="73"/>
      <c r="Q36" s="74">
        <f>COUNTIF(Vertices[Eigenvector Centrality], "&gt;= " &amp; P36) - COUNTIF(Vertices[Eigenvector Centrality], "&gt;=" &amp; P37)</f>
        <v>0</v>
      </c>
      <c r="R36" s="73"/>
      <c r="S36" s="75">
        <f>COUNTIF(Vertices[Clustering Coefficient], "&gt;= " &amp; R36) - COUNTIF(Vertices[Clustering Coefficient], "&gt;=" &amp; R37)</f>
        <v>0</v>
      </c>
      <c r="T36" s="73"/>
      <c r="U36" s="74">
        <f>COUNTIF(Vertices[Clustering Coefficient], "&gt;= " &amp; T36) - COUNTIF(Vertices[Clustering Coefficient], "&gt;=" &amp; T37)</f>
        <v>0</v>
      </c>
    </row>
    <row r="37" spans="1:21" x14ac:dyDescent="0.25">
      <c r="D37" s="32"/>
      <c r="E37" s="3">
        <f>COUNTIF(Vertices[Degree], "&gt;= " &amp; D37) - COUNTIF(Vertices[Degree], "&gt;=" &amp; D38)</f>
        <v>0</v>
      </c>
      <c r="F37" s="73"/>
      <c r="G37" s="74">
        <f>COUNTIF(Vertices[In-Degree], "&gt;= " &amp; F37) - COUNTIF(Vertices[In-Degree], "&gt;=" &amp; F38)</f>
        <v>0</v>
      </c>
      <c r="H37" s="73"/>
      <c r="I37" s="74">
        <f>COUNTIF(Vertices[Out-Degree], "&gt;= " &amp; H37) - COUNTIF(Vertices[Out-Degree], "&gt;=" &amp; H38)</f>
        <v>0</v>
      </c>
      <c r="J37" s="73"/>
      <c r="K37" s="74">
        <f>COUNTIF(Vertices[Betweenness Centrality], "&gt;= " &amp; J37) - COUNTIF(Vertices[Betweenness Centrality], "&gt;=" &amp; J38)</f>
        <v>0</v>
      </c>
      <c r="L37" s="73"/>
      <c r="M37" s="74">
        <f>COUNTIF(Vertices[Closeness Centrality], "&gt;= " &amp; L37) - COUNTIF(Vertices[Closeness Centrality], "&gt;=" &amp; L38)</f>
        <v>0</v>
      </c>
      <c r="N37" s="73"/>
      <c r="O37" s="74">
        <f>COUNTIF(Vertices[Eigenvector Centrality], "&gt;= " &amp; N37) - COUNTIF(Vertices[Eigenvector Centrality], "&gt;=" &amp; N38)</f>
        <v>0</v>
      </c>
      <c r="P37" s="73"/>
      <c r="Q37" s="74">
        <f>COUNTIF(Vertices[Eigenvector Centrality], "&gt;= " &amp; P37) - COUNTIF(Vertices[Eigenvector Centrality], "&gt;=" &amp; P38)</f>
        <v>0</v>
      </c>
      <c r="R37" s="73"/>
      <c r="S37" s="75">
        <f>COUNTIF(Vertices[Clustering Coefficient], "&gt;= " &amp; R37) - COUNTIF(Vertices[Clustering Coefficient], "&gt;=" &amp; R38)</f>
        <v>0</v>
      </c>
      <c r="T37" s="73"/>
      <c r="U37" s="74">
        <f>COUNTIF(Vertices[Clustering Coefficient], "&gt;= " &amp; T37) - COUNTIF(Vertices[Clustering Coefficient], "&gt;=" &amp; T38)</f>
        <v>0</v>
      </c>
    </row>
    <row r="38" spans="1:21" x14ac:dyDescent="0.25">
      <c r="D38" s="32"/>
      <c r="E38" s="3">
        <f>COUNTIF(Vertices[Degree], "&gt;= " &amp; D38) - COUNTIF(Vertices[Degree], "&gt;=" &amp; D40)</f>
        <v>-3</v>
      </c>
      <c r="F38" s="73"/>
      <c r="G38" s="74">
        <f>COUNTIF(Vertices[In-Degree], "&gt;= " &amp; F38) - COUNTIF(Vertices[In-Degree], "&gt;=" &amp; F40)</f>
        <v>0</v>
      </c>
      <c r="H38" s="73"/>
      <c r="I38" s="74">
        <f>COUNTIF(Vertices[Out-Degree], "&gt;= " &amp; H38) - COUNTIF(Vertices[Out-Degree], "&gt;=" &amp; H40)</f>
        <v>0</v>
      </c>
      <c r="J38" s="73"/>
      <c r="K38" s="74">
        <f>COUNTIF(Vertices[Betweenness Centrality], "&gt;= " &amp; J38) - COUNTIF(Vertices[Betweenness Centrality], "&gt;=" &amp; J40)</f>
        <v>-2</v>
      </c>
      <c r="L38" s="73"/>
      <c r="M38" s="74">
        <f>COUNTIF(Vertices[Closeness Centrality], "&gt;= " &amp; L38) - COUNTIF(Vertices[Closeness Centrality], "&gt;=" &amp; L40)</f>
        <v>-2</v>
      </c>
      <c r="N38" s="73"/>
      <c r="O38" s="74">
        <f>COUNTIF(Vertices[Eigenvector Centrality], "&gt;= " &amp; N38) - COUNTIF(Vertices[Eigenvector Centrality], "&gt;=" &amp; N40)</f>
        <v>-6</v>
      </c>
      <c r="P38" s="73"/>
      <c r="Q38" s="74">
        <f>COUNTIF(Vertices[Eigenvector Centrality], "&gt;= " &amp; P38) - COUNTIF(Vertices[Eigenvector Centrality], "&gt;=" &amp; P40)</f>
        <v>0</v>
      </c>
      <c r="R38" s="73"/>
      <c r="S38" s="75">
        <f>COUNTIF(Vertices[Clustering Coefficient], "&gt;= " &amp; R38) - COUNTIF(Vertices[Clustering Coefficient], "&gt;=" &amp; R40)</f>
        <v>-11</v>
      </c>
      <c r="T38" s="73"/>
      <c r="U38" s="74">
        <f ca="1">COUNTIF(Vertices[Clustering Coefficient], "&gt;= " &amp; T38) - COUNTIF(Vertices[Clustering Coefficient], "&gt;=" &amp; T40)</f>
        <v>0</v>
      </c>
    </row>
    <row r="39" spans="1:21" x14ac:dyDescent="0.25">
      <c r="D39" s="32"/>
      <c r="E39" s="3">
        <f>COUNTIF(Vertices[Degree], "&gt;= " &amp; D39) - COUNTIF(Vertices[Degree], "&gt;=" &amp; D40)</f>
        <v>-3</v>
      </c>
      <c r="F39" s="73"/>
      <c r="G39" s="74">
        <f>COUNTIF(Vertices[In-Degree], "&gt;= " &amp; F39) - COUNTIF(Vertices[In-Degree], "&gt;=" &amp; F40)</f>
        <v>0</v>
      </c>
      <c r="H39" s="73"/>
      <c r="I39" s="74">
        <f>COUNTIF(Vertices[Out-Degree], "&gt;= " &amp; H39) - COUNTIF(Vertices[Out-Degree], "&gt;=" &amp; H40)</f>
        <v>0</v>
      </c>
      <c r="J39" s="73"/>
      <c r="K39" s="74">
        <f>COUNTIF(Vertices[Betweenness Centrality], "&gt;= " &amp; J39) - COUNTIF(Vertices[Betweenness Centrality], "&gt;=" &amp; J40)</f>
        <v>-2</v>
      </c>
      <c r="L39" s="73"/>
      <c r="M39" s="74">
        <f>COUNTIF(Vertices[Closeness Centrality], "&gt;= " &amp; L39) - COUNTIF(Vertices[Closeness Centrality], "&gt;=" &amp; L40)</f>
        <v>-2</v>
      </c>
      <c r="N39" s="73"/>
      <c r="O39" s="74">
        <f>COUNTIF(Vertices[Eigenvector Centrality], "&gt;= " &amp; N39) - COUNTIF(Vertices[Eigenvector Centrality], "&gt;=" &amp; N40)</f>
        <v>-6</v>
      </c>
      <c r="P39" s="73"/>
      <c r="Q39" s="74">
        <f>COUNTIF(Vertices[Eigenvector Centrality], "&gt;= " &amp; P39) - COUNTIF(Vertices[Eigenvector Centrality], "&gt;=" &amp; P40)</f>
        <v>0</v>
      </c>
      <c r="R39" s="73"/>
      <c r="S39" s="75">
        <f>COUNTIF(Vertices[Clustering Coefficient], "&gt;= " &amp; R39) - COUNTIF(Vertices[Clustering Coefficient], "&gt;=" &amp; R40)</f>
        <v>-11</v>
      </c>
      <c r="T39" s="73"/>
      <c r="U39" s="74">
        <f ca="1">COUNTIF(Vertices[Clustering Coefficient], "&gt;= " &amp; T39) - COUNTIF(Vertices[Clustering Coefficient], "&gt;=" &amp; T40)</f>
        <v>0</v>
      </c>
    </row>
    <row r="40" spans="1:21" x14ac:dyDescent="0.25">
      <c r="D40" s="32">
        <f>D28+($D$57-$D$2)/BinDivisor</f>
        <v>5.2545454545454566</v>
      </c>
      <c r="E40" s="3">
        <f>COUNTIF(Vertices[Degree], "&gt;= " &amp; D40) - COUNTIF(Vertices[Degree], "&gt;=" &amp; D41)</f>
        <v>0</v>
      </c>
      <c r="F40" s="37">
        <f>F28+($F$57-$F$2)/BinDivisor</f>
        <v>0</v>
      </c>
      <c r="G40" s="38">
        <f>COUNTIF(Vertices[In-Degree], "&gt;= " &amp; F40) - COUNTIF(Vertices[In-Degree], "&gt;=" &amp; F41)</f>
        <v>0</v>
      </c>
      <c r="H40" s="37">
        <f>H28+($H$57-$H$2)/BinDivisor</f>
        <v>0</v>
      </c>
      <c r="I40" s="38">
        <f>COUNTIF(Vertices[Out-Degree], "&gt;= " &amp; H40) - COUNTIF(Vertices[Out-Degree], "&gt;=" &amp; H41)</f>
        <v>0</v>
      </c>
      <c r="J40" s="37">
        <f>J28+($J$57-$J$2)/BinDivisor</f>
        <v>77.803030145454557</v>
      </c>
      <c r="K40" s="38">
        <f>COUNTIF(Vertices[Betweenness Centrality], "&gt;= " &amp; J40) - COUNTIF(Vertices[Betweenness Centrality], "&gt;=" &amp; J41)</f>
        <v>0</v>
      </c>
      <c r="L40" s="37">
        <f>L28+($L$57-$L$2)/BinDivisor</f>
        <v>0.4779478000000002</v>
      </c>
      <c r="M40" s="38">
        <f>COUNTIF(Vertices[Closeness Centrality], "&gt;= " &amp; L40) - COUNTIF(Vertices[Closeness Centrality], "&gt;=" &amp; L41)</f>
        <v>0</v>
      </c>
      <c r="N40" s="37">
        <f>N28+($N$57-$N$2)/BinDivisor</f>
        <v>6.256119999999997E-2</v>
      </c>
      <c r="O40" s="38">
        <f>COUNTIF(Vertices[Eigenvector Centrality], "&gt;= " &amp; N40) - COUNTIF(Vertices[Eigenvector Centrality], "&gt;=" &amp; N41)</f>
        <v>0</v>
      </c>
      <c r="P40" s="37">
        <f>P28+($P$57-$P$2)/BinDivisor</f>
        <v>1.4579268909090903</v>
      </c>
      <c r="Q40" s="38">
        <f>COUNTIF(Vertices[PageRank], "&gt;= " &amp; P40) - COUNTIF(Vertices[PageRank], "&gt;=" &amp; P41)</f>
        <v>0</v>
      </c>
      <c r="R40" s="37">
        <f>R28+($R$57-$R$2)/BinDivisor</f>
        <v>0.47272727272727283</v>
      </c>
      <c r="S40" s="43">
        <f>COUNTIF(Vertices[Clustering Coefficient], "&gt;= " &amp; R40) - COUNTIF(Vertices[Clustering Coefficient], "&gt;=" &amp; R41)</f>
        <v>0</v>
      </c>
      <c r="T40" s="37" t="e">
        <f ca="1">T28+($T$57-$T$2)/BinDivisor</f>
        <v>#REF!</v>
      </c>
      <c r="U40" s="38" t="e">
        <f t="shared" ca="1" si="0"/>
        <v>#REF!</v>
      </c>
    </row>
    <row r="41" spans="1:21" x14ac:dyDescent="0.25">
      <c r="A41" t="s">
        <v>164</v>
      </c>
      <c r="B41" t="s">
        <v>17</v>
      </c>
      <c r="D41" s="32">
        <f t="shared" ref="D41:D56" si="10">D40+($D$57-$D$2)/BinDivisor</f>
        <v>5.4181818181818207</v>
      </c>
      <c r="E41" s="3">
        <f>COUNTIF(Vertices[Degree], "&gt;= " &amp; D41) - COUNTIF(Vertices[Degree], "&gt;=" &amp; D42)</f>
        <v>0</v>
      </c>
      <c r="F41" s="39">
        <f t="shared" ref="F41:F56" si="11">F40+($F$57-$F$2)/BinDivisor</f>
        <v>0</v>
      </c>
      <c r="G41" s="40">
        <f>COUNTIF(Vertices[In-Degree], "&gt;= " &amp; F41) - COUNTIF(Vertices[In-Degree], "&gt;=" &amp; F42)</f>
        <v>0</v>
      </c>
      <c r="H41" s="39">
        <f t="shared" ref="H41:H56" si="12">H40+($H$57-$H$2)/BinDivisor</f>
        <v>0</v>
      </c>
      <c r="I41" s="40">
        <f>COUNTIF(Vertices[Out-Degree], "&gt;= " &amp; H41) - COUNTIF(Vertices[Out-Degree], "&gt;=" &amp; H42)</f>
        <v>0</v>
      </c>
      <c r="J41" s="39">
        <f t="shared" ref="J41:J56" si="13">J40+($J$57-$J$2)/BinDivisor</f>
        <v>80.795454381818189</v>
      </c>
      <c r="K41" s="40">
        <f>COUNTIF(Vertices[Betweenness Centrality], "&gt;= " &amp; J41) - COUNTIF(Vertices[Betweenness Centrality], "&gt;=" &amp; J42)</f>
        <v>0</v>
      </c>
      <c r="L41" s="39">
        <f t="shared" ref="L41:L56" si="14">L40+($L$57-$L$2)/BinDivisor</f>
        <v>0.49594960000000021</v>
      </c>
      <c r="M41" s="40">
        <f>COUNTIF(Vertices[Closeness Centrality], "&gt;= " &amp; L41) - COUNTIF(Vertices[Closeness Centrality], "&gt;=" &amp; L42)</f>
        <v>0</v>
      </c>
      <c r="N41" s="39">
        <f t="shared" ref="N41:N56" si="15">N40+($N$57-$N$2)/BinDivisor</f>
        <v>6.4967399999999967E-2</v>
      </c>
      <c r="O41" s="40">
        <f>COUNTIF(Vertices[Eigenvector Centrality], "&gt;= " &amp; N41) - COUNTIF(Vertices[Eigenvector Centrality], "&gt;=" &amp; N42)</f>
        <v>0</v>
      </c>
      <c r="P41" s="39">
        <f t="shared" ref="P41:P56" si="16">P40+($P$57-$P$2)/BinDivisor</f>
        <v>1.499521963636363</v>
      </c>
      <c r="Q41" s="40">
        <f>COUNTIF(Vertices[PageRank], "&gt;= " &amp; P41) - COUNTIF(Vertices[PageRank], "&gt;=" &amp; P42)</f>
        <v>0</v>
      </c>
      <c r="R41" s="39">
        <f t="shared" ref="R41:R56" si="17">R40+($R$57-$R$2)/BinDivisor</f>
        <v>0.49090909090909102</v>
      </c>
      <c r="S41" s="44">
        <f>COUNTIF(Vertices[Clustering Coefficient], "&gt;= " &amp; R41) - COUNTIF(Vertices[Clustering Coefficient], "&gt;=" &amp; R42)</f>
        <v>2</v>
      </c>
      <c r="T41" s="39" t="e">
        <f t="shared" ref="T41:T56" ca="1" si="18">T40+($T$57-$T$2)/BinDivisor</f>
        <v>#REF!</v>
      </c>
      <c r="U41" s="40" t="e">
        <f t="shared" ca="1" si="0"/>
        <v>#REF!</v>
      </c>
    </row>
    <row r="42" spans="1:21" x14ac:dyDescent="0.25">
      <c r="A42" s="33"/>
      <c r="B42" s="33"/>
      <c r="D42" s="32">
        <f t="shared" si="10"/>
        <v>5.5818181818181847</v>
      </c>
      <c r="E42" s="3">
        <f>COUNTIF(Vertices[Degree], "&gt;= " &amp; D42) - COUNTIF(Vertices[Degree], "&gt;=" &amp; D43)</f>
        <v>0</v>
      </c>
      <c r="F42" s="37">
        <f t="shared" si="11"/>
        <v>0</v>
      </c>
      <c r="G42" s="38">
        <f>COUNTIF(Vertices[In-Degree], "&gt;= " &amp; F42) - COUNTIF(Vertices[In-Degree], "&gt;=" &amp; F43)</f>
        <v>0</v>
      </c>
      <c r="H42" s="37">
        <f t="shared" si="12"/>
        <v>0</v>
      </c>
      <c r="I42" s="38">
        <f>COUNTIF(Vertices[Out-Degree], "&gt;= " &amp; H42) - COUNTIF(Vertices[Out-Degree], "&gt;=" &amp; H43)</f>
        <v>0</v>
      </c>
      <c r="J42" s="37">
        <f t="shared" si="13"/>
        <v>83.787878618181821</v>
      </c>
      <c r="K42" s="38">
        <f>COUNTIF(Vertices[Betweenness Centrality], "&gt;= " &amp; J42) - COUNTIF(Vertices[Betweenness Centrality], "&gt;=" &amp; J43)</f>
        <v>0</v>
      </c>
      <c r="L42" s="37">
        <f t="shared" si="14"/>
        <v>0.51395140000000017</v>
      </c>
      <c r="M42" s="38">
        <f>COUNTIF(Vertices[Closeness Centrality], "&gt;= " &amp; L42) - COUNTIF(Vertices[Closeness Centrality], "&gt;=" &amp; L43)</f>
        <v>0</v>
      </c>
      <c r="N42" s="37">
        <f t="shared" si="15"/>
        <v>6.7373599999999964E-2</v>
      </c>
      <c r="O42" s="38">
        <f>COUNTIF(Vertices[Eigenvector Centrality], "&gt;= " &amp; N42) - COUNTIF(Vertices[Eigenvector Centrality], "&gt;=" &amp; N43)</f>
        <v>0</v>
      </c>
      <c r="P42" s="37">
        <f t="shared" si="16"/>
        <v>1.5411170363636357</v>
      </c>
      <c r="Q42" s="38">
        <f>COUNTIF(Vertices[PageRank], "&gt;= " &amp; P42) - COUNTIF(Vertices[PageRank], "&gt;=" &amp; P43)</f>
        <v>0</v>
      </c>
      <c r="R42" s="37">
        <f t="shared" si="17"/>
        <v>0.50909090909090915</v>
      </c>
      <c r="S42" s="43">
        <f>COUNTIF(Vertices[Clustering Coefficient], "&gt;= " &amp; R42) - COUNTIF(Vertices[Clustering Coefficient], "&gt;=" &amp; R43)</f>
        <v>0</v>
      </c>
      <c r="T42" s="37" t="e">
        <f t="shared" ca="1" si="18"/>
        <v>#REF!</v>
      </c>
      <c r="U42" s="38" t="e">
        <f t="shared" ca="1" si="0"/>
        <v>#REF!</v>
      </c>
    </row>
    <row r="43" spans="1:21" x14ac:dyDescent="0.25">
      <c r="A43" s="33"/>
      <c r="B43" s="33"/>
      <c r="D43" s="32">
        <f t="shared" si="10"/>
        <v>5.7454545454545487</v>
      </c>
      <c r="E43" s="3">
        <f>COUNTIF(Vertices[Degree], "&gt;= " &amp; D43) - COUNTIF(Vertices[Degree], "&gt;=" &amp; D44)</f>
        <v>0</v>
      </c>
      <c r="F43" s="39">
        <f t="shared" si="11"/>
        <v>0</v>
      </c>
      <c r="G43" s="40">
        <f>COUNTIF(Vertices[In-Degree], "&gt;= " &amp; F43) - COUNTIF(Vertices[In-Degree], "&gt;=" &amp; F44)</f>
        <v>0</v>
      </c>
      <c r="H43" s="39">
        <f t="shared" si="12"/>
        <v>0</v>
      </c>
      <c r="I43" s="40">
        <f>COUNTIF(Vertices[Out-Degree], "&gt;= " &amp; H43) - COUNTIF(Vertices[Out-Degree], "&gt;=" &amp; H44)</f>
        <v>0</v>
      </c>
      <c r="J43" s="39">
        <f t="shared" si="13"/>
        <v>86.780302854545454</v>
      </c>
      <c r="K43" s="40">
        <f>COUNTIF(Vertices[Betweenness Centrality], "&gt;= " &amp; J43) - COUNTIF(Vertices[Betweenness Centrality], "&gt;=" &amp; J44)</f>
        <v>0</v>
      </c>
      <c r="L43" s="39">
        <f t="shared" si="14"/>
        <v>0.53195320000000013</v>
      </c>
      <c r="M43" s="40">
        <f>COUNTIF(Vertices[Closeness Centrality], "&gt;= " &amp; L43) - COUNTIF(Vertices[Closeness Centrality], "&gt;=" &amp; L44)</f>
        <v>0</v>
      </c>
      <c r="N43" s="39">
        <f t="shared" si="15"/>
        <v>6.9779799999999961E-2</v>
      </c>
      <c r="O43" s="40">
        <f>COUNTIF(Vertices[Eigenvector Centrality], "&gt;= " &amp; N43) - COUNTIF(Vertices[Eigenvector Centrality], "&gt;=" &amp; N44)</f>
        <v>1</v>
      </c>
      <c r="P43" s="39">
        <f t="shared" si="16"/>
        <v>1.5827121090909084</v>
      </c>
      <c r="Q43" s="40">
        <f>COUNTIF(Vertices[PageRank], "&gt;= " &amp; P43) - COUNTIF(Vertices[PageRank], "&gt;=" &amp; P44)</f>
        <v>0</v>
      </c>
      <c r="R43" s="39">
        <f t="shared" si="17"/>
        <v>0.52727272727272734</v>
      </c>
      <c r="S43" s="44">
        <f>COUNTIF(Vertices[Clustering Coefficient], "&gt;= " &amp; R43) - COUNTIF(Vertices[Clustering Coefficient], "&gt;=" &amp; R44)</f>
        <v>0</v>
      </c>
      <c r="T43" s="39" t="e">
        <f t="shared" ca="1" si="18"/>
        <v>#REF!</v>
      </c>
      <c r="U43" s="40" t="e">
        <f t="shared" ca="1" si="0"/>
        <v>#REF!</v>
      </c>
    </row>
    <row r="44" spans="1:21" x14ac:dyDescent="0.25">
      <c r="A44" s="33"/>
      <c r="B44" s="33"/>
      <c r="D44" s="32">
        <f t="shared" si="10"/>
        <v>5.9090909090909127</v>
      </c>
      <c r="E44" s="3">
        <f>COUNTIF(Vertices[Degree], "&gt;= " &amp; D44) - COUNTIF(Vertices[Degree], "&gt;=" &amp; D45)</f>
        <v>1</v>
      </c>
      <c r="F44" s="37">
        <f t="shared" si="11"/>
        <v>0</v>
      </c>
      <c r="G44" s="38">
        <f>COUNTIF(Vertices[In-Degree], "&gt;= " &amp; F44) - COUNTIF(Vertices[In-Degree], "&gt;=" &amp; F45)</f>
        <v>0</v>
      </c>
      <c r="H44" s="37">
        <f t="shared" si="12"/>
        <v>0</v>
      </c>
      <c r="I44" s="38">
        <f>COUNTIF(Vertices[Out-Degree], "&gt;= " &amp; H44) - COUNTIF(Vertices[Out-Degree], "&gt;=" &amp; H45)</f>
        <v>0</v>
      </c>
      <c r="J44" s="37">
        <f t="shared" si="13"/>
        <v>89.772727090909086</v>
      </c>
      <c r="K44" s="38">
        <f>COUNTIF(Vertices[Betweenness Centrality], "&gt;= " &amp; J44) - COUNTIF(Vertices[Betweenness Centrality], "&gt;=" &amp; J45)</f>
        <v>1</v>
      </c>
      <c r="L44" s="37">
        <f t="shared" si="14"/>
        <v>0.54995500000000008</v>
      </c>
      <c r="M44" s="38">
        <f>COUNTIF(Vertices[Closeness Centrality], "&gt;= " &amp; L44) - COUNTIF(Vertices[Closeness Centrality], "&gt;=" &amp; L45)</f>
        <v>0</v>
      </c>
      <c r="N44" s="37">
        <f t="shared" si="15"/>
        <v>7.2185999999999959E-2</v>
      </c>
      <c r="O44" s="38">
        <f>COUNTIF(Vertices[Eigenvector Centrality], "&gt;= " &amp; N44) - COUNTIF(Vertices[Eigenvector Centrality], "&gt;=" &amp; N45)</f>
        <v>0</v>
      </c>
      <c r="P44" s="37">
        <f t="shared" si="16"/>
        <v>1.6243071818181811</v>
      </c>
      <c r="Q44" s="38">
        <f>COUNTIF(Vertices[PageRank], "&gt;= " &amp; P44) - COUNTIF(Vertices[PageRank], "&gt;=" &amp; P45)</f>
        <v>0</v>
      </c>
      <c r="R44" s="37">
        <f t="shared" si="17"/>
        <v>0.54545454545454553</v>
      </c>
      <c r="S44" s="43">
        <f>COUNTIF(Vertices[Clustering Coefficient], "&gt;= " &amp; R44) - COUNTIF(Vertices[Clustering Coefficient], "&gt;=" &amp; R45)</f>
        <v>0</v>
      </c>
      <c r="T44" s="37" t="e">
        <f t="shared" ca="1" si="18"/>
        <v>#REF!</v>
      </c>
      <c r="U44" s="38" t="e">
        <f t="shared" ca="1" si="0"/>
        <v>#REF!</v>
      </c>
    </row>
    <row r="45" spans="1:21" x14ac:dyDescent="0.25">
      <c r="D45" s="32">
        <f t="shared" si="10"/>
        <v>6.0727272727272767</v>
      </c>
      <c r="E45" s="3">
        <f>COUNTIF(Vertices[Degree], "&gt;= " &amp; D45) - COUNTIF(Vertices[Degree], "&gt;=" &amp; D46)</f>
        <v>0</v>
      </c>
      <c r="F45" s="39">
        <f t="shared" si="11"/>
        <v>0</v>
      </c>
      <c r="G45" s="40">
        <f>COUNTIF(Vertices[In-Degree], "&gt;= " &amp; F45) - COUNTIF(Vertices[In-Degree], "&gt;=" &amp; F46)</f>
        <v>0</v>
      </c>
      <c r="H45" s="39">
        <f t="shared" si="12"/>
        <v>0</v>
      </c>
      <c r="I45" s="40">
        <f>COUNTIF(Vertices[Out-Degree], "&gt;= " &amp; H45) - COUNTIF(Vertices[Out-Degree], "&gt;=" &amp; H46)</f>
        <v>0</v>
      </c>
      <c r="J45" s="39">
        <f t="shared" si="13"/>
        <v>92.765151327272719</v>
      </c>
      <c r="K45" s="40">
        <f>COUNTIF(Vertices[Betweenness Centrality], "&gt;= " &amp; J45) - COUNTIF(Vertices[Betweenness Centrality], "&gt;=" &amp; J46)</f>
        <v>0</v>
      </c>
      <c r="L45" s="39">
        <f t="shared" si="14"/>
        <v>0.56795680000000004</v>
      </c>
      <c r="M45" s="40">
        <f>COUNTIF(Vertices[Closeness Centrality], "&gt;= " &amp; L45) - COUNTIF(Vertices[Closeness Centrality], "&gt;=" &amp; L46)</f>
        <v>0</v>
      </c>
      <c r="N45" s="39">
        <f t="shared" si="15"/>
        <v>7.4592199999999956E-2</v>
      </c>
      <c r="O45" s="40">
        <f>COUNTIF(Vertices[Eigenvector Centrality], "&gt;= " &amp; N45) - COUNTIF(Vertices[Eigenvector Centrality], "&gt;=" &amp; N46)</f>
        <v>3</v>
      </c>
      <c r="P45" s="39">
        <f t="shared" si="16"/>
        <v>1.6659022545454538</v>
      </c>
      <c r="Q45" s="40">
        <f>COUNTIF(Vertices[PageRank], "&gt;= " &amp; P45) - COUNTIF(Vertices[PageRank], "&gt;=" &amp; P46)</f>
        <v>0</v>
      </c>
      <c r="R45" s="39">
        <f t="shared" si="17"/>
        <v>0.56363636363636371</v>
      </c>
      <c r="S45" s="44">
        <f>COUNTIF(Vertices[Clustering Coefficient], "&gt;= " &amp; R45) - COUNTIF(Vertices[Clustering Coefficient], "&gt;=" &amp; R46)</f>
        <v>0</v>
      </c>
      <c r="T45" s="39" t="e">
        <f t="shared" ca="1" si="18"/>
        <v>#REF!</v>
      </c>
      <c r="U45" s="40" t="e">
        <f t="shared" ca="1" si="0"/>
        <v>#REF!</v>
      </c>
    </row>
    <row r="46" spans="1:21" x14ac:dyDescent="0.25">
      <c r="D46" s="32">
        <f t="shared" si="10"/>
        <v>6.2363636363636408</v>
      </c>
      <c r="E46" s="3">
        <f>COUNTIF(Vertices[Degree], "&gt;= " &amp; D46) - COUNTIF(Vertices[Degree], "&gt;=" &amp; D47)</f>
        <v>0</v>
      </c>
      <c r="F46" s="37">
        <f t="shared" si="11"/>
        <v>0</v>
      </c>
      <c r="G46" s="38">
        <f>COUNTIF(Vertices[In-Degree], "&gt;= " &amp; F46) - COUNTIF(Vertices[In-Degree], "&gt;=" &amp; F47)</f>
        <v>0</v>
      </c>
      <c r="H46" s="37">
        <f t="shared" si="12"/>
        <v>0</v>
      </c>
      <c r="I46" s="38">
        <f>COUNTIF(Vertices[Out-Degree], "&gt;= " &amp; H46) - COUNTIF(Vertices[Out-Degree], "&gt;=" &amp; H47)</f>
        <v>0</v>
      </c>
      <c r="J46" s="37">
        <f t="shared" si="13"/>
        <v>95.757575563636351</v>
      </c>
      <c r="K46" s="38">
        <f>COUNTIF(Vertices[Betweenness Centrality], "&gt;= " &amp; J46) - COUNTIF(Vertices[Betweenness Centrality], "&gt;=" &amp; J47)</f>
        <v>0</v>
      </c>
      <c r="L46" s="37">
        <f t="shared" si="14"/>
        <v>0.5859586</v>
      </c>
      <c r="M46" s="38">
        <f>COUNTIF(Vertices[Closeness Centrality], "&gt;= " &amp; L46) - COUNTIF(Vertices[Closeness Centrality], "&gt;=" &amp; L47)</f>
        <v>0</v>
      </c>
      <c r="N46" s="37">
        <f t="shared" si="15"/>
        <v>7.6998399999999953E-2</v>
      </c>
      <c r="O46" s="38">
        <f>COUNTIF(Vertices[Eigenvector Centrality], "&gt;= " &amp; N46) - COUNTIF(Vertices[Eigenvector Centrality], "&gt;=" &amp; N47)</f>
        <v>0</v>
      </c>
      <c r="P46" s="37">
        <f t="shared" si="16"/>
        <v>1.7074973272727265</v>
      </c>
      <c r="Q46" s="38">
        <f>COUNTIF(Vertices[PageRank], "&gt;= " &amp; P46) - COUNTIF(Vertices[PageRank], "&gt;=" &amp; P47)</f>
        <v>0</v>
      </c>
      <c r="R46" s="37">
        <f t="shared" si="17"/>
        <v>0.5818181818181819</v>
      </c>
      <c r="S46" s="43">
        <f>COUNTIF(Vertices[Clustering Coefficient], "&gt;= " &amp; R46) - COUNTIF(Vertices[Clustering Coefficient], "&gt;=" &amp; R47)</f>
        <v>0</v>
      </c>
      <c r="T46" s="37" t="e">
        <f t="shared" ca="1" si="18"/>
        <v>#REF!</v>
      </c>
      <c r="U46" s="38" t="e">
        <f t="shared" ca="1" si="0"/>
        <v>#REF!</v>
      </c>
    </row>
    <row r="47" spans="1:21" x14ac:dyDescent="0.25">
      <c r="D47" s="32">
        <f t="shared" si="10"/>
        <v>6.4000000000000048</v>
      </c>
      <c r="E47" s="3">
        <f>COUNTIF(Vertices[Degree], "&gt;= " &amp; D47) - COUNTIF(Vertices[Degree], "&gt;=" &amp; D48)</f>
        <v>0</v>
      </c>
      <c r="F47" s="39">
        <f t="shared" si="11"/>
        <v>0</v>
      </c>
      <c r="G47" s="40">
        <f>COUNTIF(Vertices[In-Degree], "&gt;= " &amp; F47) - COUNTIF(Vertices[In-Degree], "&gt;=" &amp; F48)</f>
        <v>0</v>
      </c>
      <c r="H47" s="39">
        <f t="shared" si="12"/>
        <v>0</v>
      </c>
      <c r="I47" s="40">
        <f>COUNTIF(Vertices[Out-Degree], "&gt;= " &amp; H47) - COUNTIF(Vertices[Out-Degree], "&gt;=" &amp; H48)</f>
        <v>0</v>
      </c>
      <c r="J47" s="39">
        <f t="shared" si="13"/>
        <v>98.749999799999983</v>
      </c>
      <c r="K47" s="40">
        <f>COUNTIF(Vertices[Betweenness Centrality], "&gt;= " &amp; J47) - COUNTIF(Vertices[Betweenness Centrality], "&gt;=" &amp; J48)</f>
        <v>0</v>
      </c>
      <c r="L47" s="39">
        <f t="shared" si="14"/>
        <v>0.60396039999999995</v>
      </c>
      <c r="M47" s="40">
        <f>COUNTIF(Vertices[Closeness Centrality], "&gt;= " &amp; L47) - COUNTIF(Vertices[Closeness Centrality], "&gt;=" &amp; L48)</f>
        <v>0</v>
      </c>
      <c r="N47" s="39">
        <f t="shared" si="15"/>
        <v>7.940459999999995E-2</v>
      </c>
      <c r="O47" s="40">
        <f>COUNTIF(Vertices[Eigenvector Centrality], "&gt;= " &amp; N47) - COUNTIF(Vertices[Eigenvector Centrality], "&gt;=" &amp; N48)</f>
        <v>0</v>
      </c>
      <c r="P47" s="39">
        <f t="shared" si="16"/>
        <v>1.7490923999999992</v>
      </c>
      <c r="Q47" s="40">
        <f>COUNTIF(Vertices[PageRank], "&gt;= " &amp; P47) - COUNTIF(Vertices[PageRank], "&gt;=" &amp; P48)</f>
        <v>1</v>
      </c>
      <c r="R47" s="39">
        <f t="shared" si="17"/>
        <v>0.60000000000000009</v>
      </c>
      <c r="S47" s="44">
        <f>COUNTIF(Vertices[Clustering Coefficient], "&gt;= " &amp; R47) - COUNTIF(Vertices[Clustering Coefficient], "&gt;=" &amp; R48)</f>
        <v>0</v>
      </c>
      <c r="T47" s="39" t="e">
        <f t="shared" ca="1" si="18"/>
        <v>#REF!</v>
      </c>
      <c r="U47" s="40" t="e">
        <f t="shared" ca="1" si="0"/>
        <v>#REF!</v>
      </c>
    </row>
    <row r="48" spans="1:21" x14ac:dyDescent="0.25">
      <c r="D48" s="32">
        <f t="shared" si="10"/>
        <v>6.5636363636363688</v>
      </c>
      <c r="E48" s="3">
        <f>COUNTIF(Vertices[Degree], "&gt;= " &amp; D48) - COUNTIF(Vertices[Degree], "&gt;=" &amp; D49)</f>
        <v>0</v>
      </c>
      <c r="F48" s="37">
        <f t="shared" si="11"/>
        <v>0</v>
      </c>
      <c r="G48" s="38">
        <f>COUNTIF(Vertices[In-Degree], "&gt;= " &amp; F48) - COUNTIF(Vertices[In-Degree], "&gt;=" &amp; F49)</f>
        <v>0</v>
      </c>
      <c r="H48" s="37">
        <f t="shared" si="12"/>
        <v>0</v>
      </c>
      <c r="I48" s="38">
        <f>COUNTIF(Vertices[Out-Degree], "&gt;= " &amp; H48) - COUNTIF(Vertices[Out-Degree], "&gt;=" &amp; H49)</f>
        <v>0</v>
      </c>
      <c r="J48" s="37">
        <f t="shared" si="13"/>
        <v>101.74242403636362</v>
      </c>
      <c r="K48" s="38">
        <f>COUNTIF(Vertices[Betweenness Centrality], "&gt;= " &amp; J48) - COUNTIF(Vertices[Betweenness Centrality], "&gt;=" &amp; J49)</f>
        <v>0</v>
      </c>
      <c r="L48" s="37">
        <f t="shared" si="14"/>
        <v>0.62196219999999991</v>
      </c>
      <c r="M48" s="38">
        <f>COUNTIF(Vertices[Closeness Centrality], "&gt;= " &amp; L48) - COUNTIF(Vertices[Closeness Centrality], "&gt;=" &amp; L49)</f>
        <v>0</v>
      </c>
      <c r="N48" s="37">
        <f t="shared" si="15"/>
        <v>8.1810799999999947E-2</v>
      </c>
      <c r="O48" s="38">
        <f>COUNTIF(Vertices[Eigenvector Centrality], "&gt;= " &amp; N48) - COUNTIF(Vertices[Eigenvector Centrality], "&gt;=" &amp; N49)</f>
        <v>0</v>
      </c>
      <c r="P48" s="37">
        <f t="shared" si="16"/>
        <v>1.7906874727272719</v>
      </c>
      <c r="Q48" s="38">
        <f>COUNTIF(Vertices[PageRank], "&gt;= " &amp; P48) - COUNTIF(Vertices[PageRank], "&gt;=" &amp; P49)</f>
        <v>0</v>
      </c>
      <c r="R48" s="37">
        <f t="shared" si="17"/>
        <v>0.61818181818181828</v>
      </c>
      <c r="S48" s="43">
        <f>COUNTIF(Vertices[Clustering Coefficient], "&gt;= " &amp; R48) - COUNTIF(Vertices[Clustering Coefficient], "&gt;=" &amp; R49)</f>
        <v>0</v>
      </c>
      <c r="T48" s="37" t="e">
        <f t="shared" ca="1" si="18"/>
        <v>#REF!</v>
      </c>
      <c r="U48" s="38" t="e">
        <f t="shared" ca="1" si="0"/>
        <v>#REF!</v>
      </c>
    </row>
    <row r="49" spans="1:21" x14ac:dyDescent="0.25">
      <c r="D49" s="32">
        <f t="shared" si="10"/>
        <v>6.7272727272727328</v>
      </c>
      <c r="E49" s="3">
        <f>COUNTIF(Vertices[Degree], "&gt;= " &amp; D49) - COUNTIF(Vertices[Degree], "&gt;=" &amp; D50)</f>
        <v>0</v>
      </c>
      <c r="F49" s="39">
        <f t="shared" si="11"/>
        <v>0</v>
      </c>
      <c r="G49" s="40">
        <f>COUNTIF(Vertices[In-Degree], "&gt;= " &amp; F49) - COUNTIF(Vertices[In-Degree], "&gt;=" &amp; F50)</f>
        <v>0</v>
      </c>
      <c r="H49" s="39">
        <f t="shared" si="12"/>
        <v>0</v>
      </c>
      <c r="I49" s="40">
        <f>COUNTIF(Vertices[Out-Degree], "&gt;= " &amp; H49) - COUNTIF(Vertices[Out-Degree], "&gt;=" &amp; H50)</f>
        <v>0</v>
      </c>
      <c r="J49" s="39">
        <f t="shared" si="13"/>
        <v>104.73484827272725</v>
      </c>
      <c r="K49" s="40">
        <f>COUNTIF(Vertices[Betweenness Centrality], "&gt;= " &amp; J49) - COUNTIF(Vertices[Betweenness Centrality], "&gt;=" &amp; J50)</f>
        <v>0</v>
      </c>
      <c r="L49" s="39">
        <f t="shared" si="14"/>
        <v>0.63996399999999987</v>
      </c>
      <c r="M49" s="40">
        <f>COUNTIF(Vertices[Closeness Centrality], "&gt;= " &amp; L49) - COUNTIF(Vertices[Closeness Centrality], "&gt;=" &amp; L50)</f>
        <v>0</v>
      </c>
      <c r="N49" s="39">
        <f t="shared" si="15"/>
        <v>8.4216999999999945E-2</v>
      </c>
      <c r="O49" s="40">
        <f>COUNTIF(Vertices[Eigenvector Centrality], "&gt;= " &amp; N49) - COUNTIF(Vertices[Eigenvector Centrality], "&gt;=" &amp; N50)</f>
        <v>0</v>
      </c>
      <c r="P49" s="39">
        <f t="shared" si="16"/>
        <v>1.8322825454545446</v>
      </c>
      <c r="Q49" s="40">
        <f>COUNTIF(Vertices[PageRank], "&gt;= " &amp; P49) - COUNTIF(Vertices[PageRank], "&gt;=" &amp; P50)</f>
        <v>0</v>
      </c>
      <c r="R49" s="39">
        <f t="shared" si="17"/>
        <v>0.63636363636363646</v>
      </c>
      <c r="S49" s="44">
        <f>COUNTIF(Vertices[Clustering Coefficient], "&gt;= " &amp; R49) - COUNTIF(Vertices[Clustering Coefficient], "&gt;=" &amp; R50)</f>
        <v>0</v>
      </c>
      <c r="T49" s="39" t="e">
        <f t="shared" ca="1" si="18"/>
        <v>#REF!</v>
      </c>
      <c r="U49" s="40" t="e">
        <f t="shared" ca="1" si="0"/>
        <v>#REF!</v>
      </c>
    </row>
    <row r="50" spans="1:21" x14ac:dyDescent="0.25">
      <c r="D50" s="32">
        <f t="shared" si="10"/>
        <v>6.8909090909090969</v>
      </c>
      <c r="E50" s="3">
        <f>COUNTIF(Vertices[Degree], "&gt;= " &amp; D50) - COUNTIF(Vertices[Degree], "&gt;=" &amp; D51)</f>
        <v>0</v>
      </c>
      <c r="F50" s="37">
        <f t="shared" si="11"/>
        <v>0</v>
      </c>
      <c r="G50" s="38">
        <f>COUNTIF(Vertices[In-Degree], "&gt;= " &amp; F50) - COUNTIF(Vertices[In-Degree], "&gt;=" &amp; F51)</f>
        <v>0</v>
      </c>
      <c r="H50" s="37">
        <f t="shared" si="12"/>
        <v>0</v>
      </c>
      <c r="I50" s="38">
        <f>COUNTIF(Vertices[Out-Degree], "&gt;= " &amp; H50) - COUNTIF(Vertices[Out-Degree], "&gt;=" &amp; H51)</f>
        <v>0</v>
      </c>
      <c r="J50" s="37">
        <f t="shared" si="13"/>
        <v>107.72727250909088</v>
      </c>
      <c r="K50" s="38">
        <f>COUNTIF(Vertices[Betweenness Centrality], "&gt;= " &amp; J50) - COUNTIF(Vertices[Betweenness Centrality], "&gt;=" &amp; J51)</f>
        <v>0</v>
      </c>
      <c r="L50" s="37">
        <f t="shared" si="14"/>
        <v>0.65796579999999982</v>
      </c>
      <c r="M50" s="38">
        <f>COUNTIF(Vertices[Closeness Centrality], "&gt;= " &amp; L50) - COUNTIF(Vertices[Closeness Centrality], "&gt;=" &amp; L51)</f>
        <v>0</v>
      </c>
      <c r="N50" s="37">
        <f t="shared" si="15"/>
        <v>8.6623199999999942E-2</v>
      </c>
      <c r="O50" s="38">
        <f>COUNTIF(Vertices[Eigenvector Centrality], "&gt;= " &amp; N50) - COUNTIF(Vertices[Eigenvector Centrality], "&gt;=" &amp; N51)</f>
        <v>0</v>
      </c>
      <c r="P50" s="37">
        <f t="shared" si="16"/>
        <v>1.8738776181818173</v>
      </c>
      <c r="Q50" s="38">
        <f>COUNTIF(Vertices[PageRank], "&gt;= " &amp; P50) - COUNTIF(Vertices[PageRank], "&gt;=" &amp; P51)</f>
        <v>0</v>
      </c>
      <c r="R50" s="37">
        <f t="shared" si="17"/>
        <v>0.65454545454545465</v>
      </c>
      <c r="S50" s="43">
        <f>COUNTIF(Vertices[Clustering Coefficient], "&gt;= " &amp; R50) - COUNTIF(Vertices[Clustering Coefficient], "&gt;=" &amp; R51)</f>
        <v>2</v>
      </c>
      <c r="T50" s="37" t="e">
        <f t="shared" ca="1" si="18"/>
        <v>#REF!</v>
      </c>
      <c r="U50" s="38" t="e">
        <f t="shared" ca="1" si="0"/>
        <v>#REF!</v>
      </c>
    </row>
    <row r="51" spans="1:21" x14ac:dyDescent="0.25">
      <c r="D51" s="32">
        <f t="shared" si="10"/>
        <v>7.0545454545454609</v>
      </c>
      <c r="E51" s="3">
        <f>COUNTIF(Vertices[Degree], "&gt;= " &amp; D51) - COUNTIF(Vertices[Degree], "&gt;=" &amp; D52)</f>
        <v>0</v>
      </c>
      <c r="F51" s="39">
        <f t="shared" si="11"/>
        <v>0</v>
      </c>
      <c r="G51" s="40">
        <f>COUNTIF(Vertices[In-Degree], "&gt;= " &amp; F51) - COUNTIF(Vertices[In-Degree], "&gt;=" &amp; F52)</f>
        <v>0</v>
      </c>
      <c r="H51" s="39">
        <f t="shared" si="12"/>
        <v>0</v>
      </c>
      <c r="I51" s="40">
        <f>COUNTIF(Vertices[Out-Degree], "&gt;= " &amp; H51) - COUNTIF(Vertices[Out-Degree], "&gt;=" &amp; H52)</f>
        <v>0</v>
      </c>
      <c r="J51" s="39">
        <f t="shared" si="13"/>
        <v>110.71969674545451</v>
      </c>
      <c r="K51" s="40">
        <f>COUNTIF(Vertices[Betweenness Centrality], "&gt;= " &amp; J51) - COUNTIF(Vertices[Betweenness Centrality], "&gt;=" &amp; J52)</f>
        <v>0</v>
      </c>
      <c r="L51" s="39">
        <f t="shared" si="14"/>
        <v>0.67596759999999978</v>
      </c>
      <c r="M51" s="40">
        <f>COUNTIF(Vertices[Closeness Centrality], "&gt;= " &amp; L51) - COUNTIF(Vertices[Closeness Centrality], "&gt;=" &amp; L52)</f>
        <v>0</v>
      </c>
      <c r="N51" s="39">
        <f t="shared" si="15"/>
        <v>8.9029399999999939E-2</v>
      </c>
      <c r="O51" s="40">
        <f>COUNTIF(Vertices[Eigenvector Centrality], "&gt;= " &amp; N51) - COUNTIF(Vertices[Eigenvector Centrality], "&gt;=" &amp; N52)</f>
        <v>0</v>
      </c>
      <c r="P51" s="39">
        <f t="shared" si="16"/>
        <v>1.91547269090909</v>
      </c>
      <c r="Q51" s="40">
        <f>COUNTIF(Vertices[PageRank], "&gt;= " &amp; P51) - COUNTIF(Vertices[PageRank], "&gt;=" &amp; P52)</f>
        <v>0</v>
      </c>
      <c r="R51" s="39">
        <f t="shared" si="17"/>
        <v>0.67272727272727284</v>
      </c>
      <c r="S51" s="44">
        <f>COUNTIF(Vertices[Clustering Coefficient], "&gt;= " &amp; R51) - COUNTIF(Vertices[Clustering Coefficient], "&gt;=" &amp; R52)</f>
        <v>0</v>
      </c>
      <c r="T51" s="39" t="e">
        <f t="shared" ca="1" si="18"/>
        <v>#REF!</v>
      </c>
      <c r="U51" s="40" t="e">
        <f t="shared" ca="1" si="0"/>
        <v>#REF!</v>
      </c>
    </row>
    <row r="52" spans="1:21" x14ac:dyDescent="0.25">
      <c r="D52" s="32">
        <f t="shared" si="10"/>
        <v>7.2181818181818249</v>
      </c>
      <c r="E52" s="3">
        <f>COUNTIF(Vertices[Degree], "&gt;= " &amp; D52) - COUNTIF(Vertices[Degree], "&gt;=" &amp; D53)</f>
        <v>0</v>
      </c>
      <c r="F52" s="37">
        <f t="shared" si="11"/>
        <v>0</v>
      </c>
      <c r="G52" s="38">
        <f>COUNTIF(Vertices[In-Degree], "&gt;= " &amp; F52) - COUNTIF(Vertices[In-Degree], "&gt;=" &amp; F53)</f>
        <v>0</v>
      </c>
      <c r="H52" s="37">
        <f t="shared" si="12"/>
        <v>0</v>
      </c>
      <c r="I52" s="38">
        <f>COUNTIF(Vertices[Out-Degree], "&gt;= " &amp; H52) - COUNTIF(Vertices[Out-Degree], "&gt;=" &amp; H53)</f>
        <v>0</v>
      </c>
      <c r="J52" s="37">
        <f t="shared" si="13"/>
        <v>113.71212098181815</v>
      </c>
      <c r="K52" s="38">
        <f>COUNTIF(Vertices[Betweenness Centrality], "&gt;= " &amp; J52) - COUNTIF(Vertices[Betweenness Centrality], "&gt;=" &amp; J53)</f>
        <v>0</v>
      </c>
      <c r="L52" s="37">
        <f t="shared" si="14"/>
        <v>0.69396939999999974</v>
      </c>
      <c r="M52" s="38">
        <f>COUNTIF(Vertices[Closeness Centrality], "&gt;= " &amp; L52) - COUNTIF(Vertices[Closeness Centrality], "&gt;=" &amp; L53)</f>
        <v>0</v>
      </c>
      <c r="N52" s="37">
        <f t="shared" si="15"/>
        <v>9.1435599999999936E-2</v>
      </c>
      <c r="O52" s="38">
        <f>COUNTIF(Vertices[Eigenvector Centrality], "&gt;= " &amp; N52) - COUNTIF(Vertices[Eigenvector Centrality], "&gt;=" &amp; N53)</f>
        <v>0</v>
      </c>
      <c r="P52" s="37">
        <f t="shared" si="16"/>
        <v>1.9570677636363627</v>
      </c>
      <c r="Q52" s="38">
        <f>COUNTIF(Vertices[PageRank], "&gt;= " &amp; P52) - COUNTIF(Vertices[PageRank], "&gt;=" &amp; P53)</f>
        <v>0</v>
      </c>
      <c r="R52" s="37">
        <f t="shared" si="17"/>
        <v>0.69090909090909103</v>
      </c>
      <c r="S52" s="43">
        <f>COUNTIF(Vertices[Clustering Coefficient], "&gt;= " &amp; R52) - COUNTIF(Vertices[Clustering Coefficient], "&gt;=" &amp; R53)</f>
        <v>0</v>
      </c>
      <c r="T52" s="37" t="e">
        <f t="shared" ca="1" si="18"/>
        <v>#REF!</v>
      </c>
      <c r="U52" s="38" t="e">
        <f t="shared" ca="1" si="0"/>
        <v>#REF!</v>
      </c>
    </row>
    <row r="53" spans="1:21" x14ac:dyDescent="0.25">
      <c r="D53" s="32">
        <f t="shared" si="10"/>
        <v>7.3818181818181889</v>
      </c>
      <c r="E53" s="3">
        <f>COUNTIF(Vertices[Degree], "&gt;= " &amp; D53) - COUNTIF(Vertices[Degree], "&gt;=" &amp; D54)</f>
        <v>0</v>
      </c>
      <c r="F53" s="39">
        <f t="shared" si="11"/>
        <v>0</v>
      </c>
      <c r="G53" s="40">
        <f>COUNTIF(Vertices[In-Degree], "&gt;= " &amp; F53) - COUNTIF(Vertices[In-Degree], "&gt;=" &amp; F54)</f>
        <v>0</v>
      </c>
      <c r="H53" s="39">
        <f t="shared" si="12"/>
        <v>0</v>
      </c>
      <c r="I53" s="40">
        <f>COUNTIF(Vertices[Out-Degree], "&gt;= " &amp; H53) - COUNTIF(Vertices[Out-Degree], "&gt;=" &amp; H54)</f>
        <v>0</v>
      </c>
      <c r="J53" s="39">
        <f t="shared" si="13"/>
        <v>116.70454521818178</v>
      </c>
      <c r="K53" s="40">
        <f>COUNTIF(Vertices[Betweenness Centrality], "&gt;= " &amp; J53) - COUNTIF(Vertices[Betweenness Centrality], "&gt;=" &amp; J54)</f>
        <v>0</v>
      </c>
      <c r="L53" s="39">
        <f t="shared" si="14"/>
        <v>0.71197119999999969</v>
      </c>
      <c r="M53" s="40">
        <f>COUNTIF(Vertices[Closeness Centrality], "&gt;= " &amp; L53) - COUNTIF(Vertices[Closeness Centrality], "&gt;=" &amp; L54)</f>
        <v>0</v>
      </c>
      <c r="N53" s="39">
        <f t="shared" si="15"/>
        <v>9.3841799999999934E-2</v>
      </c>
      <c r="O53" s="40">
        <f>COUNTIF(Vertices[Eigenvector Centrality], "&gt;= " &amp; N53) - COUNTIF(Vertices[Eigenvector Centrality], "&gt;=" &amp; N54)</f>
        <v>0</v>
      </c>
      <c r="P53" s="39">
        <f t="shared" si="16"/>
        <v>1.9986628363636354</v>
      </c>
      <c r="Q53" s="40">
        <f>COUNTIF(Vertices[PageRank], "&gt;= " &amp; P53) - COUNTIF(Vertices[PageRank], "&gt;=" &amp; P54)</f>
        <v>0</v>
      </c>
      <c r="R53" s="39">
        <f t="shared" si="17"/>
        <v>0.70909090909090922</v>
      </c>
      <c r="S53" s="44">
        <f>COUNTIF(Vertices[Clustering Coefficient], "&gt;= " &amp; R53) - COUNTIF(Vertices[Clustering Coefficient], "&gt;=" &amp; R54)</f>
        <v>0</v>
      </c>
      <c r="T53" s="39" t="e">
        <f t="shared" ca="1" si="18"/>
        <v>#REF!</v>
      </c>
      <c r="U53" s="40" t="e">
        <f t="shared" ca="1" si="0"/>
        <v>#REF!</v>
      </c>
    </row>
    <row r="54" spans="1:21" x14ac:dyDescent="0.25">
      <c r="D54" s="32">
        <f t="shared" si="10"/>
        <v>7.545454545454553</v>
      </c>
      <c r="E54" s="3">
        <f>COUNTIF(Vertices[Degree], "&gt;= " &amp; D54) - COUNTIF(Vertices[Degree], "&gt;=" &amp; D55)</f>
        <v>0</v>
      </c>
      <c r="F54" s="37">
        <f t="shared" si="11"/>
        <v>0</v>
      </c>
      <c r="G54" s="38">
        <f>COUNTIF(Vertices[In-Degree], "&gt;= " &amp; F54) - COUNTIF(Vertices[In-Degree], "&gt;=" &amp; F55)</f>
        <v>0</v>
      </c>
      <c r="H54" s="37">
        <f t="shared" si="12"/>
        <v>0</v>
      </c>
      <c r="I54" s="38">
        <f>COUNTIF(Vertices[Out-Degree], "&gt;= " &amp; H54) - COUNTIF(Vertices[Out-Degree], "&gt;=" &amp; H55)</f>
        <v>0</v>
      </c>
      <c r="J54" s="37">
        <f t="shared" si="13"/>
        <v>119.69696945454541</v>
      </c>
      <c r="K54" s="38">
        <f>COUNTIF(Vertices[Betweenness Centrality], "&gt;= " &amp; J54) - COUNTIF(Vertices[Betweenness Centrality], "&gt;=" &amp; J55)</f>
        <v>0</v>
      </c>
      <c r="L54" s="37">
        <f t="shared" si="14"/>
        <v>0.72997299999999965</v>
      </c>
      <c r="M54" s="38">
        <f>COUNTIF(Vertices[Closeness Centrality], "&gt;= " &amp; L54) - COUNTIF(Vertices[Closeness Centrality], "&gt;=" &amp; L55)</f>
        <v>0</v>
      </c>
      <c r="N54" s="37">
        <f t="shared" si="15"/>
        <v>9.6247999999999931E-2</v>
      </c>
      <c r="O54" s="38">
        <f>COUNTIF(Vertices[Eigenvector Centrality], "&gt;= " &amp; N54) - COUNTIF(Vertices[Eigenvector Centrality], "&gt;=" &amp; N55)</f>
        <v>0</v>
      </c>
      <c r="P54" s="37">
        <f t="shared" si="16"/>
        <v>2.0402579090909083</v>
      </c>
      <c r="Q54" s="38">
        <f>COUNTIF(Vertices[PageRank], "&gt;= " &amp; P54) - COUNTIF(Vertices[PageRank], "&gt;=" &amp; P55)</f>
        <v>0</v>
      </c>
      <c r="R54" s="37">
        <f t="shared" si="17"/>
        <v>0.7272727272727274</v>
      </c>
      <c r="S54" s="43">
        <f>COUNTIF(Vertices[Clustering Coefficient], "&gt;= " &amp; R54) - COUNTIF(Vertices[Clustering Coefficient], "&gt;=" &amp; R55)</f>
        <v>0</v>
      </c>
      <c r="T54" s="37" t="e">
        <f t="shared" ca="1" si="18"/>
        <v>#REF!</v>
      </c>
      <c r="U54" s="38" t="e">
        <f t="shared" ca="1" si="0"/>
        <v>#REF!</v>
      </c>
    </row>
    <row r="55" spans="1:21" x14ac:dyDescent="0.25">
      <c r="A55" s="33" t="s">
        <v>82</v>
      </c>
      <c r="B55" s="46">
        <f>IF(COUNT(Vertices[Degree])&gt;0, D2, NoMetricMessage)</f>
        <v>1</v>
      </c>
      <c r="D55" s="32">
        <f t="shared" si="10"/>
        <v>7.709090909090917</v>
      </c>
      <c r="E55" s="3">
        <f>COUNTIF(Vertices[Degree], "&gt;= " &amp; D55) - COUNTIF(Vertices[Degree], "&gt;=" &amp; D56)</f>
        <v>0</v>
      </c>
      <c r="F55" s="39">
        <f t="shared" si="11"/>
        <v>0</v>
      </c>
      <c r="G55" s="40">
        <f>COUNTIF(Vertices[In-Degree], "&gt;= " &amp; F55) - COUNTIF(Vertices[In-Degree], "&gt;=" &amp; F56)</f>
        <v>0</v>
      </c>
      <c r="H55" s="39">
        <f t="shared" si="12"/>
        <v>0</v>
      </c>
      <c r="I55" s="40">
        <f>COUNTIF(Vertices[Out-Degree], "&gt;= " &amp; H55) - COUNTIF(Vertices[Out-Degree], "&gt;=" &amp; H56)</f>
        <v>0</v>
      </c>
      <c r="J55" s="39">
        <f t="shared" si="13"/>
        <v>122.68939369090904</v>
      </c>
      <c r="K55" s="40">
        <f>COUNTIF(Vertices[Betweenness Centrality], "&gt;= " &amp; J55) - COUNTIF(Vertices[Betweenness Centrality], "&gt;=" &amp; J56)</f>
        <v>0</v>
      </c>
      <c r="L55" s="39">
        <f t="shared" si="14"/>
        <v>0.74797479999999961</v>
      </c>
      <c r="M55" s="40">
        <f>COUNTIF(Vertices[Closeness Centrality], "&gt;= " &amp; L55) - COUNTIF(Vertices[Closeness Centrality], "&gt;=" &amp; L56)</f>
        <v>0</v>
      </c>
      <c r="N55" s="39">
        <f t="shared" si="15"/>
        <v>9.8654199999999928E-2</v>
      </c>
      <c r="O55" s="40">
        <f>COUNTIF(Vertices[Eigenvector Centrality], "&gt;= " &amp; N55) - COUNTIF(Vertices[Eigenvector Centrality], "&gt;=" &amp; N56)</f>
        <v>0</v>
      </c>
      <c r="P55" s="39">
        <f t="shared" si="16"/>
        <v>2.081852981818181</v>
      </c>
      <c r="Q55" s="40">
        <f>COUNTIF(Vertices[PageRank], "&gt;= " &amp; P55) - COUNTIF(Vertices[PageRank], "&gt;=" &amp; P56)</f>
        <v>0</v>
      </c>
      <c r="R55" s="39">
        <f t="shared" si="17"/>
        <v>0.74545454545454559</v>
      </c>
      <c r="S55" s="44">
        <f>COUNTIF(Vertices[Clustering Coefficient], "&gt;= " &amp; R55) - COUNTIF(Vertices[Clustering Coefficient], "&gt;=" &amp; R56)</f>
        <v>0</v>
      </c>
      <c r="T55" s="39" t="e">
        <f t="shared" ca="1" si="18"/>
        <v>#REF!</v>
      </c>
      <c r="U55" s="40" t="e">
        <f t="shared" ca="1" si="0"/>
        <v>#REF!</v>
      </c>
    </row>
    <row r="56" spans="1:21" x14ac:dyDescent="0.25">
      <c r="A56" s="33" t="s">
        <v>83</v>
      </c>
      <c r="B56" s="46">
        <f>IF(COUNT(Vertices[Degree])&gt;0, D57, NoMetricMessage)</f>
        <v>10</v>
      </c>
      <c r="D56" s="32">
        <f t="shared" si="10"/>
        <v>7.872727272727281</v>
      </c>
      <c r="E56" s="3">
        <f>COUNTIF(Vertices[Degree], "&gt;= " &amp; D56) - COUNTIF(Vertices[Degree], "&gt;=" &amp; D57)</f>
        <v>1</v>
      </c>
      <c r="F56" s="37">
        <f t="shared" si="11"/>
        <v>0</v>
      </c>
      <c r="G56" s="38">
        <f>COUNTIF(Vertices[In-Degree], "&gt;= " &amp; F56) - COUNTIF(Vertices[In-Degree], "&gt;=" &amp; F57)</f>
        <v>0</v>
      </c>
      <c r="H56" s="37">
        <f t="shared" si="12"/>
        <v>0</v>
      </c>
      <c r="I56" s="38">
        <f>COUNTIF(Vertices[Out-Degree], "&gt;= " &amp; H56) - COUNTIF(Vertices[Out-Degree], "&gt;=" &amp; H57)</f>
        <v>0</v>
      </c>
      <c r="J56" s="37">
        <f t="shared" si="13"/>
        <v>125.68181792727268</v>
      </c>
      <c r="K56" s="38">
        <f>COUNTIF(Vertices[Betweenness Centrality], "&gt;= " &amp; J56) - COUNTIF(Vertices[Betweenness Centrality], "&gt;=" &amp; J57)</f>
        <v>0</v>
      </c>
      <c r="L56" s="37">
        <f t="shared" si="14"/>
        <v>0.76597659999999956</v>
      </c>
      <c r="M56" s="38">
        <f>COUNTIF(Vertices[Closeness Centrality], "&gt;= " &amp; L56) - COUNTIF(Vertices[Closeness Centrality], "&gt;=" &amp; L57)</f>
        <v>0</v>
      </c>
      <c r="N56" s="37">
        <f t="shared" si="15"/>
        <v>0.10106039999999993</v>
      </c>
      <c r="O56" s="38">
        <f>COUNTIF(Vertices[Eigenvector Centrality], "&gt;= " &amp; N56) - COUNTIF(Vertices[Eigenvector Centrality], "&gt;=" &amp; N57)</f>
        <v>1</v>
      </c>
      <c r="P56" s="37">
        <f t="shared" si="16"/>
        <v>2.1234480545454537</v>
      </c>
      <c r="Q56" s="38">
        <f>COUNTIF(Vertices[PageRank], "&gt;= " &amp; P56) - COUNTIF(Vertices[PageRank], "&gt;=" &amp; P57)</f>
        <v>1</v>
      </c>
      <c r="R56" s="37">
        <f t="shared" si="17"/>
        <v>0.76363636363636378</v>
      </c>
      <c r="S56" s="43">
        <f>COUNTIF(Vertices[Clustering Coefficient], "&gt;= " &amp; R56) - COUNTIF(Vertices[Clustering Coefficient], "&gt;=" &amp; R57)</f>
        <v>0</v>
      </c>
      <c r="T56" s="37" t="e">
        <f t="shared" ca="1" si="18"/>
        <v>#REF!</v>
      </c>
      <c r="U56" s="38" t="e">
        <f t="shared" ca="1" si="0"/>
        <v>#REF!</v>
      </c>
    </row>
    <row r="57" spans="1:21" x14ac:dyDescent="0.25">
      <c r="A57" s="33" t="s">
        <v>84</v>
      </c>
      <c r="B57" s="47">
        <f>IFERROR(AVERAGE(Vertices[Degree]),NoMetricMessage)</f>
        <v>3.0370370370370372</v>
      </c>
      <c r="D57" s="32">
        <f>MAX(Vertices[Degree])</f>
        <v>10</v>
      </c>
      <c r="E57" s="3">
        <f>COUNTIF(Vertices[Degree], "&gt;= " &amp; D57) - COUNTIF(Vertices[Degree], "&gt;=" &amp; D58)</f>
        <v>1</v>
      </c>
      <c r="F57" s="41">
        <f>MAX(Vertices[In-Degree])</f>
        <v>0</v>
      </c>
      <c r="G57" s="42">
        <f>COUNTIF(Vertices[In-Degree], "&gt;= " &amp; F57) - COUNTIF(Vertices[In-Degree], "&gt;=" &amp; F58)</f>
        <v>0</v>
      </c>
      <c r="H57" s="41">
        <f>MAX(Vertices[Out-Degree])</f>
        <v>0</v>
      </c>
      <c r="I57" s="42">
        <f>COUNTIF(Vertices[Out-Degree], "&gt;= " &amp; H57) - COUNTIF(Vertices[Out-Degree], "&gt;=" &amp; H58)</f>
        <v>0</v>
      </c>
      <c r="J57" s="41">
        <f>MAX(Vertices[Betweenness Centrality])</f>
        <v>164.58333300000001</v>
      </c>
      <c r="K57" s="42">
        <f>COUNTIF(Vertices[Betweenness Centrality], "&gt;= " &amp; J57) - COUNTIF(Vertices[Betweenness Centrality], "&gt;=" &amp; J58)</f>
        <v>1</v>
      </c>
      <c r="L57" s="41">
        <f>MAX(Vertices[Closeness Centrality])</f>
        <v>1</v>
      </c>
      <c r="M57" s="42">
        <f>COUNTIF(Vertices[Closeness Centrality], "&gt;= " &amp; L57) - COUNTIF(Vertices[Closeness Centrality], "&gt;=" &amp; L58)</f>
        <v>2</v>
      </c>
      <c r="N57" s="41">
        <f>MAX(Vertices[Eigenvector Centrality])</f>
        <v>0.13234099999999999</v>
      </c>
      <c r="O57" s="42">
        <f>COUNTIF(Vertices[Eigenvector Centrality], "&gt;= " &amp; N57) - COUNTIF(Vertices[Eigenvector Centrality], "&gt;=" &amp; N58)</f>
        <v>1</v>
      </c>
      <c r="P57" s="41">
        <f>MAX(Vertices[PageRank])</f>
        <v>2.6641840000000001</v>
      </c>
      <c r="Q57" s="42">
        <f>COUNTIF(Vertices[PageRank], "&gt;= " &amp; P57) - COUNTIF(Vertices[PageRank], "&gt;=" &amp; P58)</f>
        <v>1</v>
      </c>
      <c r="R57" s="41">
        <f>MAX(Vertices[Clustering Coefficient])</f>
        <v>1</v>
      </c>
      <c r="S57" s="45">
        <f>COUNTIF(Vertices[Clustering Coefficient], "&gt;= " &amp; R57) - COUNTIF(Vertices[Clustering Coefficient], "&gt;=" &amp; R58)</f>
        <v>7</v>
      </c>
      <c r="T57" s="41" t="e">
        <f ca="1">MAX(INDIRECT(DynamicFilterSourceColumnRange))</f>
        <v>#REF!</v>
      </c>
      <c r="U57" s="42" t="e">
        <f t="shared" ca="1" si="0"/>
        <v>#REF!</v>
      </c>
    </row>
    <row r="58" spans="1:21" x14ac:dyDescent="0.25">
      <c r="A58" s="33" t="s">
        <v>85</v>
      </c>
      <c r="B58" s="47">
        <f>IFERROR(MEDIAN(Vertices[Degree]),NoMetricMessage)</f>
        <v>2</v>
      </c>
    </row>
    <row r="69" spans="1:2" x14ac:dyDescent="0.25">
      <c r="A69" s="33" t="s">
        <v>89</v>
      </c>
      <c r="B69" s="46" t="str">
        <f>IF(COUNT(Vertices[In-Degree])&gt;0, F2, NoMetricMessage)</f>
        <v>Not Available</v>
      </c>
    </row>
    <row r="70" spans="1:2" x14ac:dyDescent="0.25">
      <c r="A70" s="33" t="s">
        <v>90</v>
      </c>
      <c r="B70" s="46" t="str">
        <f>IF(COUNT(Vertices[In-Degree])&gt;0, F57, NoMetricMessage)</f>
        <v>Not Available</v>
      </c>
    </row>
    <row r="71" spans="1:2" x14ac:dyDescent="0.25">
      <c r="A71" s="33" t="s">
        <v>91</v>
      </c>
      <c r="B71" s="47" t="str">
        <f>IFERROR(AVERAGE(Vertices[In-Degree]),NoMetricMessage)</f>
        <v>Not Available</v>
      </c>
    </row>
    <row r="72" spans="1:2" x14ac:dyDescent="0.25">
      <c r="A72" s="33" t="s">
        <v>92</v>
      </c>
      <c r="B72" s="47" t="str">
        <f>IFERROR(MEDIAN(Vertices[In-Degree]),NoMetricMessage)</f>
        <v>Not Available</v>
      </c>
    </row>
    <row r="83" spans="1:2" x14ac:dyDescent="0.25">
      <c r="A83" s="33" t="s">
        <v>95</v>
      </c>
      <c r="B83" s="46" t="str">
        <f>IF(COUNT(Vertices[Out-Degree])&gt;0, H2, NoMetricMessage)</f>
        <v>Not Available</v>
      </c>
    </row>
    <row r="84" spans="1:2" x14ac:dyDescent="0.25">
      <c r="A84" s="33" t="s">
        <v>96</v>
      </c>
      <c r="B84" s="46" t="str">
        <f>IF(COUNT(Vertices[Out-Degree])&gt;0, H57, NoMetricMessage)</f>
        <v>Not Available</v>
      </c>
    </row>
    <row r="85" spans="1:2" x14ac:dyDescent="0.25">
      <c r="A85" s="33" t="s">
        <v>97</v>
      </c>
      <c r="B85" s="47" t="str">
        <f>IFERROR(AVERAGE(Vertices[Out-Degree]),NoMetricMessage)</f>
        <v>Not Available</v>
      </c>
    </row>
    <row r="86" spans="1:2" x14ac:dyDescent="0.25">
      <c r="A86" s="33" t="s">
        <v>98</v>
      </c>
      <c r="B86" s="47" t="str">
        <f>IFERROR(MEDIAN(Vertices[Out-Degree]),NoMetricMessage)</f>
        <v>Not Available</v>
      </c>
    </row>
    <row r="97" spans="1:2" x14ac:dyDescent="0.25">
      <c r="A97" s="33" t="s">
        <v>101</v>
      </c>
      <c r="B97" s="47">
        <f>IF(COUNT(Vertices[Betweenness Centrality])&gt;0, J2, NoMetricMessage)</f>
        <v>0</v>
      </c>
    </row>
    <row r="98" spans="1:2" x14ac:dyDescent="0.25">
      <c r="A98" s="33" t="s">
        <v>102</v>
      </c>
      <c r="B98" s="47">
        <f>IF(COUNT(Vertices[Betweenness Centrality])&gt;0, J57, NoMetricMessage)</f>
        <v>164.58333300000001</v>
      </c>
    </row>
    <row r="99" spans="1:2" x14ac:dyDescent="0.25">
      <c r="A99" s="33" t="s">
        <v>103</v>
      </c>
      <c r="B99" s="47">
        <f>IFERROR(AVERAGE(Vertices[Betweenness Centrality]),NoMetricMessage)</f>
        <v>20.444444407407406</v>
      </c>
    </row>
    <row r="100" spans="1:2" x14ac:dyDescent="0.25">
      <c r="A100" s="33" t="s">
        <v>104</v>
      </c>
      <c r="B100" s="47">
        <f>IFERROR(MEDIAN(Vertices[Betweenness Centrality]),NoMetricMessage)</f>
        <v>0.25</v>
      </c>
    </row>
    <row r="111" spans="1:2" x14ac:dyDescent="0.25">
      <c r="A111" s="33" t="s">
        <v>107</v>
      </c>
      <c r="B111" s="47">
        <f>IF(COUNT(Vertices[Closeness Centrality])&gt;0, L2, NoMetricMessage)</f>
        <v>9.9010000000000001E-3</v>
      </c>
    </row>
    <row r="112" spans="1:2" x14ac:dyDescent="0.25">
      <c r="A112" s="33" t="s">
        <v>108</v>
      </c>
      <c r="B112" s="47">
        <f>IF(COUNT(Vertices[Closeness Centrality])&gt;0, L57, NoMetricMessage)</f>
        <v>1</v>
      </c>
    </row>
    <row r="113" spans="1:2" x14ac:dyDescent="0.25">
      <c r="A113" s="33" t="s">
        <v>109</v>
      </c>
      <c r="B113" s="47">
        <f>IFERROR(AVERAGE(Vertices[Closeness Centrality]),NoMetricMessage)</f>
        <v>8.8300148148148128E-2</v>
      </c>
    </row>
    <row r="114" spans="1:2" x14ac:dyDescent="0.25">
      <c r="A114" s="33" t="s">
        <v>110</v>
      </c>
      <c r="B114" s="47">
        <f>IFERROR(MEDIAN(Vertices[Closeness Centrality]),NoMetricMessage)</f>
        <v>1.5384999999999999E-2</v>
      </c>
    </row>
    <row r="125" spans="1:2" x14ac:dyDescent="0.25">
      <c r="A125" s="33" t="s">
        <v>113</v>
      </c>
      <c r="B125" s="47">
        <f>IF(COUNT(Vertices[Eigenvector Centrality])&gt;0, N2, NoMetricMessage)</f>
        <v>0</v>
      </c>
    </row>
    <row r="126" spans="1:2" x14ac:dyDescent="0.25">
      <c r="A126" s="33" t="s">
        <v>114</v>
      </c>
      <c r="B126" s="47">
        <f>IF(COUNT(Vertices[Eigenvector Centrality])&gt;0, N57, NoMetricMessage)</f>
        <v>0.13234099999999999</v>
      </c>
    </row>
    <row r="127" spans="1:2" x14ac:dyDescent="0.25">
      <c r="A127" s="33" t="s">
        <v>115</v>
      </c>
      <c r="B127" s="47">
        <f>IFERROR(AVERAGE(Vertices[Eigenvector Centrality]),NoMetricMessage)</f>
        <v>3.7037037037037035E-2</v>
      </c>
    </row>
    <row r="128" spans="1:2" x14ac:dyDescent="0.25">
      <c r="A128" s="33" t="s">
        <v>116</v>
      </c>
      <c r="B128" s="47">
        <f>IFERROR(MEDIAN(Vertices[Eigenvector Centrality]),NoMetricMessage)</f>
        <v>2.6595000000000001E-2</v>
      </c>
    </row>
    <row r="139" spans="1:2" x14ac:dyDescent="0.25">
      <c r="A139" s="33" t="s">
        <v>141</v>
      </c>
      <c r="B139" s="47">
        <f>IF(COUNT(Vertices[PageRank])&gt;0, P2, NoMetricMessage)</f>
        <v>0.37645499999999998</v>
      </c>
    </row>
    <row r="140" spans="1:2" x14ac:dyDescent="0.25">
      <c r="A140" s="33" t="s">
        <v>142</v>
      </c>
      <c r="B140" s="47">
        <f>IF(COUNT(Vertices[PageRank])&gt;0, P57, NoMetricMessage)</f>
        <v>2.6641840000000001</v>
      </c>
    </row>
    <row r="141" spans="1:2" x14ac:dyDescent="0.25">
      <c r="A141" s="33" t="s">
        <v>143</v>
      </c>
      <c r="B141" s="47">
        <f>IFERROR(AVERAGE(Vertices[PageRank]),NoMetricMessage)</f>
        <v>0.99998207407407425</v>
      </c>
    </row>
    <row r="142" spans="1:2" x14ac:dyDescent="0.25">
      <c r="A142" s="33" t="s">
        <v>144</v>
      </c>
      <c r="B142" s="47">
        <f>IFERROR(MEDIAN(Vertices[PageRank]),NoMetricMessage)</f>
        <v>0.89127599999999996</v>
      </c>
    </row>
    <row r="153" spans="1:2" x14ac:dyDescent="0.25">
      <c r="A153" s="33" t="s">
        <v>119</v>
      </c>
      <c r="B153" s="47">
        <f>IF(COUNT(Vertices[Clustering Coefficient])&gt;0, R2, NoMetricMessage)</f>
        <v>0</v>
      </c>
    </row>
    <row r="154" spans="1:2" x14ac:dyDescent="0.25">
      <c r="A154" s="33" t="s">
        <v>120</v>
      </c>
      <c r="B154" s="47">
        <f>IF(COUNT(Vertices[Clustering Coefficient])&gt;0, R57, NoMetricMessage)</f>
        <v>1</v>
      </c>
    </row>
    <row r="155" spans="1:2" x14ac:dyDescent="0.25">
      <c r="A155" s="33" t="s">
        <v>121</v>
      </c>
      <c r="B155" s="47">
        <f>IFERROR(AVERAGE(Vertices[Clustering Coefficient]),NoMetricMessage)</f>
        <v>0.44300411522633748</v>
      </c>
    </row>
    <row r="156" spans="1:2" x14ac:dyDescent="0.25">
      <c r="A156" s="33" t="s">
        <v>122</v>
      </c>
      <c r="B156" s="47">
        <f>IFERROR(MEDIAN(Vertices[Clustering Coefficient]),NoMetricMessage)</f>
        <v>0.33333333333333331</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132</v>
      </c>
      <c r="C1" s="4" t="s">
        <v>7</v>
      </c>
      <c r="D1" s="4" t="s">
        <v>9</v>
      </c>
      <c r="E1" s="4" t="s">
        <v>165</v>
      </c>
      <c r="F1" s="5" t="s">
        <v>170</v>
      </c>
      <c r="G1" s="4" t="s">
        <v>14</v>
      </c>
      <c r="H1" s="4" t="s">
        <v>68</v>
      </c>
      <c r="J1" s="4" t="s">
        <v>18</v>
      </c>
      <c r="K1" s="4" t="s">
        <v>17</v>
      </c>
      <c r="M1" s="4" t="s">
        <v>22</v>
      </c>
      <c r="N1" s="4" t="s">
        <v>23</v>
      </c>
      <c r="O1" s="4" t="s">
        <v>24</v>
      </c>
      <c r="P1" s="4" t="s">
        <v>25</v>
      </c>
    </row>
    <row r="2" spans="1:18" x14ac:dyDescent="0.25">
      <c r="A2" s="1" t="s">
        <v>52</v>
      </c>
      <c r="B2" s="1" t="s">
        <v>133</v>
      </c>
      <c r="C2" t="s">
        <v>55</v>
      </c>
      <c r="D2" t="s">
        <v>56</v>
      </c>
      <c r="E2" t="s">
        <v>56</v>
      </c>
      <c r="F2" s="1" t="s">
        <v>52</v>
      </c>
      <c r="G2" t="s">
        <v>66</v>
      </c>
      <c r="H2" t="s">
        <v>160</v>
      </c>
      <c r="J2" t="s">
        <v>19</v>
      </c>
      <c r="K2">
        <v>108</v>
      </c>
    </row>
    <row r="3" spans="1:18" x14ac:dyDescent="0.25">
      <c r="A3" s="1" t="s">
        <v>53</v>
      </c>
      <c r="B3" s="1" t="s">
        <v>134</v>
      </c>
      <c r="C3" t="s">
        <v>53</v>
      </c>
      <c r="D3" t="s">
        <v>57</v>
      </c>
      <c r="E3" t="s">
        <v>57</v>
      </c>
      <c r="F3" s="1" t="s">
        <v>53</v>
      </c>
      <c r="G3" t="s">
        <v>67</v>
      </c>
      <c r="H3" t="s">
        <v>69</v>
      </c>
      <c r="J3" t="s">
        <v>30</v>
      </c>
      <c r="K3" t="s">
        <v>31</v>
      </c>
    </row>
    <row r="4" spans="1:18" x14ac:dyDescent="0.25">
      <c r="A4" s="1" t="s">
        <v>54</v>
      </c>
      <c r="B4" s="1" t="s">
        <v>135</v>
      </c>
      <c r="C4" t="s">
        <v>54</v>
      </c>
      <c r="D4" t="s">
        <v>58</v>
      </c>
      <c r="E4" t="s">
        <v>58</v>
      </c>
      <c r="F4" s="1" t="s">
        <v>54</v>
      </c>
      <c r="G4">
        <v>0</v>
      </c>
      <c r="H4" t="s">
        <v>70</v>
      </c>
      <c r="J4" s="12" t="s">
        <v>79</v>
      </c>
      <c r="K4" s="12"/>
    </row>
    <row r="5" spans="1:18" ht="409.5" x14ac:dyDescent="0.25">
      <c r="A5">
        <v>1</v>
      </c>
      <c r="B5" s="1" t="s">
        <v>136</v>
      </c>
      <c r="C5" t="s">
        <v>52</v>
      </c>
      <c r="D5" t="s">
        <v>59</v>
      </c>
      <c r="E5" t="s">
        <v>59</v>
      </c>
      <c r="F5">
        <v>1</v>
      </c>
      <c r="G5">
        <v>1</v>
      </c>
      <c r="H5" t="s">
        <v>71</v>
      </c>
      <c r="J5" t="s">
        <v>173</v>
      </c>
      <c r="K5" s="13" t="s">
        <v>218</v>
      </c>
    </row>
    <row r="6" spans="1:18" x14ac:dyDescent="0.25">
      <c r="A6">
        <v>0</v>
      </c>
      <c r="B6" s="1" t="s">
        <v>137</v>
      </c>
      <c r="C6">
        <v>1</v>
      </c>
      <c r="D6" t="s">
        <v>60</v>
      </c>
      <c r="E6" t="s">
        <v>60</v>
      </c>
      <c r="F6">
        <v>0</v>
      </c>
      <c r="H6" t="s">
        <v>72</v>
      </c>
      <c r="J6" t="s">
        <v>174</v>
      </c>
      <c r="K6">
        <v>2</v>
      </c>
      <c r="R6" t="s">
        <v>130</v>
      </c>
    </row>
    <row r="7" spans="1:18" x14ac:dyDescent="0.25">
      <c r="A7">
        <v>2</v>
      </c>
      <c r="B7">
        <v>1</v>
      </c>
      <c r="C7">
        <v>0</v>
      </c>
      <c r="D7" t="s">
        <v>61</v>
      </c>
      <c r="E7" t="s">
        <v>61</v>
      </c>
      <c r="F7">
        <v>2</v>
      </c>
      <c r="H7" t="s">
        <v>73</v>
      </c>
      <c r="J7" t="s">
        <v>203</v>
      </c>
      <c r="K7" t="s">
        <v>224</v>
      </c>
    </row>
    <row r="8" spans="1:18" x14ac:dyDescent="0.25">
      <c r="A8"/>
      <c r="B8">
        <v>2</v>
      </c>
      <c r="C8">
        <v>2</v>
      </c>
      <c r="D8" t="s">
        <v>62</v>
      </c>
      <c r="E8" t="s">
        <v>62</v>
      </c>
      <c r="H8" t="s">
        <v>74</v>
      </c>
      <c r="J8" t="s">
        <v>204</v>
      </c>
      <c r="K8" t="s">
        <v>220</v>
      </c>
    </row>
    <row r="9" spans="1:18" ht="409.5" x14ac:dyDescent="0.25">
      <c r="A9"/>
      <c r="B9">
        <v>3</v>
      </c>
      <c r="C9">
        <v>4</v>
      </c>
      <c r="D9" t="s">
        <v>63</v>
      </c>
      <c r="E9" t="s">
        <v>63</v>
      </c>
      <c r="H9" t="s">
        <v>75</v>
      </c>
      <c r="J9" t="s">
        <v>205</v>
      </c>
      <c r="K9" s="13" t="s">
        <v>219</v>
      </c>
    </row>
    <row r="10" spans="1:18" x14ac:dyDescent="0.25">
      <c r="A10"/>
      <c r="B10">
        <v>4</v>
      </c>
      <c r="D10" t="s">
        <v>64</v>
      </c>
      <c r="E10" t="s">
        <v>64</v>
      </c>
      <c r="H10" t="s">
        <v>76</v>
      </c>
    </row>
    <row r="11" spans="1:18" x14ac:dyDescent="0.25">
      <c r="A11"/>
      <c r="B11">
        <v>5</v>
      </c>
      <c r="D11" t="s">
        <v>47</v>
      </c>
      <c r="E11">
        <v>1</v>
      </c>
      <c r="H11" t="s">
        <v>77</v>
      </c>
    </row>
    <row r="12" spans="1:18" x14ac:dyDescent="0.25">
      <c r="A12"/>
      <c r="B12"/>
      <c r="D12" t="s">
        <v>65</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heetViews>
  <sheetFormatPr defaultRowHeight="15" x14ac:dyDescent="0.25"/>
  <cols>
    <col min="1" max="1" width="10.140625" customWidth="1"/>
    <col min="2" max="2" width="10.140625" bestFit="1" customWidth="1"/>
    <col min="3" max="3" width="13.42578125" bestFit="1" customWidth="1"/>
  </cols>
  <sheetData>
    <row r="1" spans="1:3" x14ac:dyDescent="0.25">
      <c r="C1" s="33" t="s">
        <v>43</v>
      </c>
    </row>
    <row r="2" spans="1:3" ht="15" customHeight="1" x14ac:dyDescent="0.25">
      <c r="A2" s="13" t="s">
        <v>221</v>
      </c>
      <c r="B2" s="114" t="s">
        <v>222</v>
      </c>
      <c r="C2" s="115" t="s">
        <v>223</v>
      </c>
    </row>
    <row r="3" spans="1:3" x14ac:dyDescent="0.25">
      <c r="A3" s="113" t="s">
        <v>211</v>
      </c>
      <c r="B3" s="113" t="s">
        <v>211</v>
      </c>
      <c r="C3" s="34">
        <v>40</v>
      </c>
    </row>
    <row r="4" spans="1:3" x14ac:dyDescent="0.25">
      <c r="A4" s="113" t="s">
        <v>212</v>
      </c>
      <c r="B4" s="113" t="s">
        <v>212</v>
      </c>
      <c r="C4" s="34">
        <v>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15C18477-0957-41B0-B0FB-73438B2E11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Edges</vt:lpstr>
      <vt:lpstr>Vertices</vt:lpstr>
      <vt:lpstr>Do Not Delete</vt:lpstr>
      <vt:lpstr>Groups</vt:lpstr>
      <vt:lpstr>Group Vertices</vt:lpstr>
      <vt:lpstr>Overall Metrics</vt:lpstr>
      <vt:lpstr>Misc</vt:lpstr>
      <vt:lpstr>Group Edges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Hewlett-Packard Company</dc:creator>
  <cp:lastModifiedBy>Hewlett-Packard Company</cp:lastModifiedBy>
  <dcterms:created xsi:type="dcterms:W3CDTF">2008-01-30T00:41:58Z</dcterms:created>
  <dcterms:modified xsi:type="dcterms:W3CDTF">2019-06-22T14:30:03Z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