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2^J ADH repurpose/Manuscript ADH project/"/>
    </mc:Choice>
  </mc:AlternateContent>
  <bookViews>
    <workbookView xWindow="-105" yWindow="-105" windowWidth="19425" windowHeight="10425" activeTab="7"/>
  </bookViews>
  <sheets>
    <sheet name="Tris" sheetId="1" r:id="rId1"/>
    <sheet name="K-PO4" sheetId="2" r:id="rId2"/>
    <sheet name="Na-PO4" sheetId="3" r:id="rId3"/>
    <sheet name="TAE" sheetId="4" r:id="rId4"/>
    <sheet name="5%DMSO" sheetId="5" r:id="rId5"/>
    <sheet name="NH4COO pH 9" sheetId="11" r:id="rId6"/>
    <sheet name="NH4COO pH 8" sheetId="14" r:id="rId7"/>
    <sheet name="Summary" sheetId="6" r:id="rId8"/>
    <sheet name="5%DMSO (2)" sheetId="8" r:id="rId9"/>
    <sheet name="KPO4" sheetId="9" r:id="rId10"/>
    <sheet name="TEA" sheetId="10" r:id="rId11"/>
    <sheet name="10 mM AcPh" sheetId="12" r:id="rId12"/>
    <sheet name="20 mM AcPh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I17" i="6" s="1"/>
  <c r="C27" i="6"/>
  <c r="H17" i="6" s="1"/>
  <c r="F18" i="14"/>
  <c r="C18" i="14"/>
  <c r="D18" i="14" s="1"/>
  <c r="E18" i="14" s="1"/>
  <c r="G18" i="14" s="1"/>
  <c r="C17" i="14"/>
  <c r="D17" i="14" s="1"/>
  <c r="E17" i="14" s="1"/>
  <c r="C16" i="14"/>
  <c r="F6" i="14"/>
  <c r="F17" i="14" s="1"/>
  <c r="F5" i="14"/>
  <c r="G17" i="14" l="1"/>
  <c r="C20" i="14"/>
  <c r="C21" i="14" s="1"/>
  <c r="C22" i="14" s="1"/>
  <c r="D16" i="14"/>
  <c r="E16" i="14" s="1"/>
  <c r="F16" i="14"/>
  <c r="I5" i="6"/>
  <c r="H5" i="6"/>
  <c r="I4" i="6"/>
  <c r="H4" i="6"/>
  <c r="D24" i="6"/>
  <c r="I16" i="6" s="1"/>
  <c r="C24" i="6"/>
  <c r="H16" i="6" s="1"/>
  <c r="C21" i="6"/>
  <c r="H15" i="6" s="1"/>
  <c r="C17" i="6"/>
  <c r="H14" i="6" s="1"/>
  <c r="C12" i="6"/>
  <c r="H13" i="6" s="1"/>
  <c r="C9" i="6"/>
  <c r="H12" i="6" s="1"/>
  <c r="C6" i="6"/>
  <c r="H11" i="6" s="1"/>
  <c r="D21" i="6"/>
  <c r="I15" i="6" s="1"/>
  <c r="D17" i="6"/>
  <c r="I14" i="6" s="1"/>
  <c r="D12" i="6"/>
  <c r="I13" i="6" s="1"/>
  <c r="D9" i="6"/>
  <c r="I12" i="6" s="1"/>
  <c r="D6" i="6"/>
  <c r="I11" i="6" s="1"/>
  <c r="F22" i="10"/>
  <c r="C22" i="10"/>
  <c r="D22" i="10" s="1"/>
  <c r="E22" i="10" s="1"/>
  <c r="G22" i="10" s="1"/>
  <c r="F21" i="10"/>
  <c r="C21" i="10"/>
  <c r="D21" i="10" s="1"/>
  <c r="E21" i="10" s="1"/>
  <c r="G21" i="10" s="1"/>
  <c r="F20" i="10"/>
  <c r="D20" i="10"/>
  <c r="E20" i="10" s="1"/>
  <c r="G20" i="10" s="1"/>
  <c r="C20" i="10"/>
  <c r="F21" i="9"/>
  <c r="F22" i="9"/>
  <c r="F20" i="9"/>
  <c r="E21" i="9"/>
  <c r="E22" i="9"/>
  <c r="E20" i="9"/>
  <c r="C22" i="9"/>
  <c r="D22" i="9" s="1"/>
  <c r="C21" i="9"/>
  <c r="D21" i="9" s="1"/>
  <c r="G21" i="9" s="1"/>
  <c r="C20" i="9"/>
  <c r="D20" i="9" s="1"/>
  <c r="F22" i="4"/>
  <c r="C22" i="4"/>
  <c r="D22" i="4" s="1"/>
  <c r="E22" i="4" s="1"/>
  <c r="G22" i="4" s="1"/>
  <c r="F21" i="4"/>
  <c r="C21" i="4"/>
  <c r="D21" i="4" s="1"/>
  <c r="E21" i="4" s="1"/>
  <c r="G21" i="4" s="1"/>
  <c r="F20" i="4"/>
  <c r="C20" i="4"/>
  <c r="D20" i="4" s="1"/>
  <c r="E20" i="4" s="1"/>
  <c r="G20" i="4" s="1"/>
  <c r="F22" i="3"/>
  <c r="C22" i="3"/>
  <c r="D22" i="3" s="1"/>
  <c r="E22" i="3" s="1"/>
  <c r="G22" i="3" s="1"/>
  <c r="F21" i="3"/>
  <c r="C21" i="3"/>
  <c r="D21" i="3" s="1"/>
  <c r="E21" i="3" s="1"/>
  <c r="G21" i="3" s="1"/>
  <c r="F20" i="3"/>
  <c r="C20" i="3"/>
  <c r="F26" i="2"/>
  <c r="F27" i="2"/>
  <c r="F25" i="2"/>
  <c r="E25" i="2"/>
  <c r="D25" i="2"/>
  <c r="C27" i="2"/>
  <c r="D27" i="2" s="1"/>
  <c r="E27" i="2" s="1"/>
  <c r="C26" i="2"/>
  <c r="D26" i="2" s="1"/>
  <c r="E26" i="2" s="1"/>
  <c r="C25" i="2"/>
  <c r="F24" i="1"/>
  <c r="C24" i="1"/>
  <c r="D24" i="1" s="1"/>
  <c r="E24" i="1" s="1"/>
  <c r="F23" i="1"/>
  <c r="C23" i="1"/>
  <c r="D23" i="1" s="1"/>
  <c r="E23" i="1" s="1"/>
  <c r="G23" i="1" s="1"/>
  <c r="F22" i="1"/>
  <c r="C22" i="1"/>
  <c r="F26" i="5"/>
  <c r="F27" i="5"/>
  <c r="F25" i="5"/>
  <c r="E26" i="5"/>
  <c r="E27" i="5"/>
  <c r="E25" i="5"/>
  <c r="D26" i="5"/>
  <c r="D27" i="5"/>
  <c r="D25" i="5"/>
  <c r="C27" i="5"/>
  <c r="C26" i="5"/>
  <c r="C25" i="5"/>
  <c r="E21" i="8"/>
  <c r="E22" i="8"/>
  <c r="D21" i="8"/>
  <c r="D22" i="8"/>
  <c r="D20" i="8"/>
  <c r="E20" i="8" s="1"/>
  <c r="F21" i="8"/>
  <c r="F22" i="8"/>
  <c r="F20" i="8"/>
  <c r="C22" i="8"/>
  <c r="C21" i="8"/>
  <c r="G21" i="8" s="1"/>
  <c r="C20" i="8"/>
  <c r="F5" i="13"/>
  <c r="F6" i="13"/>
  <c r="C16" i="13"/>
  <c r="C20" i="13" s="1"/>
  <c r="C21" i="13" s="1"/>
  <c r="C22" i="13" s="1"/>
  <c r="C24" i="13" s="1"/>
  <c r="D16" i="13"/>
  <c r="E16" i="13" s="1"/>
  <c r="G16" i="13" s="1"/>
  <c r="F16" i="13"/>
  <c r="C17" i="13"/>
  <c r="D17" i="13" s="1"/>
  <c r="E17" i="13" s="1"/>
  <c r="G17" i="13" s="1"/>
  <c r="F17" i="13"/>
  <c r="C18" i="13"/>
  <c r="D18" i="13"/>
  <c r="E18" i="13"/>
  <c r="G18" i="13" s="1"/>
  <c r="F18" i="13"/>
  <c r="F5" i="12"/>
  <c r="F6" i="12"/>
  <c r="F17" i="12" s="1"/>
  <c r="C16" i="12"/>
  <c r="D16" i="12"/>
  <c r="E16" i="12"/>
  <c r="G16" i="12" s="1"/>
  <c r="F16" i="12"/>
  <c r="C17" i="12"/>
  <c r="D17" i="12"/>
  <c r="E17" i="12"/>
  <c r="C18" i="12"/>
  <c r="D18" i="12"/>
  <c r="E18" i="12" s="1"/>
  <c r="C20" i="12"/>
  <c r="C21" i="12" s="1"/>
  <c r="C22" i="12" s="1"/>
  <c r="C24" i="12" s="1"/>
  <c r="F18" i="11"/>
  <c r="C18" i="11"/>
  <c r="D18" i="11" s="1"/>
  <c r="E18" i="11" s="1"/>
  <c r="C17" i="11"/>
  <c r="D17" i="11" s="1"/>
  <c r="E17" i="11" s="1"/>
  <c r="C16" i="11"/>
  <c r="C20" i="11" s="1"/>
  <c r="C21" i="11" s="1"/>
  <c r="C22" i="11" s="1"/>
  <c r="F6" i="11"/>
  <c r="F17" i="11" s="1"/>
  <c r="F5" i="11"/>
  <c r="C8" i="10"/>
  <c r="C9" i="10"/>
  <c r="C10" i="10"/>
  <c r="C12" i="10"/>
  <c r="C13" i="10" s="1"/>
  <c r="C14" i="10" s="1"/>
  <c r="C15" i="10" s="1"/>
  <c r="C16" i="10" s="1"/>
  <c r="C8" i="9"/>
  <c r="C9" i="9"/>
  <c r="C10" i="9"/>
  <c r="C12" i="9"/>
  <c r="C13" i="9" s="1"/>
  <c r="C14" i="9" s="1"/>
  <c r="C15" i="9" s="1"/>
  <c r="C16" i="9" s="1"/>
  <c r="C8" i="8"/>
  <c r="C9" i="8"/>
  <c r="C10" i="8"/>
  <c r="C12" i="8"/>
  <c r="C13" i="8" s="1"/>
  <c r="C14" i="8" s="1"/>
  <c r="C15" i="8" s="1"/>
  <c r="C16" i="8" s="1"/>
  <c r="G16" i="14" l="1"/>
  <c r="G20" i="14" s="1"/>
  <c r="C24" i="14"/>
  <c r="G25" i="10"/>
  <c r="G24" i="10"/>
  <c r="G22" i="9"/>
  <c r="G20" i="9"/>
  <c r="G25" i="9" s="1"/>
  <c r="G25" i="4"/>
  <c r="G24" i="4"/>
  <c r="D20" i="3"/>
  <c r="E20" i="3" s="1"/>
  <c r="G20" i="3" s="1"/>
  <c r="G24" i="3"/>
  <c r="G25" i="3"/>
  <c r="G27" i="2"/>
  <c r="G26" i="2"/>
  <c r="G25" i="2"/>
  <c r="G24" i="1"/>
  <c r="D22" i="1"/>
  <c r="E22" i="1" s="1"/>
  <c r="G22" i="1" s="1"/>
  <c r="G26" i="5"/>
  <c r="G27" i="5"/>
  <c r="G25" i="5"/>
  <c r="G22" i="8"/>
  <c r="G20" i="8"/>
  <c r="G21" i="13"/>
  <c r="G20" i="13"/>
  <c r="G17" i="12"/>
  <c r="F18" i="12"/>
  <c r="G18" i="12" s="1"/>
  <c r="G17" i="11"/>
  <c r="G18" i="11"/>
  <c r="D16" i="11"/>
  <c r="E16" i="11" s="1"/>
  <c r="F16" i="11"/>
  <c r="C24" i="11" s="1"/>
  <c r="C20" i="2"/>
  <c r="K28" i="2"/>
  <c r="G21" i="14" l="1"/>
  <c r="G24" i="9"/>
  <c r="G30" i="2"/>
  <c r="G29" i="2"/>
  <c r="G26" i="1"/>
  <c r="G27" i="1"/>
  <c r="G29" i="5"/>
  <c r="G30" i="5"/>
  <c r="G24" i="8"/>
  <c r="G25" i="8"/>
  <c r="G20" i="12"/>
  <c r="G21" i="12"/>
  <c r="G16" i="11"/>
  <c r="C8" i="2"/>
  <c r="C13" i="5"/>
  <c r="C14" i="5"/>
  <c r="G20" i="11" l="1"/>
  <c r="G21" i="11"/>
  <c r="C12" i="5"/>
  <c r="C16" i="5" s="1"/>
  <c r="C10" i="4"/>
  <c r="C9" i="4"/>
  <c r="C8" i="4"/>
  <c r="C15" i="3"/>
  <c r="C10" i="3"/>
  <c r="C9" i="3"/>
  <c r="C8" i="3"/>
  <c r="C15" i="2"/>
  <c r="C10" i="2"/>
  <c r="C9" i="2"/>
  <c r="C16" i="1"/>
  <c r="C9" i="1"/>
  <c r="C13" i="1" s="1"/>
  <c r="C14" i="1" s="1"/>
  <c r="C15" i="1" s="1"/>
  <c r="C17" i="1" s="1"/>
  <c r="C10" i="1"/>
  <c r="C11" i="1"/>
  <c r="C17" i="5" l="1"/>
  <c r="C18" i="5" s="1"/>
  <c r="C19" i="5" s="1"/>
  <c r="C20" i="5" s="1"/>
  <c r="C12" i="4"/>
  <c r="C13" i="4" s="1"/>
  <c r="C14" i="4" s="1"/>
  <c r="C15" i="4" s="1"/>
  <c r="C16" i="4" s="1"/>
  <c r="C12" i="3"/>
  <c r="C13" i="3" s="1"/>
  <c r="C14" i="3" s="1"/>
  <c r="C16" i="3" s="1"/>
  <c r="C12" i="2"/>
  <c r="C13" i="2" s="1"/>
  <c r="C14" i="2" l="1"/>
  <c r="C16" i="2" s="1"/>
  <c r="C19" i="2"/>
  <c r="C21" i="2" s="1"/>
</calcChain>
</file>

<file path=xl/comments1.xml><?xml version="1.0" encoding="utf-8"?>
<comments xmlns="http://schemas.openxmlformats.org/spreadsheetml/2006/main">
  <authors>
    <author>Wouter Kools</author>
  </authors>
  <commentList>
    <comment ref="D17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
</t>
        </r>
      </text>
    </comment>
  </commentList>
</comments>
</file>

<file path=xl/comments2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Assuming we have Vmax (we are at [S] = ~4*Km…)
 </t>
        </r>
      </text>
    </comment>
  </commentList>
</comments>
</file>

<file path=xl/comments3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4.xml><?xml version="1.0" encoding="utf-8"?>
<comments xmlns="http://schemas.openxmlformats.org/spreadsheetml/2006/main">
  <authors>
    <author>Wouter Kools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Tris
Acetate
EDTA
</t>
        </r>
      </text>
    </commen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5.xml><?xml version="1.0" encoding="utf-8"?>
<comments xmlns="http://schemas.openxmlformats.org/spreadsheetml/2006/main">
  <authors>
    <author>Wouter Kools</author>
  </authors>
  <commentList>
    <comment ref="C20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6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7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sharedStrings.xml><?xml version="1.0" encoding="utf-8"?>
<sst xmlns="http://schemas.openxmlformats.org/spreadsheetml/2006/main" count="602" uniqueCount="92">
  <si>
    <t>mM</t>
  </si>
  <si>
    <t>Tris</t>
  </si>
  <si>
    <t>7.5</t>
  </si>
  <si>
    <t>pH</t>
  </si>
  <si>
    <t>MgCl2</t>
  </si>
  <si>
    <t>control (NADPH+acetoph)</t>
  </si>
  <si>
    <t>corr</t>
  </si>
  <si>
    <t>slopes (au/min)</t>
  </si>
  <si>
    <t>LbADHwt</t>
  </si>
  <si>
    <t>enzyme</t>
  </si>
  <si>
    <t>V_enz</t>
  </si>
  <si>
    <t>Vtot</t>
  </si>
  <si>
    <t>dilutionx</t>
  </si>
  <si>
    <t>Average</t>
  </si>
  <si>
    <t>au/min</t>
  </si>
  <si>
    <t>ε</t>
  </si>
  <si>
    <t>μM/min</t>
  </si>
  <si>
    <t>M-1 cm-1</t>
  </si>
  <si>
    <t>d</t>
  </si>
  <si>
    <t>cm</t>
  </si>
  <si>
    <t>L</t>
  </si>
  <si>
    <t>umol/min</t>
  </si>
  <si>
    <t>concentr</t>
  </si>
  <si>
    <t>uM/mL</t>
  </si>
  <si>
    <t>mg/mL</t>
  </si>
  <si>
    <t>mL</t>
  </si>
  <si>
    <t>Enz added</t>
  </si>
  <si>
    <t>mg</t>
  </si>
  <si>
    <t>U/mg</t>
  </si>
  <si>
    <t>specific activity</t>
  </si>
  <si>
    <t>U in cuvette</t>
  </si>
  <si>
    <t>NaH2PO4</t>
  </si>
  <si>
    <t>K-PO4</t>
  </si>
  <si>
    <t>TAE</t>
  </si>
  <si>
    <t>KPO4</t>
  </si>
  <si>
    <t>DMSO</t>
  </si>
  <si>
    <t>U/mL</t>
  </si>
  <si>
    <t>stock</t>
  </si>
  <si>
    <t>Potassium phosphate</t>
  </si>
  <si>
    <t>Sodium phosphate</t>
  </si>
  <si>
    <t>Specific activity (U/mg)</t>
  </si>
  <si>
    <t>50 mM</t>
  </si>
  <si>
    <t>1 mM</t>
  </si>
  <si>
    <t>40 mM</t>
  </si>
  <si>
    <t>Acetate</t>
  </si>
  <si>
    <t>EDTA</t>
  </si>
  <si>
    <t>20 mM</t>
  </si>
  <si>
    <t>5 vol%</t>
  </si>
  <si>
    <t>Buffer</t>
  </si>
  <si>
    <t>uM/s</t>
  </si>
  <si>
    <t>Vmax</t>
  </si>
  <si>
    <t>[E]</t>
  </si>
  <si>
    <t>uM</t>
  </si>
  <si>
    <t>total dilution</t>
  </si>
  <si>
    <t xml:space="preserve">kcat </t>
  </si>
  <si>
    <t>s-1</t>
  </si>
  <si>
    <t>Measured on</t>
  </si>
  <si>
    <t>TEA</t>
  </si>
  <si>
    <t>(slow thawing)</t>
  </si>
  <si>
    <t>rate</t>
  </si>
  <si>
    <t>(µmol/min)</t>
  </si>
  <si>
    <t>µM/min</t>
  </si>
  <si>
    <t>Enz added (mg)</t>
  </si>
  <si>
    <t>average</t>
  </si>
  <si>
    <t>Stdev</t>
  </si>
  <si>
    <t>NH4COO</t>
  </si>
  <si>
    <t>Buffer comparison</t>
  </si>
  <si>
    <t>All-in triplicate</t>
  </si>
  <si>
    <t>stdev</t>
  </si>
  <si>
    <t>1 M</t>
  </si>
  <si>
    <t>Influence of substrate concentration</t>
  </si>
  <si>
    <t>Conc. AcPh (mM)</t>
  </si>
  <si>
    <t>M</t>
  </si>
  <si>
    <t>buff</t>
  </si>
  <si>
    <t>KH2PO4, pH 7.5, 5% DMSO</t>
  </si>
  <si>
    <t>1M NH4COO          pH 9</t>
  </si>
  <si>
    <t>1M NH4COO          pH 8</t>
  </si>
  <si>
    <t>NaH2PO4              pH 7.5</t>
  </si>
  <si>
    <t>KH2PO4                pH 7.5</t>
  </si>
  <si>
    <t>Tris                       pH 7.5</t>
  </si>
  <si>
    <t>TAE                       pH 7.5</t>
  </si>
  <si>
    <t>±</t>
  </si>
  <si>
    <t>40.3 ± 1.5</t>
  </si>
  <si>
    <t>43.0 ± 1.6</t>
  </si>
  <si>
    <t>41.0 ± 2.87</t>
  </si>
  <si>
    <t>4.7 ± 0.09</t>
  </si>
  <si>
    <t>0.2 ± 0.04</t>
  </si>
  <si>
    <t>16.9 ± 1.1</t>
  </si>
  <si>
    <t>DMSO (v/v%)</t>
  </si>
  <si>
    <t>Tris-HCl</t>
  </si>
  <si>
    <t>KH2PO4</t>
  </si>
  <si>
    <t>[Buffer]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</si>
</sst>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1" fillId="0" borderId="1" xfId="0" applyFont="1" applyBorder="1"/>
    <xf numFmtId="1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0" fontId="0" fillId="0" borderId="0" xfId="0" applyFill="1"/>
    <xf numFmtId="2" fontId="0" fillId="0" borderId="1" xfId="0" applyNumberFormat="1" applyBorder="1"/>
    <xf numFmtId="0" fontId="0" fillId="0" borderId="2" xfId="0" applyBorder="1"/>
    <xf numFmtId="2" fontId="0" fillId="0" borderId="0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0" fillId="0" borderId="1" xfId="0" applyNumberForma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7">
    <dxf>
      <numFmt numFmtId="1" formatCode="0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96595657042909E-2"/>
          <c:y val="5.0956733701846675E-2"/>
          <c:w val="0.90161013686588798"/>
          <c:h val="0.835889440321250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Summary!$I$11:$I$17</c:f>
                <c:numCache>
                  <c:formatCode>General</c:formatCode>
                  <c:ptCount val="7"/>
                  <c:pt idx="0">
                    <c:v>1.5269351922443879</c:v>
                  </c:pt>
                  <c:pt idx="1">
                    <c:v>1.6330864138658081</c:v>
                  </c:pt>
                  <c:pt idx="2">
                    <c:v>2.8700971315249317</c:v>
                  </c:pt>
                  <c:pt idx="3">
                    <c:v>0.73847311156567486</c:v>
                  </c:pt>
                  <c:pt idx="4">
                    <c:v>8.5523626671708583E-2</c:v>
                  </c:pt>
                  <c:pt idx="5">
                    <c:v>4.2958336693912878E-2</c:v>
                  </c:pt>
                  <c:pt idx="6">
                    <c:v>1.1119580102367232</c:v>
                  </c:pt>
                </c:numCache>
              </c:numRef>
            </c:plus>
            <c:minus>
              <c:numRef>
                <c:f>Summary!$I$11:$I$17</c:f>
                <c:numCache>
                  <c:formatCode>General</c:formatCode>
                  <c:ptCount val="7"/>
                  <c:pt idx="0">
                    <c:v>1.5269351922443879</c:v>
                  </c:pt>
                  <c:pt idx="1">
                    <c:v>1.6330864138658081</c:v>
                  </c:pt>
                  <c:pt idx="2">
                    <c:v>2.8700971315249317</c:v>
                  </c:pt>
                  <c:pt idx="3">
                    <c:v>0.73847311156567486</c:v>
                  </c:pt>
                  <c:pt idx="4">
                    <c:v>8.5523626671708583E-2</c:v>
                  </c:pt>
                  <c:pt idx="5">
                    <c:v>4.2958336693912878E-2</c:v>
                  </c:pt>
                  <c:pt idx="6">
                    <c:v>1.1119580102367232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Summary!$G$11:$G$17</c:f>
              <c:strCache>
                <c:ptCount val="7"/>
                <c:pt idx="0">
                  <c:v>Tris                       pH 7.5</c:v>
                </c:pt>
                <c:pt idx="1">
                  <c:v>KH2PO4                pH 7.5</c:v>
                </c:pt>
                <c:pt idx="2">
                  <c:v>NaH2PO4              pH 7.5</c:v>
                </c:pt>
                <c:pt idx="3">
                  <c:v>TAE                       pH 7.5</c:v>
                </c:pt>
                <c:pt idx="4">
                  <c:v>KH2PO4, pH 7.5, 5% DMSO</c:v>
                </c:pt>
                <c:pt idx="5">
                  <c:v>1M NH4COO          pH 9</c:v>
                </c:pt>
                <c:pt idx="6">
                  <c:v>1M NH4COO          pH 8</c:v>
                </c:pt>
              </c:strCache>
            </c:strRef>
          </c:cat>
          <c:val>
            <c:numRef>
              <c:f>Summary!$H$11:$H$17</c:f>
              <c:numCache>
                <c:formatCode>0.0</c:formatCode>
                <c:ptCount val="7"/>
                <c:pt idx="0">
                  <c:v>40.285723565466327</c:v>
                </c:pt>
                <c:pt idx="1">
                  <c:v>42.988451348579964</c:v>
                </c:pt>
                <c:pt idx="2">
                  <c:v>41.039703419124635</c:v>
                </c:pt>
                <c:pt idx="3">
                  <c:v>52.708991615744026</c:v>
                </c:pt>
                <c:pt idx="4">
                  <c:v>4.670035216659012</c:v>
                </c:pt>
                <c:pt idx="5">
                  <c:v>0.19812270616129135</c:v>
                </c:pt>
                <c:pt idx="6">
                  <c:v>16.943280608875465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72-4ADD-942D-62C73CF39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63384"/>
        <c:axId val="69106568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v>labels</c:v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Summary!$G$11:$G$17</c15:sqref>
                        </c15:formulaRef>
                      </c:ext>
                    </c:extLst>
                    <c:strCache>
                      <c:ptCount val="7"/>
                      <c:pt idx="0">
                        <c:v>Tris                       pH 7.5</c:v>
                      </c:pt>
                      <c:pt idx="1">
                        <c:v>KH2PO4                pH 7.5</c:v>
                      </c:pt>
                      <c:pt idx="2">
                        <c:v>NaH2PO4              pH 7.5</c:v>
                      </c:pt>
                      <c:pt idx="3">
                        <c:v>TAE                       pH 7.5</c:v>
                      </c:pt>
                      <c:pt idx="4">
                        <c:v>KH2PO4, pH 7.5, 5% DMSO</c:v>
                      </c:pt>
                      <c:pt idx="5">
                        <c:v>1M NH4COO          pH 9</c:v>
                      </c:pt>
                      <c:pt idx="6">
                        <c:v>1M NH4COO          pH 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Summary!$G$11:$G$17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B72-4ADD-942D-62C73CF3916F}"/>
                  </c:ext>
                </c:extLst>
              </c15:ser>
            </c15:filteredBarSeries>
          </c:ext>
        </c:extLst>
      </c:barChart>
      <c:catAx>
        <c:axId val="69106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1065680"/>
        <c:crosses val="autoZero"/>
        <c:auto val="1"/>
        <c:lblAlgn val="ctr"/>
        <c:lblOffset val="100"/>
        <c:noMultiLvlLbl val="0"/>
      </c:catAx>
      <c:valAx>
        <c:axId val="691065680"/>
        <c:scaling>
          <c:orientation val="minMax"/>
          <c:max val="5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Specific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1063384"/>
        <c:crosses val="autoZero"/>
        <c:crossBetween val="between"/>
        <c:majorUnit val="5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10 mM Acetophenone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Summary!$I$4</c:f>
                <c:numCache>
                  <c:formatCode>General</c:formatCode>
                  <c:ptCount val="1"/>
                  <c:pt idx="0">
                    <c:v>0.82000319482137651</c:v>
                  </c:pt>
                </c:numCache>
              </c:numRef>
            </c:plus>
            <c:minus>
              <c:numRef>
                <c:f>Summary!$I$4</c:f>
                <c:numCache>
                  <c:formatCode>General</c:formatCode>
                  <c:ptCount val="1"/>
                  <c:pt idx="0">
                    <c:v>0.82000319482137651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Summary!$H$4</c:f>
              <c:numCache>
                <c:formatCode>0.00</c:formatCode>
                <c:ptCount val="1"/>
                <c:pt idx="0">
                  <c:v>39.330682417499141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3-47AA-B322-6A0E90719C10}"/>
            </c:ext>
          </c:extLst>
        </c:ser>
        <c:ser>
          <c:idx val="1"/>
          <c:order val="1"/>
          <c:tx>
            <c:v>20 mM Acetophenone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Summary!$I$5</c:f>
                <c:numCache>
                  <c:formatCode>General</c:formatCode>
                  <c:ptCount val="1"/>
                  <c:pt idx="0">
                    <c:v>1.9958659206662097</c:v>
                  </c:pt>
                </c:numCache>
              </c:numRef>
            </c:plus>
            <c:minus>
              <c:numRef>
                <c:f>Summary!$I$5</c:f>
                <c:numCache>
                  <c:formatCode>General</c:formatCode>
                  <c:ptCount val="1"/>
                  <c:pt idx="0">
                    <c:v>1.9958659206662097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Summary!$H$5</c:f>
              <c:numCache>
                <c:formatCode>0.00</c:formatCode>
                <c:ptCount val="1"/>
                <c:pt idx="0">
                  <c:v>43.491104584352172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3-47AA-B322-6A0E90719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251696"/>
        <c:axId val="693252352"/>
      </c:barChart>
      <c:catAx>
        <c:axId val="693251696"/>
        <c:scaling>
          <c:orientation val="minMax"/>
        </c:scaling>
        <c:delete val="1"/>
        <c:axPos val="b"/>
        <c:majorTickMark val="none"/>
        <c:minorTickMark val="none"/>
        <c:tickLblPos val="nextTo"/>
        <c:crossAx val="693252352"/>
        <c:crosses val="autoZero"/>
        <c:auto val="1"/>
        <c:lblAlgn val="ctr"/>
        <c:lblOffset val="100"/>
        <c:noMultiLvlLbl val="0"/>
      </c:catAx>
      <c:valAx>
        <c:axId val="693252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70000"/>
                </a:schemeClr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3251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19</xdr:row>
      <xdr:rowOff>19050</xdr:rowOff>
    </xdr:from>
    <xdr:to>
      <xdr:col>10</xdr:col>
      <xdr:colOff>100853</xdr:colOff>
      <xdr:row>41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523874</xdr:colOff>
      <xdr:row>3</xdr:row>
      <xdr:rowOff>122464</xdr:rowOff>
    </xdr:from>
    <xdr:to>
      <xdr:col>17</xdr:col>
      <xdr:colOff>533400</xdr:colOff>
      <xdr:row>30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U11:Y17" totalsRowShown="0" headerRowDxfId="6" dataDxfId="5">
  <autoFilter ref="U11:Y17"/>
  <tableColumns count="5">
    <tableColumn id="1" name="Buffer" dataDxfId="4"/>
    <tableColumn id="3" name="[Buffer] (M)" dataDxfId="3"/>
    <tableColumn id="2" name="pH" dataDxfId="2"/>
    <tableColumn id="4" name="Specific activity (U/mg)" dataDxfId="1"/>
    <tableColumn id="5" name="DMSO (v/v%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topLeftCell="A16" workbookViewId="0">
      <selection activeCell="B26" sqref="B26:D30"/>
    </sheetView>
  </sheetViews>
  <sheetFormatPr defaultRowHeight="15" x14ac:dyDescent="0.25"/>
  <cols>
    <col min="1" max="1" width="15.140625" bestFit="1" customWidth="1"/>
    <col min="2" max="2" width="24.140625" bestFit="1" customWidth="1"/>
    <col min="4" max="4" width="21.7109375" customWidth="1"/>
  </cols>
  <sheetData>
    <row r="1" spans="1:12" x14ac:dyDescent="0.25">
      <c r="A1" t="s">
        <v>56</v>
      </c>
      <c r="B1" s="11">
        <v>44504</v>
      </c>
    </row>
    <row r="4" spans="1:12" x14ac:dyDescent="0.25">
      <c r="A4">
        <v>50</v>
      </c>
      <c r="B4" t="s">
        <v>0</v>
      </c>
      <c r="C4" t="s">
        <v>1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v>167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v>4.62</v>
      </c>
      <c r="G6" t="s">
        <v>24</v>
      </c>
    </row>
    <row r="8" spans="1:12" x14ac:dyDescent="0.25">
      <c r="A8" s="14" t="s">
        <v>7</v>
      </c>
      <c r="B8" s="14" t="s">
        <v>5</v>
      </c>
      <c r="C8" s="14" t="s">
        <v>6</v>
      </c>
      <c r="D8" s="14"/>
      <c r="H8" t="s">
        <v>12</v>
      </c>
    </row>
    <row r="9" spans="1:12" x14ac:dyDescent="0.25">
      <c r="A9" s="14">
        <v>-0.1187</v>
      </c>
      <c r="B9" s="14">
        <v>-4.0000000000000002E-4</v>
      </c>
      <c r="C9" s="14">
        <f>A9-B9</f>
        <v>-0.1183</v>
      </c>
      <c r="D9" s="14"/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A10" s="14">
        <v>-0.11899999999999999</v>
      </c>
      <c r="B10" s="14">
        <v>-6.9999999999999999E-4</v>
      </c>
      <c r="C10" s="14">
        <f>A10-B10</f>
        <v>-0.11829999999999999</v>
      </c>
      <c r="D10" s="14"/>
      <c r="E10" t="s">
        <v>11</v>
      </c>
      <c r="F10">
        <v>1E-3</v>
      </c>
      <c r="G10" t="s">
        <v>20</v>
      </c>
    </row>
    <row r="11" spans="1:12" x14ac:dyDescent="0.25">
      <c r="A11" s="14">
        <v>-0.1109</v>
      </c>
      <c r="B11" s="14">
        <v>-2.0000000000000001E-4</v>
      </c>
      <c r="C11" s="14">
        <f>A11-B11</f>
        <v>-0.11069999999999999</v>
      </c>
      <c r="D11" s="14"/>
    </row>
    <row r="12" spans="1:12" x14ac:dyDescent="0.25">
      <c r="A12" s="14"/>
      <c r="B12" s="14"/>
      <c r="C12" s="14"/>
      <c r="D12" s="14"/>
    </row>
    <row r="13" spans="1:12" x14ac:dyDescent="0.25">
      <c r="A13" s="14"/>
      <c r="B13" s="14" t="s">
        <v>13</v>
      </c>
      <c r="C13" s="14">
        <f>AVERAGE(C9:C11)</f>
        <v>-0.11576666666666664</v>
      </c>
      <c r="D13" s="14" t="s">
        <v>14</v>
      </c>
    </row>
    <row r="14" spans="1:12" x14ac:dyDescent="0.25">
      <c r="A14" s="14"/>
      <c r="B14" s="14" t="s">
        <v>16</v>
      </c>
      <c r="C14" s="14">
        <f>ABS(C13)/(K4) *10^6</f>
        <v>18.612004287245441</v>
      </c>
      <c r="D14" s="14"/>
    </row>
    <row r="15" spans="1:12" x14ac:dyDescent="0.25">
      <c r="A15" s="14"/>
      <c r="B15" s="14" t="s">
        <v>30</v>
      </c>
      <c r="C15" s="14">
        <f>C14*$F$10</f>
        <v>1.8612004287245441E-2</v>
      </c>
      <c r="D15" s="14" t="s">
        <v>21</v>
      </c>
    </row>
    <row r="16" spans="1:12" x14ac:dyDescent="0.25">
      <c r="A16" s="14"/>
      <c r="B16" s="14" t="s">
        <v>26</v>
      </c>
      <c r="C16" s="15">
        <f>F9/H9*F6</f>
        <v>4.6200000000000001E-4</v>
      </c>
      <c r="D16" s="14" t="s">
        <v>27</v>
      </c>
    </row>
    <row r="17" spans="1:7" x14ac:dyDescent="0.25">
      <c r="A17" s="14"/>
      <c r="B17" s="14" t="s">
        <v>29</v>
      </c>
      <c r="C17" s="16">
        <f>C15/C16</f>
        <v>40.28572356546632</v>
      </c>
      <c r="D17" s="14" t="s">
        <v>28</v>
      </c>
    </row>
    <row r="20" spans="1:7" x14ac:dyDescent="0.25">
      <c r="D20" t="s">
        <v>59</v>
      </c>
      <c r="E20" t="s">
        <v>60</v>
      </c>
    </row>
    <row r="21" spans="1:7" x14ac:dyDescent="0.25">
      <c r="A21" t="s">
        <v>7</v>
      </c>
      <c r="B21" t="s">
        <v>5</v>
      </c>
      <c r="C21" t="s">
        <v>6</v>
      </c>
      <c r="D21" t="s">
        <v>61</v>
      </c>
      <c r="E21" t="s">
        <v>30</v>
      </c>
      <c r="F21" t="s">
        <v>62</v>
      </c>
      <c r="G21" t="s">
        <v>40</v>
      </c>
    </row>
    <row r="22" spans="1:7" x14ac:dyDescent="0.25">
      <c r="A22">
        <v>-0.1187</v>
      </c>
      <c r="B22">
        <v>-4.0000000000000002E-4</v>
      </c>
      <c r="C22">
        <f>A22-B22</f>
        <v>-0.1183</v>
      </c>
      <c r="D22">
        <f>ABS(C22)/($K$4)*10^6</f>
        <v>19.019292604501608</v>
      </c>
      <c r="E22">
        <f>D22*$F$10</f>
        <v>1.9019292604501609E-2</v>
      </c>
      <c r="F22" s="2">
        <f>$F$9/$H$9*$F$6</f>
        <v>4.6200000000000001E-4</v>
      </c>
      <c r="G22" s="3">
        <f>E22/F22</f>
        <v>41.167300009743741</v>
      </c>
    </row>
    <row r="23" spans="1:7" x14ac:dyDescent="0.25">
      <c r="A23">
        <v>-0.11899999999999999</v>
      </c>
      <c r="B23">
        <v>-6.9999999999999999E-4</v>
      </c>
      <c r="C23">
        <f>A23-B23</f>
        <v>-0.11829999999999999</v>
      </c>
      <c r="D23">
        <f>ABS(C23)/($K$4)*10^6</f>
        <v>19.019292604501604</v>
      </c>
      <c r="E23">
        <f>D23*$F$10</f>
        <v>1.9019292604501605E-2</v>
      </c>
      <c r="F23" s="2">
        <f>$F$9/$H$9*$F$6</f>
        <v>4.6200000000000001E-4</v>
      </c>
      <c r="G23" s="3">
        <f>E23/F23</f>
        <v>41.167300009743734</v>
      </c>
    </row>
    <row r="24" spans="1:7" x14ac:dyDescent="0.25">
      <c r="A24">
        <v>-0.1109</v>
      </c>
      <c r="B24">
        <v>-2.0000000000000001E-4</v>
      </c>
      <c r="C24">
        <f>A24-B24</f>
        <v>-0.11069999999999999</v>
      </c>
      <c r="D24">
        <f>ABS(C24)/($K$4)*10^6</f>
        <v>17.797427652733116</v>
      </c>
      <c r="E24">
        <f>D24*$F$10</f>
        <v>1.7797427652733115E-2</v>
      </c>
      <c r="F24" s="2">
        <f>$F$9/$H$9*$F$6</f>
        <v>4.6200000000000001E-4</v>
      </c>
      <c r="G24" s="3">
        <f>E24/F24</f>
        <v>38.522570676911506</v>
      </c>
    </row>
    <row r="26" spans="1:7" x14ac:dyDescent="0.25">
      <c r="F26" t="s">
        <v>63</v>
      </c>
      <c r="G26" s="12">
        <f>AVERAGE(G22:G24)</f>
        <v>40.285723565466327</v>
      </c>
    </row>
    <row r="27" spans="1:7" x14ac:dyDescent="0.25">
      <c r="F27" t="s">
        <v>64</v>
      </c>
      <c r="G27" s="13">
        <f>STDEV(G22:G24)</f>
        <v>1.5269351922443879</v>
      </c>
    </row>
    <row r="30" spans="1:7" x14ac:dyDescent="0.25">
      <c r="C30" s="3"/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opLeftCell="A16" workbookViewId="0">
      <selection activeCell="H32" sqref="H32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44510</v>
      </c>
      <c r="C1" t="s">
        <v>58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-5.4199999999999998E-2</v>
      </c>
      <c r="B8" s="14">
        <v>-2.0000000000000001E-4</v>
      </c>
      <c r="C8" s="14">
        <f>A8-B8</f>
        <v>-5.3999999999999999E-2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-5.3600000000000002E-2</v>
      </c>
      <c r="B9" s="14">
        <v>0</v>
      </c>
      <c r="C9" s="14">
        <f>A9-B9</f>
        <v>-5.3600000000000002E-2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-5.1799999999999999E-2</v>
      </c>
      <c r="B10" s="14">
        <v>8.0000000000000004E-4</v>
      </c>
      <c r="C10" s="14">
        <f>A10-B10</f>
        <v>-5.2600000000000001E-2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-5.3400000000000003E-2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8.5852090032154358</v>
      </c>
      <c r="D13" s="14"/>
    </row>
    <row r="14" spans="1:12" x14ac:dyDescent="0.25">
      <c r="A14" s="14"/>
      <c r="B14" s="14" t="s">
        <v>30</v>
      </c>
      <c r="C14" s="14">
        <f>C13*$F$9</f>
        <v>8.5852090032154365E-3</v>
      </c>
      <c r="D14" s="14" t="s">
        <v>21</v>
      </c>
    </row>
    <row r="15" spans="1:12" x14ac:dyDescent="0.25">
      <c r="A15" s="14"/>
      <c r="B15" s="14"/>
      <c r="C15" s="16">
        <f>C14/F8*H8</f>
        <v>85.852090032154365</v>
      </c>
      <c r="D15" s="14" t="s">
        <v>36</v>
      </c>
    </row>
    <row r="16" spans="1:12" x14ac:dyDescent="0.25">
      <c r="A16" s="14"/>
      <c r="B16" s="14"/>
      <c r="C16" s="14">
        <f>C15/F5</f>
        <v>18.582703470163281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-5.4199999999999998E-2</v>
      </c>
      <c r="B20">
        <v>-2.0000000000000001E-4</v>
      </c>
      <c r="C20">
        <f>A20-B20</f>
        <v>-5.3999999999999999E-2</v>
      </c>
      <c r="D20">
        <f>ABS(C20)/($K$3)*10^6</f>
        <v>8.6816720257234721</v>
      </c>
      <c r="E20">
        <f>D20*$F$9</f>
        <v>8.6816720257234716E-3</v>
      </c>
      <c r="F20" s="2">
        <f>$F$8/$H$8*$F$5</f>
        <v>4.6200000000000001E-4</v>
      </c>
      <c r="G20" s="3">
        <f>E20/F20</f>
        <v>18.791497891176345</v>
      </c>
    </row>
    <row r="21" spans="1:7" x14ac:dyDescent="0.25">
      <c r="A21">
        <v>-5.3600000000000002E-2</v>
      </c>
      <c r="B21">
        <v>0</v>
      </c>
      <c r="C21">
        <f>A21-B21</f>
        <v>-5.3600000000000002E-2</v>
      </c>
      <c r="D21">
        <f>ABS(C21)/($K$3)*10^6</f>
        <v>8.6173633440514479</v>
      </c>
      <c r="E21">
        <f>D21*$F$9</f>
        <v>8.6173633440514482E-3</v>
      </c>
      <c r="F21" s="2">
        <f>$F$8/$H$8*$F$5</f>
        <v>4.6200000000000001E-4</v>
      </c>
      <c r="G21" s="3">
        <f>E21/F21</f>
        <v>18.65230161050097</v>
      </c>
    </row>
    <row r="22" spans="1:7" x14ac:dyDescent="0.25">
      <c r="A22">
        <v>-5.1799999999999999E-2</v>
      </c>
      <c r="B22">
        <v>8.0000000000000004E-4</v>
      </c>
      <c r="C22">
        <f>A22-B22</f>
        <v>-5.2600000000000001E-2</v>
      </c>
      <c r="D22">
        <f>ABS(C22)/($K$3)*10^6</f>
        <v>8.4565916398713821</v>
      </c>
      <c r="E22">
        <f>D22*$F$9</f>
        <v>8.4565916398713827E-3</v>
      </c>
      <c r="F22" s="2">
        <f>$F$8/$H$8*$F$5</f>
        <v>4.6200000000000001E-4</v>
      </c>
      <c r="G22" s="3">
        <f>E22/F22</f>
        <v>18.304310908812518</v>
      </c>
    </row>
    <row r="24" spans="1:7" x14ac:dyDescent="0.25">
      <c r="F24" t="s">
        <v>63</v>
      </c>
      <c r="G24" s="12">
        <f>AVERAGE(G20:G22)</f>
        <v>18.582703470163278</v>
      </c>
    </row>
    <row r="25" spans="1:7" x14ac:dyDescent="0.25">
      <c r="F25" t="s">
        <v>64</v>
      </c>
      <c r="G25" s="13">
        <f>STDEV(G20:G22)</f>
        <v>0.25093966366447901</v>
      </c>
    </row>
    <row r="26" spans="1:7" x14ac:dyDescent="0.25">
      <c r="C26" s="2"/>
    </row>
    <row r="27" spans="1:7" x14ac:dyDescent="0.25">
      <c r="C27" s="3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opLeftCell="A11" workbookViewId="0">
      <selection activeCell="J18" sqref="J18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44510</v>
      </c>
      <c r="C1" t="s">
        <v>58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-5.79E-2</v>
      </c>
      <c r="B8" s="14">
        <v>-2.0000000000000001E-4</v>
      </c>
      <c r="C8" s="14">
        <f>A8-B8</f>
        <v>-5.7700000000000001E-2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-4.8599999999999997E-2</v>
      </c>
      <c r="B9" s="14">
        <v>0</v>
      </c>
      <c r="C9" s="14">
        <f>A9-B9</f>
        <v>-4.8599999999999997E-2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-4.8099999999999997E-2</v>
      </c>
      <c r="B10" s="14">
        <v>2.0000000000000001E-4</v>
      </c>
      <c r="C10" s="14">
        <f>A10-B10</f>
        <v>-4.8299999999999996E-2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-5.1533333333333341E-2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8.2851018220793158</v>
      </c>
      <c r="D13" s="14"/>
    </row>
    <row r="14" spans="1:12" x14ac:dyDescent="0.25">
      <c r="A14" s="14"/>
      <c r="B14" s="14" t="s">
        <v>30</v>
      </c>
      <c r="C14" s="14">
        <f>C13*$F$9</f>
        <v>8.2851018220793157E-3</v>
      </c>
      <c r="D14" s="14" t="s">
        <v>21</v>
      </c>
    </row>
    <row r="15" spans="1:12" x14ac:dyDescent="0.25">
      <c r="A15" s="14"/>
      <c r="B15" s="14"/>
      <c r="C15" s="16">
        <f>C14/F8*H8</f>
        <v>82.851018220793165</v>
      </c>
      <c r="D15" s="14" t="s">
        <v>36</v>
      </c>
    </row>
    <row r="16" spans="1:12" x14ac:dyDescent="0.25">
      <c r="A16" s="14"/>
      <c r="B16" s="14"/>
      <c r="C16" s="14">
        <f>C15/F5</f>
        <v>17.933120827011507</v>
      </c>
      <c r="D16" s="14" t="s">
        <v>28</v>
      </c>
    </row>
    <row r="18" spans="1:8" x14ac:dyDescent="0.25">
      <c r="D18" t="s">
        <v>59</v>
      </c>
      <c r="E18" t="s">
        <v>60</v>
      </c>
    </row>
    <row r="19" spans="1:8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8" x14ac:dyDescent="0.25">
      <c r="A20">
        <v>-5.79E-2</v>
      </c>
      <c r="B20">
        <v>-2.0000000000000001E-4</v>
      </c>
      <c r="C20">
        <f>A20-B20</f>
        <v>-5.7700000000000001E-2</v>
      </c>
      <c r="D20">
        <f>ABS(C20)/($K$3)*10^6</f>
        <v>9.2765273311897101</v>
      </c>
      <c r="E20">
        <f>D20*$F$9</f>
        <v>9.2765273311897108E-3</v>
      </c>
      <c r="F20" s="2">
        <f>$F$8/$H$8*$F$5</f>
        <v>4.6200000000000001E-4</v>
      </c>
      <c r="G20" s="3">
        <f>E20/F20</f>
        <v>20.079063487423618</v>
      </c>
    </row>
    <row r="21" spans="1:8" x14ac:dyDescent="0.25">
      <c r="A21">
        <v>-4.8599999999999997E-2</v>
      </c>
      <c r="B21">
        <v>0</v>
      </c>
      <c r="C21">
        <f>A21-B21</f>
        <v>-4.8599999999999997E-2</v>
      </c>
      <c r="D21">
        <f>ABS(C21)/($K$3)*10^6</f>
        <v>7.8135048231511242</v>
      </c>
      <c r="E21">
        <f>D21*$F$9</f>
        <v>7.8135048231511243E-3</v>
      </c>
      <c r="F21" s="2">
        <f>$F$8/$H$8*$F$5</f>
        <v>4.6200000000000001E-4</v>
      </c>
      <c r="G21" s="3">
        <f>E21/F21</f>
        <v>16.912348102058711</v>
      </c>
    </row>
    <row r="22" spans="1:8" x14ac:dyDescent="0.25">
      <c r="A22">
        <v>-4.8099999999999997E-2</v>
      </c>
      <c r="B22">
        <v>2.0000000000000001E-4</v>
      </c>
      <c r="C22">
        <f>A22-B22</f>
        <v>-4.8299999999999996E-2</v>
      </c>
      <c r="D22">
        <f>ABS(C22)/($K$3)*10^6</f>
        <v>7.765273311897106</v>
      </c>
      <c r="E22">
        <f>D22*$F$9</f>
        <v>7.7652733118971059E-3</v>
      </c>
      <c r="F22" s="2">
        <f>$F$8/$H$8*$F$5</f>
        <v>4.6200000000000001E-4</v>
      </c>
      <c r="G22" s="3">
        <f>E22/F22</f>
        <v>16.807950891552178</v>
      </c>
    </row>
    <row r="24" spans="1:8" x14ac:dyDescent="0.25">
      <c r="F24" t="s">
        <v>63</v>
      </c>
      <c r="G24" s="12">
        <f>AVERAGE(G20:G22)</f>
        <v>17.933120827011503</v>
      </c>
      <c r="H24" t="s">
        <v>28</v>
      </c>
    </row>
    <row r="25" spans="1:8" x14ac:dyDescent="0.25">
      <c r="F25" t="s">
        <v>64</v>
      </c>
      <c r="G25" s="13">
        <f>STDEV(G20:G22)</f>
        <v>1.8591737736755154</v>
      </c>
    </row>
    <row r="26" spans="1:8" x14ac:dyDescent="0.25">
      <c r="C26" s="2"/>
    </row>
    <row r="27" spans="1:8" x14ac:dyDescent="0.25">
      <c r="C27" s="3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6" workbookViewId="0">
      <selection activeCell="I23" sqref="I23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50</v>
      </c>
      <c r="B4" t="s">
        <v>0</v>
      </c>
      <c r="C4" t="s">
        <v>32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-8.72E-2</v>
      </c>
      <c r="B16">
        <v>-4.0000000000000002E-4</v>
      </c>
      <c r="C16">
        <f>A16-B16</f>
        <v>-8.6800000000000002E-2</v>
      </c>
      <c r="D16">
        <f>ABS(C16)/($K$4)*10^6</f>
        <v>13.954983922829582</v>
      </c>
      <c r="E16">
        <f>D16*$F$10</f>
        <v>1.3954983922829583E-2</v>
      </c>
      <c r="F16" s="2">
        <f>$F$9/$H$9*$F$6</f>
        <v>3.4650000000000002E-4</v>
      </c>
      <c r="G16" s="3">
        <f>E16/F16</f>
        <v>40.274123875410048</v>
      </c>
    </row>
    <row r="17" spans="1:7" x14ac:dyDescent="0.25">
      <c r="A17">
        <v>-8.5099999999999995E-2</v>
      </c>
      <c r="B17">
        <v>-1.1999999999999999E-3</v>
      </c>
      <c r="C17">
        <f>A17-B17</f>
        <v>-8.3899999999999988E-2</v>
      </c>
      <c r="D17">
        <f>ABS(C17)/($K$4)*10^6</f>
        <v>13.488745980707394</v>
      </c>
      <c r="E17">
        <f>D17*$F$10</f>
        <v>1.3488745980707394E-2</v>
      </c>
      <c r="F17" s="2">
        <f>$F$9/$H$9*$F$6</f>
        <v>3.4650000000000002E-4</v>
      </c>
      <c r="G17" s="3">
        <f>E17/F17</f>
        <v>38.928559828881362</v>
      </c>
    </row>
    <row r="18" spans="1:7" x14ac:dyDescent="0.25">
      <c r="A18">
        <v>-8.4900000000000003E-2</v>
      </c>
      <c r="B18">
        <v>-1.2999999999999999E-3</v>
      </c>
      <c r="C18">
        <f>A18-B18</f>
        <v>-8.3600000000000008E-2</v>
      </c>
      <c r="D18">
        <f>ABS(C18)/($K$4)*10^6</f>
        <v>13.440514469453378</v>
      </c>
      <c r="E18">
        <f>D18*$F$10</f>
        <v>1.3440514469453378E-2</v>
      </c>
      <c r="F18" s="2">
        <f>$F$9/$H$9*$F$6</f>
        <v>3.4650000000000002E-4</v>
      </c>
      <c r="G18" s="3">
        <f>E18/F18</f>
        <v>38.789363548205998</v>
      </c>
    </row>
    <row r="20" spans="1:7" x14ac:dyDescent="0.25">
      <c r="B20" t="s">
        <v>13</v>
      </c>
      <c r="C20">
        <f>AVERAGE(C16:C18)</f>
        <v>-8.4766666666666657E-2</v>
      </c>
      <c r="D20" t="s">
        <v>14</v>
      </c>
      <c r="F20" t="s">
        <v>63</v>
      </c>
      <c r="G20" s="12">
        <f>AVERAGE(G16:G18)</f>
        <v>39.330682417499141</v>
      </c>
    </row>
    <row r="21" spans="1:7" x14ac:dyDescent="0.25">
      <c r="B21" t="s">
        <v>16</v>
      </c>
      <c r="C21">
        <f>ABS(C20)/(K4) *10^6</f>
        <v>13.62808145766345</v>
      </c>
      <c r="F21" t="s">
        <v>64</v>
      </c>
      <c r="G21" s="13">
        <f>STDEV(G16:G18)</f>
        <v>0.82000319482137651</v>
      </c>
    </row>
    <row r="22" spans="1:7" x14ac:dyDescent="0.25">
      <c r="B22" t="s">
        <v>30</v>
      </c>
      <c r="C22">
        <f>C21*$F$10</f>
        <v>1.3628081457663451E-2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39.330682417499133</v>
      </c>
      <c r="D24" t="s">
        <v>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6" workbookViewId="0">
      <selection activeCell="F23" sqref="F23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50</v>
      </c>
      <c r="B4" t="s">
        <v>0</v>
      </c>
      <c r="C4" t="s">
        <v>32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-9.6000000000000002E-2</v>
      </c>
      <c r="B16">
        <v>6.9999999999999999E-4</v>
      </c>
      <c r="C16">
        <f>A16-B16</f>
        <v>-9.6700000000000008E-2</v>
      </c>
      <c r="D16">
        <f>ABS(C16)/($K$4)*10^6</f>
        <v>15.546623794212222</v>
      </c>
      <c r="E16">
        <f>D16*$F$10</f>
        <v>1.5546623794212223E-2</v>
      </c>
      <c r="F16" s="2">
        <f>$F$9/$H$9*$F$6</f>
        <v>3.4650000000000002E-4</v>
      </c>
      <c r="G16" s="3">
        <f>E16/F16</f>
        <v>44.867601137697612</v>
      </c>
    </row>
    <row r="17" spans="1:7" x14ac:dyDescent="0.25">
      <c r="A17">
        <v>-8.8700000000000001E-2</v>
      </c>
      <c r="B17">
        <v>1E-4</v>
      </c>
      <c r="C17">
        <f>A17-B17</f>
        <v>-8.8800000000000004E-2</v>
      </c>
      <c r="D17">
        <f>ABS(C17)/($K$4)*10^6</f>
        <v>14.276527331189712</v>
      </c>
      <c r="E17">
        <f>D17*$F$10</f>
        <v>1.4276527331189712E-2</v>
      </c>
      <c r="F17" s="2">
        <f>$F$9/$H$9*$F$6</f>
        <v>3.4650000000000002E-4</v>
      </c>
      <c r="G17" s="3">
        <f>E17/F17</f>
        <v>41.202099079912585</v>
      </c>
    </row>
    <row r="18" spans="1:7" x14ac:dyDescent="0.25">
      <c r="A18">
        <v>-9.5699999999999993E-2</v>
      </c>
      <c r="B18">
        <v>0</v>
      </c>
      <c r="C18">
        <f>A18-B18</f>
        <v>-9.5699999999999993E-2</v>
      </c>
      <c r="D18">
        <f>ABS(C18)/($K$4)*10^6</f>
        <v>15.385852090032152</v>
      </c>
      <c r="E18">
        <f>D18*$F$10</f>
        <v>1.5385852090032152E-2</v>
      </c>
      <c r="F18" s="2">
        <f>$F$9/$H$9*$F$6</f>
        <v>3.4650000000000002E-4</v>
      </c>
      <c r="G18" s="3">
        <f>E18/F18</f>
        <v>44.403613535446325</v>
      </c>
    </row>
    <row r="20" spans="1:7" x14ac:dyDescent="0.25">
      <c r="B20" t="s">
        <v>13</v>
      </c>
      <c r="C20">
        <f>AVERAGE(C16:C18)</f>
        <v>-9.3733333333333335E-2</v>
      </c>
      <c r="D20" t="s">
        <v>14</v>
      </c>
      <c r="F20" t="s">
        <v>63</v>
      </c>
      <c r="G20" s="12">
        <f>AVERAGE(G16:G18)</f>
        <v>43.491104584352172</v>
      </c>
    </row>
    <row r="21" spans="1:7" x14ac:dyDescent="0.25">
      <c r="B21" t="s">
        <v>16</v>
      </c>
      <c r="C21">
        <f>ABS(C20)/(K4) *10^6</f>
        <v>15.069667738478028</v>
      </c>
      <c r="F21" t="s">
        <v>64</v>
      </c>
      <c r="G21" s="13">
        <f>STDEV(G16:G18)</f>
        <v>1.9958659206662097</v>
      </c>
    </row>
    <row r="22" spans="1:7" x14ac:dyDescent="0.25">
      <c r="B22" t="s">
        <v>30</v>
      </c>
      <c r="C22">
        <f>C21*$F$10</f>
        <v>1.5069667738478029E-2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43.491104584352172</v>
      </c>
      <c r="D24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opLeftCell="A15" workbookViewId="0">
      <selection activeCell="B29" sqref="B29:D34"/>
    </sheetView>
  </sheetViews>
  <sheetFormatPr defaultRowHeight="15" x14ac:dyDescent="0.25"/>
  <cols>
    <col min="1" max="1" width="15.140625" bestFit="1" customWidth="1"/>
    <col min="2" max="2" width="24.140625" bestFit="1" customWidth="1"/>
    <col min="3" max="3" width="34.28515625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32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52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  <c r="J7" t="s">
        <v>53</v>
      </c>
    </row>
    <row r="8" spans="1:12" x14ac:dyDescent="0.25">
      <c r="A8" s="14">
        <v>-0.13039999999999999</v>
      </c>
      <c r="B8" s="14">
        <v>-1.5E-3</v>
      </c>
      <c r="C8" s="14">
        <f>A8-B8</f>
        <v>-0.12889999999999999</v>
      </c>
      <c r="D8" s="14"/>
      <c r="E8" t="s">
        <v>10</v>
      </c>
      <c r="F8" s="2">
        <v>0.01</v>
      </c>
      <c r="G8" t="s">
        <v>25</v>
      </c>
      <c r="H8">
        <v>100</v>
      </c>
      <c r="J8" s="2"/>
    </row>
    <row r="9" spans="1:12" x14ac:dyDescent="0.25">
      <c r="A9" s="14">
        <v>-0.1202</v>
      </c>
      <c r="B9" s="14">
        <v>0</v>
      </c>
      <c r="C9" s="14">
        <f>A9-B9</f>
        <v>-0.1202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-0.12189999999999999</v>
      </c>
      <c r="B10" s="14">
        <v>-4.0000000000000002E-4</v>
      </c>
      <c r="C10" s="14">
        <f>A10-B10</f>
        <v>-0.1215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-0.12353333333333333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19.86066452304394</v>
      </c>
      <c r="D13" s="14"/>
    </row>
    <row r="14" spans="1:12" x14ac:dyDescent="0.25">
      <c r="A14" s="14"/>
      <c r="B14" s="14" t="s">
        <v>30</v>
      </c>
      <c r="C14" s="14">
        <f>C13*$F$9</f>
        <v>1.9860664523043942E-2</v>
      </c>
      <c r="D14" s="14" t="s">
        <v>21</v>
      </c>
    </row>
    <row r="15" spans="1:12" x14ac:dyDescent="0.25">
      <c r="A15" s="14"/>
      <c r="B15" s="14" t="s">
        <v>26</v>
      </c>
      <c r="C15" s="15">
        <f>F8/H8*F5</f>
        <v>4.6200000000000001E-4</v>
      </c>
      <c r="D15" s="14" t="s">
        <v>27</v>
      </c>
    </row>
    <row r="16" spans="1:12" x14ac:dyDescent="0.25">
      <c r="A16" s="14"/>
      <c r="B16" s="14" t="s">
        <v>29</v>
      </c>
      <c r="C16" s="16">
        <f>C14/C15</f>
        <v>42.988451348579957</v>
      </c>
      <c r="D16" s="14" t="s">
        <v>28</v>
      </c>
    </row>
    <row r="17" spans="1:12" x14ac:dyDescent="0.25">
      <c r="A17" s="14"/>
      <c r="B17" s="14"/>
      <c r="C17" s="14"/>
      <c r="D17" s="14"/>
    </row>
    <row r="18" spans="1:12" x14ac:dyDescent="0.25">
      <c r="A18" s="14"/>
      <c r="B18" s="14"/>
      <c r="C18" s="14"/>
      <c r="D18" s="14"/>
    </row>
    <row r="19" spans="1:12" x14ac:dyDescent="0.25">
      <c r="A19" s="14"/>
      <c r="B19" s="14" t="s">
        <v>50</v>
      </c>
      <c r="C19" s="14">
        <f>C13/60</f>
        <v>0.33101107538406566</v>
      </c>
      <c r="D19" s="14" t="s">
        <v>49</v>
      </c>
    </row>
    <row r="20" spans="1:12" x14ac:dyDescent="0.25">
      <c r="A20" s="14"/>
      <c r="B20" s="14" t="s">
        <v>51</v>
      </c>
      <c r="C20" s="14">
        <f>167/10000</f>
        <v>1.67E-2</v>
      </c>
      <c r="D20" s="14" t="s">
        <v>49</v>
      </c>
    </row>
    <row r="21" spans="1:12" x14ac:dyDescent="0.25">
      <c r="A21" s="14"/>
      <c r="B21" s="14" t="s">
        <v>54</v>
      </c>
      <c r="C21" s="14">
        <f>C19/C20</f>
        <v>19.821022478087766</v>
      </c>
      <c r="D21" s="14" t="s">
        <v>55</v>
      </c>
    </row>
    <row r="23" spans="1:12" x14ac:dyDescent="0.25">
      <c r="D23" t="s">
        <v>59</v>
      </c>
      <c r="E23" t="s">
        <v>60</v>
      </c>
    </row>
    <row r="24" spans="1:12" x14ac:dyDescent="0.25">
      <c r="A24" t="s">
        <v>7</v>
      </c>
      <c r="B24" t="s">
        <v>5</v>
      </c>
      <c r="C24" t="s">
        <v>6</v>
      </c>
      <c r="D24" t="s">
        <v>61</v>
      </c>
      <c r="E24" t="s">
        <v>30</v>
      </c>
      <c r="F24" t="s">
        <v>62</v>
      </c>
      <c r="G24" t="s">
        <v>40</v>
      </c>
    </row>
    <row r="25" spans="1:12" x14ac:dyDescent="0.25">
      <c r="A25" s="14">
        <v>-0.13039999999999999</v>
      </c>
      <c r="B25" s="14">
        <v>-1.5E-3</v>
      </c>
      <c r="C25">
        <f>A25-B25</f>
        <v>-0.12889999999999999</v>
      </c>
      <c r="D25">
        <f>ABS(C25)/($K$3)*10^6</f>
        <v>20.723472668810288</v>
      </c>
      <c r="E25">
        <f>D25*$F$9</f>
        <v>2.0723472668810288E-2</v>
      </c>
      <c r="F25" s="2">
        <f>$F$8/$H$8*$F$5</f>
        <v>4.6200000000000001E-4</v>
      </c>
      <c r="G25" s="3">
        <f>E25/F25</f>
        <v>44.856001447641319</v>
      </c>
    </row>
    <row r="26" spans="1:12" x14ac:dyDescent="0.25">
      <c r="A26" s="14">
        <v>-0.1202</v>
      </c>
      <c r="B26" s="14">
        <v>0</v>
      </c>
      <c r="C26">
        <f>A26-B26</f>
        <v>-0.1202</v>
      </c>
      <c r="D26">
        <f>ABS(C26)/($K$3)*10^6</f>
        <v>19.324758842443728</v>
      </c>
      <c r="E26">
        <f>D26*$F$9</f>
        <v>1.932475884244373E-2</v>
      </c>
      <c r="F26" s="2">
        <f>$F$8/$H$8*$F$5</f>
        <v>4.6200000000000001E-4</v>
      </c>
      <c r="G26" s="3">
        <f>E26/F26</f>
        <v>41.828482342951794</v>
      </c>
    </row>
    <row r="27" spans="1:12" x14ac:dyDescent="0.25">
      <c r="A27" s="14">
        <v>-0.12189999999999999</v>
      </c>
      <c r="B27" s="14">
        <v>-4.0000000000000002E-4</v>
      </c>
      <c r="C27">
        <f>A27-B27</f>
        <v>-0.1215</v>
      </c>
      <c r="D27">
        <f>ABS(C27)/($K$3)*10^6</f>
        <v>19.533762057877816</v>
      </c>
      <c r="E27">
        <f>D27*$F$9</f>
        <v>1.9533762057877817E-2</v>
      </c>
      <c r="F27" s="2">
        <f>$F$8/$H$8*$F$5</f>
        <v>4.6200000000000001E-4</v>
      </c>
      <c r="G27" s="3">
        <f>E27/F27</f>
        <v>42.280870255146787</v>
      </c>
    </row>
    <row r="28" spans="1:12" x14ac:dyDescent="0.25">
      <c r="K28">
        <f>167/10000</f>
        <v>1.67E-2</v>
      </c>
      <c r="L28" t="s">
        <v>52</v>
      </c>
    </row>
    <row r="29" spans="1:12" x14ac:dyDescent="0.25">
      <c r="F29" t="s">
        <v>63</v>
      </c>
      <c r="G29" s="12">
        <f>AVERAGE(G25:G27)</f>
        <v>42.988451348579964</v>
      </c>
    </row>
    <row r="30" spans="1:12" x14ac:dyDescent="0.25">
      <c r="F30" t="s">
        <v>64</v>
      </c>
      <c r="G30" s="13">
        <f>STDEV(G25:G27)</f>
        <v>1.6330864138658081</v>
      </c>
    </row>
    <row r="33" spans="3:3" x14ac:dyDescent="0.25">
      <c r="C33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"/>
  <sheetViews>
    <sheetView topLeftCell="A11" workbookViewId="0">
      <selection activeCell="A18" sqref="A18:H27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31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-0.1283</v>
      </c>
      <c r="B8" s="14">
        <v>-8.9999999999999998E-4</v>
      </c>
      <c r="C8" s="14">
        <f>A8-B8</f>
        <v>-0.12739999999999999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-0.1132</v>
      </c>
      <c r="B9" s="14">
        <v>-8.9999999999999998E-4</v>
      </c>
      <c r="C9" s="14">
        <f>A9-B9</f>
        <v>-0.1123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-0.1149</v>
      </c>
      <c r="B10" s="14">
        <v>-8.0000000000000004E-4</v>
      </c>
      <c r="C10" s="14">
        <f>A10-B10</f>
        <v>-0.11410000000000001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-0.11793333333333333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18.960342979635584</v>
      </c>
      <c r="D13" s="14"/>
    </row>
    <row r="14" spans="1:12" x14ac:dyDescent="0.25">
      <c r="A14" s="14"/>
      <c r="B14" s="14" t="s">
        <v>30</v>
      </c>
      <c r="C14" s="14">
        <f>C13*$F$9</f>
        <v>1.8960342979635586E-2</v>
      </c>
      <c r="D14" s="14" t="s">
        <v>21</v>
      </c>
    </row>
    <row r="15" spans="1:12" x14ac:dyDescent="0.25">
      <c r="A15" s="14"/>
      <c r="B15" s="14" t="s">
        <v>26</v>
      </c>
      <c r="C15" s="15">
        <f>F8/H8*F5</f>
        <v>4.6200000000000001E-4</v>
      </c>
      <c r="D15" s="14" t="s">
        <v>27</v>
      </c>
    </row>
    <row r="16" spans="1:12" x14ac:dyDescent="0.25">
      <c r="A16" s="14"/>
      <c r="B16" s="14" t="s">
        <v>29</v>
      </c>
      <c r="C16" s="16">
        <f>C14/C15</f>
        <v>41.039703419124642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 s="17">
        <v>-0.1283</v>
      </c>
      <c r="B20" s="17">
        <v>-8.9999999999999998E-4</v>
      </c>
      <c r="C20">
        <f>A20-B20</f>
        <v>-0.12739999999999999</v>
      </c>
      <c r="D20">
        <f>ABS(C20)/($K$3)*10^6</f>
        <v>20.482315112540192</v>
      </c>
      <c r="E20">
        <f>D20*$F$9</f>
        <v>2.0482315112540193E-2</v>
      </c>
      <c r="F20" s="2">
        <f>$F$8/$H$8*$F$5</f>
        <v>4.6200000000000001E-4</v>
      </c>
      <c r="G20" s="3">
        <f>E20/F20</f>
        <v>44.334015395108644</v>
      </c>
    </row>
    <row r="21" spans="1:7" x14ac:dyDescent="0.25">
      <c r="A21" s="17">
        <v>-0.1132</v>
      </c>
      <c r="B21" s="17">
        <v>-8.9999999999999998E-4</v>
      </c>
      <c r="C21">
        <f>A21-B21</f>
        <v>-0.1123</v>
      </c>
      <c r="D21">
        <f>ABS(C21)/($K$3)*10^6</f>
        <v>18.05466237942122</v>
      </c>
      <c r="E21">
        <f>D21*$F$9</f>
        <v>1.8054662379421219E-2</v>
      </c>
      <c r="F21" s="2">
        <f>$F$8/$H$8*$F$5</f>
        <v>4.6200000000000001E-4</v>
      </c>
      <c r="G21" s="3">
        <f>E21/F21</f>
        <v>39.079355799613026</v>
      </c>
    </row>
    <row r="22" spans="1:7" x14ac:dyDescent="0.25">
      <c r="A22" s="17">
        <v>-0.1149</v>
      </c>
      <c r="B22" s="17">
        <v>-8.0000000000000004E-4</v>
      </c>
      <c r="C22">
        <f>A22-B22</f>
        <v>-0.11410000000000001</v>
      </c>
      <c r="D22">
        <f>ABS(C22)/($K$3)*10^6</f>
        <v>18.34405144694534</v>
      </c>
      <c r="E22">
        <f>D22*$F$9</f>
        <v>1.8344051446945338E-2</v>
      </c>
      <c r="F22" s="2">
        <f>$F$8/$H$8*$F$5</f>
        <v>4.6200000000000001E-4</v>
      </c>
      <c r="G22" s="3">
        <f>E22/F22</f>
        <v>39.705739062652249</v>
      </c>
    </row>
    <row r="24" spans="1:7" x14ac:dyDescent="0.25">
      <c r="F24" t="s">
        <v>63</v>
      </c>
      <c r="G24" s="12">
        <f>AVERAGE(G20:G22)</f>
        <v>41.039703419124635</v>
      </c>
    </row>
    <row r="25" spans="1:7" x14ac:dyDescent="0.25">
      <c r="F25" t="s">
        <v>64</v>
      </c>
      <c r="G25" s="13">
        <f>STDEV(G20:G22)</f>
        <v>2.8700971315249317</v>
      </c>
    </row>
    <row r="28" spans="1:7" x14ac:dyDescent="0.25">
      <c r="C28" s="3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topLeftCell="A11" workbookViewId="0">
      <selection activeCell="H27" sqref="H27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33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-0.15459999999999999</v>
      </c>
      <c r="B8" s="14">
        <v>-6.9999999999999999E-4</v>
      </c>
      <c r="C8" s="14">
        <f>A8-B8</f>
        <v>-0.15389999999999998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-0.15060000000000001</v>
      </c>
      <c r="B9" s="14">
        <v>-5.9999999999999995E-4</v>
      </c>
      <c r="C9" s="14">
        <f>A9-B9</f>
        <v>-0.15000000000000002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-0.15110000000000001</v>
      </c>
      <c r="B10" s="14">
        <v>-5.9999999999999995E-4</v>
      </c>
      <c r="C10" s="14">
        <f>A10-B10</f>
        <v>-0.15050000000000002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-0.15146666666666667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24.351554126473744</v>
      </c>
      <c r="D13" s="14"/>
    </row>
    <row r="14" spans="1:12" x14ac:dyDescent="0.25">
      <c r="A14" s="14"/>
      <c r="B14" s="14" t="s">
        <v>30</v>
      </c>
      <c r="C14" s="14">
        <f>C13*$F$9</f>
        <v>2.4351554126473746E-2</v>
      </c>
      <c r="D14" s="14" t="s">
        <v>21</v>
      </c>
    </row>
    <row r="15" spans="1:12" x14ac:dyDescent="0.25">
      <c r="A15" s="14"/>
      <c r="B15" s="14"/>
      <c r="C15" s="16">
        <f>C14/F8*H8</f>
        <v>243.51554126473744</v>
      </c>
      <c r="D15" s="14" t="s">
        <v>36</v>
      </c>
    </row>
    <row r="16" spans="1:12" x14ac:dyDescent="0.25">
      <c r="A16" s="14"/>
      <c r="B16" s="14"/>
      <c r="C16" s="14">
        <f>C15/F5</f>
        <v>52.708991615744033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-0.15459999999999999</v>
      </c>
      <c r="B20">
        <v>-6.9999999999999999E-4</v>
      </c>
      <c r="C20">
        <f>A20-B20</f>
        <v>-0.15389999999999998</v>
      </c>
      <c r="D20">
        <f>ABS(C20)/($K$3)*10^6</f>
        <v>24.742765273311896</v>
      </c>
      <c r="E20">
        <f>D20*$F$9</f>
        <v>2.4742765273311897E-2</v>
      </c>
      <c r="F20" s="2">
        <f>$F$8/$H$8*$F$5</f>
        <v>4.6200000000000001E-4</v>
      </c>
      <c r="G20" s="3">
        <f>E20/F20</f>
        <v>53.555768989852588</v>
      </c>
    </row>
    <row r="21" spans="1:7" x14ac:dyDescent="0.25">
      <c r="A21">
        <v>-0.15060000000000001</v>
      </c>
      <c r="B21">
        <v>-5.9999999999999995E-4</v>
      </c>
      <c r="C21">
        <f>A21-B21</f>
        <v>-0.15000000000000002</v>
      </c>
      <c r="D21">
        <f>ABS(C21)/($K$3)*10^6</f>
        <v>24.115755627009648</v>
      </c>
      <c r="E21">
        <f>D21*$F$9</f>
        <v>2.4115755627009648E-2</v>
      </c>
      <c r="F21" s="2">
        <f>$F$8/$H$8*$F$5</f>
        <v>4.6200000000000001E-4</v>
      </c>
      <c r="G21" s="3">
        <f>E21/F21</f>
        <v>52.198605253267637</v>
      </c>
    </row>
    <row r="22" spans="1:7" x14ac:dyDescent="0.25">
      <c r="A22">
        <v>-0.15110000000000001</v>
      </c>
      <c r="B22">
        <v>-5.9999999999999995E-4</v>
      </c>
      <c r="C22">
        <f>A22-B22</f>
        <v>-0.15050000000000002</v>
      </c>
      <c r="D22">
        <f>ABS(C22)/($K$3)*10^6</f>
        <v>24.196141479099683</v>
      </c>
      <c r="E22">
        <f>D22*$F$9</f>
        <v>2.4196141479099684E-2</v>
      </c>
      <c r="F22" s="2">
        <f>$F$8/$H$8*$F$5</f>
        <v>4.6200000000000001E-4</v>
      </c>
      <c r="G22" s="3">
        <f>E22/F22</f>
        <v>52.372600604111867</v>
      </c>
    </row>
    <row r="24" spans="1:7" x14ac:dyDescent="0.25">
      <c r="F24" t="s">
        <v>63</v>
      </c>
      <c r="G24" s="12">
        <f>AVERAGE(G20:G22)</f>
        <v>52.708991615744026</v>
      </c>
    </row>
    <row r="25" spans="1:7" x14ac:dyDescent="0.25">
      <c r="F25" t="s">
        <v>64</v>
      </c>
      <c r="G25" s="13">
        <f>STDEV(G20:G22)</f>
        <v>0.73847311156567486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opLeftCell="A13" workbookViewId="0">
      <selection activeCell="A23" sqref="A23:H30"/>
    </sheetView>
  </sheetViews>
  <sheetFormatPr defaultRowHeight="15" x14ac:dyDescent="0.25"/>
  <cols>
    <col min="1" max="1" width="15.140625" bestFit="1" customWidth="1"/>
    <col min="2" max="2" width="19.140625" customWidth="1"/>
    <col min="6" max="6" width="15.8554687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34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6" spans="1:12" x14ac:dyDescent="0.25">
      <c r="A6" s="4">
        <v>0.05</v>
      </c>
      <c r="B6" t="s">
        <v>35</v>
      </c>
    </row>
    <row r="10" spans="1:12" x14ac:dyDescent="0.25">
      <c r="A10" s="14" t="s">
        <v>7</v>
      </c>
      <c r="B10" s="14" t="s">
        <v>5</v>
      </c>
      <c r="C10" s="14" t="s">
        <v>6</v>
      </c>
      <c r="D10" s="14"/>
      <c r="H10" t="s">
        <v>12</v>
      </c>
    </row>
    <row r="11" spans="1:12" x14ac:dyDescent="0.25">
      <c r="A11" s="14"/>
      <c r="B11" s="14"/>
      <c r="C11" s="14"/>
      <c r="D11" s="14"/>
      <c r="E11" t="s">
        <v>10</v>
      </c>
      <c r="F11" s="2">
        <v>0.01</v>
      </c>
      <c r="G11" t="s">
        <v>25</v>
      </c>
      <c r="H11">
        <v>10</v>
      </c>
    </row>
    <row r="12" spans="1:12" x14ac:dyDescent="0.25">
      <c r="A12" s="14">
        <v>-6.7100000000000007E-2</v>
      </c>
      <c r="B12" s="14">
        <v>-5.0000000000000001E-4</v>
      </c>
      <c r="C12" s="14">
        <f>A12-B12</f>
        <v>-6.6600000000000006E-2</v>
      </c>
      <c r="D12" s="14"/>
      <c r="E12" t="s">
        <v>11</v>
      </c>
      <c r="F12">
        <v>2E-3</v>
      </c>
      <c r="G12" t="s">
        <v>20</v>
      </c>
    </row>
    <row r="13" spans="1:12" x14ac:dyDescent="0.25">
      <c r="A13" s="14">
        <v>-6.8400000000000002E-2</v>
      </c>
      <c r="B13" s="14">
        <v>1E-4</v>
      </c>
      <c r="C13" s="14">
        <f>A13-B13</f>
        <v>-6.8500000000000005E-2</v>
      </c>
      <c r="D13" s="14"/>
    </row>
    <row r="14" spans="1:12" x14ac:dyDescent="0.25">
      <c r="A14" s="14">
        <v>-6.6000000000000003E-2</v>
      </c>
      <c r="B14" s="14">
        <v>2.0000000000000001E-4</v>
      </c>
      <c r="C14" s="14">
        <f>A14-B14</f>
        <v>-6.6200000000000009E-2</v>
      </c>
      <c r="D14" s="14"/>
    </row>
    <row r="15" spans="1:12" x14ac:dyDescent="0.25">
      <c r="A15" s="14"/>
      <c r="B15" s="14"/>
      <c r="C15" s="14"/>
      <c r="D15" s="14"/>
    </row>
    <row r="16" spans="1:12" x14ac:dyDescent="0.25">
      <c r="A16" s="14"/>
      <c r="B16" s="14" t="s">
        <v>13</v>
      </c>
      <c r="C16" s="14">
        <f>AVERAGE(C12:C14)</f>
        <v>-6.7100000000000007E-2</v>
      </c>
      <c r="D16" s="14" t="s">
        <v>14</v>
      </c>
    </row>
    <row r="17" spans="1:7" x14ac:dyDescent="0.25">
      <c r="A17" s="14"/>
      <c r="B17" s="14" t="s">
        <v>16</v>
      </c>
      <c r="C17" s="14">
        <f>ABS(C16)/(K3) *10^6</f>
        <v>10.787781350482316</v>
      </c>
      <c r="D17" s="14"/>
    </row>
    <row r="18" spans="1:7" x14ac:dyDescent="0.25">
      <c r="A18" s="14" t="s">
        <v>30</v>
      </c>
      <c r="B18" s="14" t="s">
        <v>21</v>
      </c>
      <c r="C18" s="14">
        <f>C17*$F$12</f>
        <v>2.1575562700964633E-2</v>
      </c>
      <c r="D18" s="14"/>
    </row>
    <row r="19" spans="1:7" x14ac:dyDescent="0.25">
      <c r="A19" s="14"/>
      <c r="B19" s="14" t="s">
        <v>36</v>
      </c>
      <c r="C19" s="16">
        <f>C18/F11*H11</f>
        <v>21.575562700964635</v>
      </c>
      <c r="D19" s="14" t="s">
        <v>37</v>
      </c>
    </row>
    <row r="20" spans="1:7" x14ac:dyDescent="0.25">
      <c r="A20" s="14"/>
      <c r="B20" s="14" t="s">
        <v>28</v>
      </c>
      <c r="C20" s="16">
        <f>C19/F5</f>
        <v>4.670035216659012</v>
      </c>
      <c r="D20" s="14"/>
    </row>
    <row r="22" spans="1:7" x14ac:dyDescent="0.25">
      <c r="C22" s="6"/>
    </row>
    <row r="23" spans="1:7" x14ac:dyDescent="0.25">
      <c r="D23" t="s">
        <v>59</v>
      </c>
      <c r="E23" t="s">
        <v>60</v>
      </c>
    </row>
    <row r="24" spans="1:7" x14ac:dyDescent="0.25">
      <c r="A24" t="s">
        <v>7</v>
      </c>
      <c r="B24" t="s">
        <v>5</v>
      </c>
      <c r="C24" t="s">
        <v>6</v>
      </c>
      <c r="D24" t="s">
        <v>61</v>
      </c>
      <c r="E24" t="s">
        <v>30</v>
      </c>
      <c r="F24" t="s">
        <v>62</v>
      </c>
      <c r="G24" t="s">
        <v>40</v>
      </c>
    </row>
    <row r="25" spans="1:7" x14ac:dyDescent="0.25">
      <c r="A25">
        <v>-6.7100000000000007E-2</v>
      </c>
      <c r="B25">
        <v>-5.0000000000000001E-4</v>
      </c>
      <c r="C25">
        <f>A25-B25</f>
        <v>-6.6600000000000006E-2</v>
      </c>
      <c r="D25">
        <f>ABS(C25)/($K$3)*10^6</f>
        <v>10.707395498392284</v>
      </c>
      <c r="E25">
        <f>D25*$F$12</f>
        <v>2.1414790996784568E-2</v>
      </c>
      <c r="F25" s="2">
        <f>$F$11/$H$11*$F$5</f>
        <v>4.62E-3</v>
      </c>
      <c r="G25" s="3">
        <f>E25/F25</f>
        <v>4.6352361464901666</v>
      </c>
    </row>
    <row r="26" spans="1:7" x14ac:dyDescent="0.25">
      <c r="A26">
        <v>-6.8400000000000002E-2</v>
      </c>
      <c r="B26">
        <v>1E-4</v>
      </c>
      <c r="C26">
        <f>A26-B26</f>
        <v>-6.8500000000000005E-2</v>
      </c>
      <c r="D26">
        <f>ABS(C26)/($K$3)*10^6</f>
        <v>11.012861736334406</v>
      </c>
      <c r="E26">
        <f>D26*$F$12</f>
        <v>2.2025723472668811E-2</v>
      </c>
      <c r="F26" s="2">
        <f>$F$11/$H$11*$F$5</f>
        <v>4.62E-3</v>
      </c>
      <c r="G26" s="3">
        <f>E26/F26</f>
        <v>4.7674726131317771</v>
      </c>
    </row>
    <row r="27" spans="1:7" x14ac:dyDescent="0.25">
      <c r="A27">
        <v>-6.6000000000000003E-2</v>
      </c>
      <c r="B27">
        <v>2.0000000000000001E-4</v>
      </c>
      <c r="C27">
        <f>A27-B27</f>
        <v>-6.6200000000000009E-2</v>
      </c>
      <c r="D27">
        <f>ABS(C27)/($K$3)*10^6</f>
        <v>10.643086816720258</v>
      </c>
      <c r="E27">
        <f>D27*$F$12</f>
        <v>2.1286173633440517E-2</v>
      </c>
      <c r="F27" s="2">
        <f>$F$11/$H$11*$F$5</f>
        <v>4.62E-3</v>
      </c>
      <c r="G27" s="3">
        <f>E27/F27</f>
        <v>4.6073968903550906</v>
      </c>
    </row>
    <row r="29" spans="1:7" x14ac:dyDescent="0.25">
      <c r="F29" t="s">
        <v>63</v>
      </c>
      <c r="G29" s="12">
        <f>AVERAGE(G25:G27)</f>
        <v>4.670035216659012</v>
      </c>
    </row>
    <row r="30" spans="1:7" x14ac:dyDescent="0.25">
      <c r="F30" t="s">
        <v>64</v>
      </c>
      <c r="G30" s="13">
        <f>STDEV(G25:G27)</f>
        <v>8.5523626671708583E-2</v>
      </c>
    </row>
    <row r="33" spans="3:3" x14ac:dyDescent="0.25">
      <c r="C33" s="3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B5" sqref="B5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1</v>
      </c>
      <c r="B4" t="s">
        <v>72</v>
      </c>
      <c r="C4" t="s">
        <v>65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>
        <v>9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-4.2500000000000003E-2</v>
      </c>
      <c r="B16">
        <v>-1E-3</v>
      </c>
      <c r="C16">
        <f>A16-B16</f>
        <v>-4.1500000000000002E-2</v>
      </c>
      <c r="D16">
        <f>ABS(C16)/($K$4)*10^6</f>
        <v>6.672025723472669</v>
      </c>
      <c r="E16">
        <f>D16*$F$10</f>
        <v>6.6720257234726688E-3</v>
      </c>
      <c r="F16" s="2">
        <f>$F$9/$H$9*$F$6</f>
        <v>3.465E-2</v>
      </c>
      <c r="G16" s="3">
        <f>E16/F16</f>
        <v>0.19255485493427615</v>
      </c>
    </row>
    <row r="17" spans="1:7" x14ac:dyDescent="0.25">
      <c r="A17">
        <v>-3.4299999999999997E-2</v>
      </c>
      <c r="B17">
        <v>-2.0000000000000001E-4</v>
      </c>
      <c r="C17">
        <f>A17-B17</f>
        <v>-3.4099999999999998E-2</v>
      </c>
      <c r="D17">
        <f>ABS(C17)/($K$4)*10^6</f>
        <v>5.4823151125401921</v>
      </c>
      <c r="E17">
        <f>D17*$F$10</f>
        <v>5.4823151125401922E-3</v>
      </c>
      <c r="F17" s="2">
        <f>$F$9/$H$9*$F$6</f>
        <v>3.465E-2</v>
      </c>
      <c r="G17" s="3">
        <f>E17/F17</f>
        <v>0.15821977236768231</v>
      </c>
    </row>
    <row r="18" spans="1:7" x14ac:dyDescent="0.25">
      <c r="A18">
        <v>-5.3199999999999997E-2</v>
      </c>
      <c r="B18">
        <v>-6.9999999999999999E-4</v>
      </c>
      <c r="C18">
        <f>A18-B18</f>
        <v>-5.2499999999999998E-2</v>
      </c>
      <c r="D18">
        <f>ABS(C18)/($K$4)*10^6</f>
        <v>8.440514469453376</v>
      </c>
      <c r="E18">
        <f>D18*$F$10</f>
        <v>8.4405144694533769E-3</v>
      </c>
      <c r="F18" s="2">
        <f>$F$9/$H$9*$F$6</f>
        <v>3.465E-2</v>
      </c>
      <c r="G18" s="3">
        <f>E18/F18</f>
        <v>0.24359349118191564</v>
      </c>
    </row>
    <row r="20" spans="1:7" x14ac:dyDescent="0.25">
      <c r="B20" t="s">
        <v>13</v>
      </c>
      <c r="C20">
        <f>AVERAGE(C16:C18)</f>
        <v>-4.2699999999999995E-2</v>
      </c>
      <c r="D20" t="s">
        <v>14</v>
      </c>
      <c r="F20" t="s">
        <v>63</v>
      </c>
      <c r="G20" s="12">
        <f>AVERAGE(G16:G18)</f>
        <v>0.19812270616129135</v>
      </c>
    </row>
    <row r="21" spans="1:7" x14ac:dyDescent="0.25">
      <c r="B21" t="s">
        <v>16</v>
      </c>
      <c r="C21">
        <f>ABS(C20)/(K4) *10^6</f>
        <v>6.8649517684887451</v>
      </c>
      <c r="F21" t="s">
        <v>64</v>
      </c>
      <c r="G21" s="13">
        <f>STDEV(G16:G18)</f>
        <v>4.2958336693912878E-2</v>
      </c>
    </row>
    <row r="22" spans="1:7" x14ac:dyDescent="0.25">
      <c r="B22" t="s">
        <v>30</v>
      </c>
      <c r="C22">
        <f>C21*$F$10</f>
        <v>6.8649517684887451E-3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0.19812270616129135</v>
      </c>
      <c r="D24" t="s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H10" sqref="H10"/>
    </sheetView>
  </sheetViews>
  <sheetFormatPr defaultRowHeight="15" x14ac:dyDescent="0.25"/>
  <cols>
    <col min="1" max="1" width="14" bestFit="1" customWidth="1"/>
    <col min="2" max="2" width="10.425781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44529</v>
      </c>
    </row>
    <row r="4" spans="1:12" x14ac:dyDescent="0.25">
      <c r="A4">
        <v>1</v>
      </c>
      <c r="B4" t="s">
        <v>72</v>
      </c>
      <c r="C4" t="s">
        <v>65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>
        <v>8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50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-7.5600000000000001E-2</v>
      </c>
      <c r="B16">
        <v>1E-4</v>
      </c>
      <c r="C16">
        <f>A16-B16</f>
        <v>-7.5700000000000003E-2</v>
      </c>
      <c r="D16">
        <f>ABS(C16)/($K$4)*10^6</f>
        <v>12.17041800643087</v>
      </c>
      <c r="E16">
        <f>D16*$F$10</f>
        <v>1.217041800643087E-2</v>
      </c>
      <c r="F16" s="2">
        <f>$F$9/$H$9*$F$6</f>
        <v>6.9300000000000004E-4</v>
      </c>
      <c r="G16" s="3">
        <f>E16/F16</f>
        <v>17.561930745210489</v>
      </c>
    </row>
    <row r="17" spans="1:7" x14ac:dyDescent="0.25">
      <c r="A17">
        <v>-6.8400000000000002E-2</v>
      </c>
      <c r="B17">
        <v>-8.9999999999999998E-4</v>
      </c>
      <c r="C17">
        <f>A17-B17</f>
        <v>-6.7500000000000004E-2</v>
      </c>
      <c r="D17">
        <f>ABS(C17)/($K$4)*10^6</f>
        <v>10.852090032154342</v>
      </c>
      <c r="E17">
        <f>D17*$F$10</f>
        <v>1.0852090032154342E-2</v>
      </c>
      <c r="F17" s="2">
        <f>$F$9/$H$9*$F$6</f>
        <v>6.9300000000000004E-4</v>
      </c>
      <c r="G17" s="3">
        <f>E17/F17</f>
        <v>15.65958157598029</v>
      </c>
    </row>
    <row r="18" spans="1:7" x14ac:dyDescent="0.25">
      <c r="A18">
        <v>-7.5800000000000006E-2</v>
      </c>
      <c r="B18">
        <v>1E-4</v>
      </c>
      <c r="C18">
        <f>A18-B18</f>
        <v>-7.5900000000000009E-2</v>
      </c>
      <c r="D18">
        <f>ABS(C18)/($K$4)*10^6</f>
        <v>12.202572347266882</v>
      </c>
      <c r="E18">
        <f>D18*$F$10</f>
        <v>1.2202572347266882E-2</v>
      </c>
      <c r="F18" s="2">
        <f>$F$9/$H$9*$F$6</f>
        <v>6.9300000000000004E-4</v>
      </c>
      <c r="G18" s="3">
        <f>E18/F18</f>
        <v>17.608329505435616</v>
      </c>
    </row>
    <row r="20" spans="1:7" x14ac:dyDescent="0.25">
      <c r="B20" t="s">
        <v>13</v>
      </c>
      <c r="C20">
        <f>AVERAGE(C16:C18)</f>
        <v>-7.3033333333333339E-2</v>
      </c>
      <c r="D20" t="s">
        <v>14</v>
      </c>
      <c r="F20" t="s">
        <v>63</v>
      </c>
      <c r="G20" s="12">
        <f>AVERAGE(G16:G18)</f>
        <v>16.943280608875465</v>
      </c>
    </row>
    <row r="21" spans="1:7" x14ac:dyDescent="0.25">
      <c r="B21" t="s">
        <v>16</v>
      </c>
      <c r="C21">
        <f>ABS(C20)/(K4) *10^6</f>
        <v>11.741693461950698</v>
      </c>
      <c r="F21" t="s">
        <v>64</v>
      </c>
      <c r="G21" s="13">
        <f>STDEV(G16:G18)</f>
        <v>1.1119580102367232</v>
      </c>
    </row>
    <row r="22" spans="1:7" x14ac:dyDescent="0.25">
      <c r="B22" t="s">
        <v>30</v>
      </c>
      <c r="C22">
        <f>C21*$F$10</f>
        <v>1.1741693461950697E-2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16.943280608875465</v>
      </c>
      <c r="D24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S1" zoomScaleNormal="100" workbookViewId="0">
      <selection activeCell="U16" sqref="U16"/>
    </sheetView>
  </sheetViews>
  <sheetFormatPr defaultRowHeight="15" x14ac:dyDescent="0.25"/>
  <cols>
    <col min="1" max="1" width="20.28515625" bestFit="1" customWidth="1"/>
    <col min="2" max="2" width="9.42578125" bestFit="1" customWidth="1"/>
    <col min="3" max="3" width="21.85546875" bestFit="1" customWidth="1"/>
    <col min="4" max="4" width="20.42578125" bestFit="1" customWidth="1"/>
    <col min="7" max="7" width="31.85546875" bestFit="1" customWidth="1"/>
    <col min="8" max="8" width="22" bestFit="1" customWidth="1"/>
    <col min="21" max="21" width="11.140625" bestFit="1" customWidth="1"/>
    <col min="22" max="22" width="21.85546875" bestFit="1" customWidth="1"/>
    <col min="23" max="23" width="8" bestFit="1" customWidth="1"/>
    <col min="24" max="24" width="26.5703125" bestFit="1" customWidth="1"/>
    <col min="25" max="25" width="17.42578125" bestFit="1" customWidth="1"/>
  </cols>
  <sheetData>
    <row r="1" spans="1:25" x14ac:dyDescent="0.25">
      <c r="A1" t="s">
        <v>56</v>
      </c>
      <c r="B1" s="11">
        <v>44504</v>
      </c>
      <c r="D1" t="s">
        <v>67</v>
      </c>
      <c r="I1" t="s">
        <v>67</v>
      </c>
    </row>
    <row r="2" spans="1:25" x14ac:dyDescent="0.25">
      <c r="A2" s="13" t="s">
        <v>66</v>
      </c>
      <c r="G2" s="13" t="s">
        <v>70</v>
      </c>
    </row>
    <row r="3" spans="1:25" x14ac:dyDescent="0.25">
      <c r="A3" s="10" t="s">
        <v>48</v>
      </c>
      <c r="B3" s="10"/>
      <c r="C3" s="10" t="s">
        <v>40</v>
      </c>
      <c r="D3" s="10" t="s">
        <v>68</v>
      </c>
      <c r="G3" s="24" t="s">
        <v>71</v>
      </c>
      <c r="H3" s="25" t="s">
        <v>40</v>
      </c>
      <c r="I3" s="26" t="s">
        <v>68</v>
      </c>
    </row>
    <row r="4" spans="1:25" x14ac:dyDescent="0.25">
      <c r="A4" t="s">
        <v>1</v>
      </c>
      <c r="B4" t="s">
        <v>41</v>
      </c>
      <c r="G4" s="19">
        <v>10</v>
      </c>
      <c r="H4" s="20">
        <f>'10 mM AcPh'!G20</f>
        <v>39.330682417499141</v>
      </c>
      <c r="I4" s="21">
        <f>'10 mM AcPh'!G21</f>
        <v>0.82000319482137651</v>
      </c>
    </row>
    <row r="5" spans="1:25" x14ac:dyDescent="0.25">
      <c r="A5" t="s">
        <v>3</v>
      </c>
      <c r="B5" t="s">
        <v>2</v>
      </c>
      <c r="C5" s="5"/>
      <c r="G5" s="22">
        <v>20</v>
      </c>
      <c r="H5" s="18">
        <f>'20 mM AcPh'!G20</f>
        <v>43.491104584352172</v>
      </c>
      <c r="I5" s="23">
        <f>'20 mM AcPh'!G21</f>
        <v>1.9958659206662097</v>
      </c>
    </row>
    <row r="6" spans="1:25" x14ac:dyDescent="0.25">
      <c r="A6" s="7" t="s">
        <v>4</v>
      </c>
      <c r="B6" s="7" t="s">
        <v>42</v>
      </c>
      <c r="C6" s="27">
        <f>Tris!G26</f>
        <v>40.285723565466327</v>
      </c>
      <c r="D6" s="18">
        <f>Tris!G27</f>
        <v>1.5269351922443879</v>
      </c>
    </row>
    <row r="7" spans="1:25" x14ac:dyDescent="0.25">
      <c r="A7" t="s">
        <v>38</v>
      </c>
      <c r="B7" t="s">
        <v>41</v>
      </c>
      <c r="C7" s="5"/>
    </row>
    <row r="8" spans="1:25" x14ac:dyDescent="0.25">
      <c r="A8" t="s">
        <v>3</v>
      </c>
      <c r="B8" t="s">
        <v>2</v>
      </c>
      <c r="C8" s="5"/>
      <c r="X8" t="s">
        <v>81</v>
      </c>
    </row>
    <row r="9" spans="1:25" x14ac:dyDescent="0.25">
      <c r="A9" s="7" t="s">
        <v>4</v>
      </c>
      <c r="B9" s="7" t="s">
        <v>42</v>
      </c>
      <c r="C9" s="27">
        <f>'K-PO4'!G29</f>
        <v>42.988451348579964</v>
      </c>
      <c r="D9" s="18">
        <f>'K-PO4'!G30</f>
        <v>1.6330864138658081</v>
      </c>
    </row>
    <row r="10" spans="1:25" x14ac:dyDescent="0.25">
      <c r="A10" s="8" t="s">
        <v>39</v>
      </c>
      <c r="B10" s="8" t="s">
        <v>41</v>
      </c>
      <c r="C10" s="5"/>
      <c r="G10" t="s">
        <v>73</v>
      </c>
      <c r="H10" t="s">
        <v>40</v>
      </c>
      <c r="I10" t="s">
        <v>68</v>
      </c>
    </row>
    <row r="11" spans="1:25" x14ac:dyDescent="0.25">
      <c r="A11" s="8" t="s">
        <v>3</v>
      </c>
      <c r="B11" t="s">
        <v>2</v>
      </c>
      <c r="C11" s="5"/>
      <c r="G11" t="s">
        <v>79</v>
      </c>
      <c r="H11" s="5">
        <f>C6</f>
        <v>40.285723565466327</v>
      </c>
      <c r="I11" s="3">
        <f>D6</f>
        <v>1.5269351922443879</v>
      </c>
      <c r="U11" s="28" t="s">
        <v>48</v>
      </c>
      <c r="V11" s="28" t="s">
        <v>91</v>
      </c>
      <c r="W11" s="28" t="s">
        <v>3</v>
      </c>
      <c r="X11" s="28" t="s">
        <v>40</v>
      </c>
      <c r="Y11" s="28" t="s">
        <v>88</v>
      </c>
    </row>
    <row r="12" spans="1:25" x14ac:dyDescent="0.25">
      <c r="A12" s="9" t="s">
        <v>4</v>
      </c>
      <c r="B12" s="7" t="s">
        <v>42</v>
      </c>
      <c r="C12" s="27">
        <f>'Na-PO4'!G24</f>
        <v>41.039703419124635</v>
      </c>
      <c r="D12" s="18">
        <f>'Na-PO4'!G25</f>
        <v>2.8700971315249317</v>
      </c>
      <c r="G12" t="s">
        <v>78</v>
      </c>
      <c r="H12" s="5">
        <f>C9</f>
        <v>42.988451348579964</v>
      </c>
      <c r="I12" s="3">
        <f>D9</f>
        <v>1.6330864138658081</v>
      </c>
      <c r="U12" s="28" t="s">
        <v>89</v>
      </c>
      <c r="V12" s="28">
        <v>0.05</v>
      </c>
      <c r="W12" s="28">
        <v>7.5</v>
      </c>
      <c r="X12" s="29" t="s">
        <v>82</v>
      </c>
      <c r="Y12" s="30">
        <v>0</v>
      </c>
    </row>
    <row r="13" spans="1:25" x14ac:dyDescent="0.25">
      <c r="A13" s="8" t="s">
        <v>1</v>
      </c>
      <c r="B13" s="8" t="s">
        <v>43</v>
      </c>
      <c r="C13" s="5"/>
      <c r="G13" t="s">
        <v>77</v>
      </c>
      <c r="H13" s="5">
        <f>C12</f>
        <v>41.039703419124635</v>
      </c>
      <c r="I13" s="3">
        <f>D12</f>
        <v>2.8700971315249317</v>
      </c>
      <c r="U13" s="28" t="s">
        <v>90</v>
      </c>
      <c r="V13" s="28">
        <v>0.05</v>
      </c>
      <c r="W13" s="28">
        <v>7.5</v>
      </c>
      <c r="X13" s="29" t="s">
        <v>83</v>
      </c>
      <c r="Y13" s="30">
        <v>1</v>
      </c>
    </row>
    <row r="14" spans="1:25" x14ac:dyDescent="0.25">
      <c r="A14" s="8" t="s">
        <v>44</v>
      </c>
      <c r="B14" s="8" t="s">
        <v>46</v>
      </c>
      <c r="C14" s="5"/>
      <c r="G14" t="s">
        <v>80</v>
      </c>
      <c r="H14" s="5">
        <f>C17</f>
        <v>52.708991615744026</v>
      </c>
      <c r="I14" s="3">
        <f>D17</f>
        <v>0.73847311156567486</v>
      </c>
      <c r="U14" s="28" t="s">
        <v>31</v>
      </c>
      <c r="V14" s="28">
        <v>0.05</v>
      </c>
      <c r="W14" s="28">
        <v>7.5</v>
      </c>
      <c r="X14" s="29" t="s">
        <v>84</v>
      </c>
      <c r="Y14" s="30">
        <v>0</v>
      </c>
    </row>
    <row r="15" spans="1:25" x14ac:dyDescent="0.25">
      <c r="A15" s="8" t="s">
        <v>45</v>
      </c>
      <c r="B15" s="8" t="s">
        <v>42</v>
      </c>
      <c r="C15" s="5"/>
      <c r="G15" t="s">
        <v>74</v>
      </c>
      <c r="H15" s="5">
        <f>C21</f>
        <v>4.670035216659012</v>
      </c>
      <c r="I15" s="3">
        <f>D21</f>
        <v>8.5523626671708583E-2</v>
      </c>
      <c r="U15" s="28" t="s">
        <v>90</v>
      </c>
      <c r="V15" s="28">
        <v>0.05</v>
      </c>
      <c r="W15" s="28">
        <v>7.5</v>
      </c>
      <c r="X15" s="29" t="s">
        <v>85</v>
      </c>
      <c r="Y15" s="30">
        <v>5</v>
      </c>
    </row>
    <row r="16" spans="1:25" x14ac:dyDescent="0.25">
      <c r="A16" s="8" t="s">
        <v>3</v>
      </c>
      <c r="B16" s="8" t="s">
        <v>2</v>
      </c>
      <c r="C16" s="5"/>
      <c r="G16" t="s">
        <v>75</v>
      </c>
      <c r="H16" s="5">
        <f>C24</f>
        <v>0.19812270616129135</v>
      </c>
      <c r="I16" s="3">
        <f>D24</f>
        <v>4.2958336693912878E-2</v>
      </c>
      <c r="U16" s="28" t="s">
        <v>65</v>
      </c>
      <c r="V16" s="28">
        <v>1</v>
      </c>
      <c r="W16" s="29">
        <v>9</v>
      </c>
      <c r="X16" s="29" t="s">
        <v>86</v>
      </c>
      <c r="Y16" s="30">
        <v>0</v>
      </c>
    </row>
    <row r="17" spans="1:25" x14ac:dyDescent="0.25">
      <c r="A17" s="9" t="s">
        <v>4</v>
      </c>
      <c r="B17" s="9" t="s">
        <v>42</v>
      </c>
      <c r="C17" s="27">
        <f>TAE!G24</f>
        <v>52.708991615744026</v>
      </c>
      <c r="D17" s="18">
        <f>TAE!G25</f>
        <v>0.73847311156567486</v>
      </c>
      <c r="G17" t="s">
        <v>76</v>
      </c>
      <c r="H17" s="5">
        <f>C27</f>
        <v>16.943280608875465</v>
      </c>
      <c r="I17" s="3">
        <f>D27</f>
        <v>1.1119580102367232</v>
      </c>
      <c r="U17" s="28" t="s">
        <v>65</v>
      </c>
      <c r="V17" s="28">
        <v>1</v>
      </c>
      <c r="W17" s="29">
        <v>8</v>
      </c>
      <c r="X17" s="29" t="s">
        <v>87</v>
      </c>
      <c r="Y17" s="30">
        <v>0</v>
      </c>
    </row>
    <row r="18" spans="1:25" x14ac:dyDescent="0.25">
      <c r="A18" t="s">
        <v>38</v>
      </c>
      <c r="B18" t="s">
        <v>41</v>
      </c>
      <c r="C18" s="5"/>
    </row>
    <row r="19" spans="1:25" x14ac:dyDescent="0.25">
      <c r="A19" t="s">
        <v>3</v>
      </c>
      <c r="B19" t="s">
        <v>2</v>
      </c>
      <c r="C19" s="5"/>
    </row>
    <row r="20" spans="1:25" x14ac:dyDescent="0.25">
      <c r="A20" t="s">
        <v>35</v>
      </c>
      <c r="B20" t="s">
        <v>47</v>
      </c>
      <c r="C20" s="5"/>
    </row>
    <row r="21" spans="1:25" x14ac:dyDescent="0.25">
      <c r="A21" s="7" t="s">
        <v>4</v>
      </c>
      <c r="B21" s="7" t="s">
        <v>42</v>
      </c>
      <c r="C21" s="27">
        <f>'5%DMSO'!G29</f>
        <v>4.670035216659012</v>
      </c>
      <c r="D21" s="18">
        <f>'5%DMSO'!G30</f>
        <v>8.5523626671708583E-2</v>
      </c>
    </row>
    <row r="22" spans="1:25" x14ac:dyDescent="0.25">
      <c r="A22" s="8" t="s">
        <v>65</v>
      </c>
      <c r="B22" s="8" t="s">
        <v>69</v>
      </c>
      <c r="C22" s="5"/>
    </row>
    <row r="23" spans="1:25" x14ac:dyDescent="0.25">
      <c r="A23" s="8" t="s">
        <v>4</v>
      </c>
      <c r="B23" s="8" t="s">
        <v>42</v>
      </c>
      <c r="C23" s="5"/>
    </row>
    <row r="24" spans="1:25" x14ac:dyDescent="0.25">
      <c r="A24" s="9" t="s">
        <v>3</v>
      </c>
      <c r="B24" s="7">
        <v>9</v>
      </c>
      <c r="C24" s="27">
        <f>'NH4COO pH 9'!G20</f>
        <v>0.19812270616129135</v>
      </c>
      <c r="D24" s="18">
        <f>'NH4COO pH 9'!G21</f>
        <v>4.2958336693912878E-2</v>
      </c>
    </row>
    <row r="25" spans="1:25" x14ac:dyDescent="0.25">
      <c r="A25" s="8" t="s">
        <v>65</v>
      </c>
      <c r="B25" s="8" t="s">
        <v>69</v>
      </c>
      <c r="C25" s="5"/>
    </row>
    <row r="26" spans="1:25" x14ac:dyDescent="0.25">
      <c r="A26" s="8" t="s">
        <v>4</v>
      </c>
      <c r="B26" s="8" t="s">
        <v>42</v>
      </c>
      <c r="C26" s="5"/>
    </row>
    <row r="27" spans="1:25" x14ac:dyDescent="0.25">
      <c r="A27" s="9" t="s">
        <v>3</v>
      </c>
      <c r="B27" s="7">
        <v>8</v>
      </c>
      <c r="C27" s="27">
        <f>'NH4COO pH 8'!G20</f>
        <v>16.943280608875465</v>
      </c>
      <c r="D27" s="18">
        <f>'NH4COO pH 8'!G21</f>
        <v>1.1119580102367232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H20" sqref="H20"/>
    </sheetView>
  </sheetViews>
  <sheetFormatPr defaultRowHeight="15" x14ac:dyDescent="0.25"/>
  <cols>
    <col min="1" max="1" width="15.140625" bestFit="1" customWidth="1"/>
    <col min="2" max="2" width="11.28515625" bestFit="1" customWidth="1"/>
    <col min="5" max="5" width="10" bestFit="1" customWidth="1"/>
    <col min="6" max="6" width="15.85546875" bestFit="1" customWidth="1"/>
  </cols>
  <sheetData>
    <row r="1" spans="1:12" x14ac:dyDescent="0.25">
      <c r="A1" t="s">
        <v>56</v>
      </c>
      <c r="B1" s="11">
        <v>44510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hidden="1" x14ac:dyDescent="0.25">
      <c r="A7" t="s">
        <v>7</v>
      </c>
      <c r="B7" t="s">
        <v>5</v>
      </c>
      <c r="C7" t="s">
        <v>6</v>
      </c>
      <c r="H7" t="s">
        <v>12</v>
      </c>
    </row>
    <row r="8" spans="1:12" hidden="1" x14ac:dyDescent="0.25">
      <c r="A8">
        <v>-3.15E-2</v>
      </c>
      <c r="B8">
        <v>0</v>
      </c>
      <c r="C8">
        <f>A8-B8</f>
        <v>-3.15E-2</v>
      </c>
      <c r="E8" t="s">
        <v>10</v>
      </c>
      <c r="F8" s="2">
        <v>0.01</v>
      </c>
      <c r="G8" t="s">
        <v>25</v>
      </c>
      <c r="H8">
        <v>10</v>
      </c>
    </row>
    <row r="9" spans="1:12" hidden="1" x14ac:dyDescent="0.25">
      <c r="A9">
        <v>-3.3099999999999997E-2</v>
      </c>
      <c r="B9">
        <v>1E-4</v>
      </c>
      <c r="C9">
        <f>A9-B9</f>
        <v>-3.32E-2</v>
      </c>
      <c r="E9" t="s">
        <v>11</v>
      </c>
      <c r="F9">
        <v>1E-3</v>
      </c>
      <c r="G9" t="s">
        <v>20</v>
      </c>
    </row>
    <row r="10" spans="1:12" hidden="1" x14ac:dyDescent="0.25">
      <c r="A10">
        <v>-3.3700000000000001E-2</v>
      </c>
      <c r="B10">
        <v>-2.0000000000000001E-4</v>
      </c>
      <c r="C10">
        <f>A10-B10</f>
        <v>-3.3500000000000002E-2</v>
      </c>
    </row>
    <row r="11" spans="1:12" hidden="1" x14ac:dyDescent="0.25"/>
    <row r="12" spans="1:12" hidden="1" x14ac:dyDescent="0.25">
      <c r="B12" t="s">
        <v>13</v>
      </c>
      <c r="C12">
        <f>AVERAGE(C8:C10)</f>
        <v>-3.2733333333333337E-2</v>
      </c>
      <c r="D12" t="s">
        <v>14</v>
      </c>
    </row>
    <row r="13" spans="1:12" hidden="1" x14ac:dyDescent="0.25">
      <c r="B13" t="s">
        <v>16</v>
      </c>
      <c r="C13">
        <f>ABS(C12)/(K3) *10^6</f>
        <v>5.2625937834941059</v>
      </c>
    </row>
    <row r="14" spans="1:12" hidden="1" x14ac:dyDescent="0.25">
      <c r="B14" t="s">
        <v>30</v>
      </c>
      <c r="C14">
        <f>C13*$F$9</f>
        <v>5.2625937834941058E-3</v>
      </c>
      <c r="D14" t="s">
        <v>21</v>
      </c>
    </row>
    <row r="15" spans="1:12" hidden="1" x14ac:dyDescent="0.25">
      <c r="C15" s="3">
        <f>C14/F8*H8</f>
        <v>5.2625937834941059</v>
      </c>
      <c r="D15" t="s">
        <v>36</v>
      </c>
    </row>
    <row r="16" spans="1:12" hidden="1" x14ac:dyDescent="0.25">
      <c r="C16">
        <f>C15/F5</f>
        <v>1.1390895635268627</v>
      </c>
      <c r="D16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-3.15E-2</v>
      </c>
      <c r="B20">
        <v>0</v>
      </c>
      <c r="C20">
        <f>A20-B20</f>
        <v>-3.15E-2</v>
      </c>
      <c r="D20">
        <f>ABS(C20)/($K$3)*10^6</f>
        <v>5.0643086816720251</v>
      </c>
      <c r="E20">
        <f>D20*$F$9</f>
        <v>5.0643086816720253E-3</v>
      </c>
      <c r="F20" s="2">
        <f>$F$8/$H$8*$F$5</f>
        <v>4.62E-3</v>
      </c>
      <c r="G20" s="3">
        <f>E20/F20</f>
        <v>1.0961707103186202</v>
      </c>
    </row>
    <row r="21" spans="1:7" x14ac:dyDescent="0.25">
      <c r="A21">
        <v>-3.3099999999999997E-2</v>
      </c>
      <c r="B21">
        <v>1E-4</v>
      </c>
      <c r="C21">
        <f>A21-B21</f>
        <v>-3.32E-2</v>
      </c>
      <c r="D21">
        <f>ABS(C21)/($K$3)*10^6</f>
        <v>5.337620578778135</v>
      </c>
      <c r="E21">
        <f>D21*$F$9</f>
        <v>5.3376205787781352E-3</v>
      </c>
      <c r="F21" s="2">
        <f>$F$8/$H$8*$F$5</f>
        <v>4.62E-3</v>
      </c>
      <c r="G21" s="3">
        <f>E21/F21</f>
        <v>1.1553291296056569</v>
      </c>
    </row>
    <row r="22" spans="1:7" x14ac:dyDescent="0.25">
      <c r="A22">
        <v>-3.3700000000000001E-2</v>
      </c>
      <c r="B22">
        <v>-2.0000000000000001E-4</v>
      </c>
      <c r="C22">
        <f>A22-B22</f>
        <v>-3.3500000000000002E-2</v>
      </c>
      <c r="D22">
        <f>ABS(C22)/($K$3)*10^6</f>
        <v>5.385852090032154</v>
      </c>
      <c r="E22">
        <f>D22*$F$9</f>
        <v>5.3858520900321545E-3</v>
      </c>
      <c r="F22" s="2">
        <f>$F$8/$H$8*$F$5</f>
        <v>4.62E-3</v>
      </c>
      <c r="G22" s="3">
        <f>E22/F22</f>
        <v>1.1657688506563104</v>
      </c>
    </row>
    <row r="24" spans="1:7" x14ac:dyDescent="0.25">
      <c r="F24" t="s">
        <v>63</v>
      </c>
      <c r="G24" s="12">
        <f>AVERAGE(G20:G22)</f>
        <v>1.1390895635268625</v>
      </c>
    </row>
    <row r="25" spans="1:7" x14ac:dyDescent="0.25">
      <c r="F25" t="s">
        <v>64</v>
      </c>
      <c r="G25" s="13">
        <f>STDEV(G20:G22)</f>
        <v>3.7533557178035387E-2</v>
      </c>
    </row>
    <row r="28" spans="1:7" x14ac:dyDescent="0.25">
      <c r="C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Tris</vt:lpstr>
      <vt:lpstr>K-PO4</vt:lpstr>
      <vt:lpstr>Na-PO4</vt:lpstr>
      <vt:lpstr>TAE</vt:lpstr>
      <vt:lpstr>5%DMSO</vt:lpstr>
      <vt:lpstr>NH4COO pH 9</vt:lpstr>
      <vt:lpstr>NH4COO pH 8</vt:lpstr>
      <vt:lpstr>Summary</vt:lpstr>
      <vt:lpstr>5%DMSO (2)</vt:lpstr>
      <vt:lpstr>KPO4</vt:lpstr>
      <vt:lpstr>TEA</vt:lpstr>
      <vt:lpstr>10 mM AcPh</vt:lpstr>
      <vt:lpstr>20 mM AcPh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Kools</dc:creator>
  <cp:lastModifiedBy>Ewald Jongkind</cp:lastModifiedBy>
  <dcterms:created xsi:type="dcterms:W3CDTF">2021-10-29T11:36:04Z</dcterms:created>
  <dcterms:modified xsi:type="dcterms:W3CDTF">2023-02-08T13:09:48Z</dcterms:modified>
</cp:coreProperties>
</file>