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974741d9e7ed30c9/Documenten/PhD BOC TU Delft/Project 2^J ADH repurpose/Manuscript ADH project/"/>
    </mc:Choice>
  </mc:AlternateContent>
  <bookViews>
    <workbookView xWindow="-105" yWindow="-105" windowWidth="23250" windowHeight="12570"/>
  </bookViews>
  <sheets>
    <sheet name="Summary" sheetId="5" r:id="rId1"/>
    <sheet name="Fridge" sheetId="6" r:id="rId2"/>
    <sheet name="Fridge+glyc+NaCl" sheetId="7" r:id="rId3"/>
    <sheet name="-20" sheetId="1" r:id="rId4"/>
    <sheet name="-20+glyc+NaCl" sheetId="2" r:id="rId5"/>
    <sheet name="-80" sheetId="3" r:id="rId6"/>
    <sheet name="-80+glyc+NaCl" sheetId="4" r:id="rId7"/>
    <sheet name="LkADH vs Lb" sheetId="8" r:id="rId8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8" l="1"/>
  <c r="W9" i="8"/>
  <c r="C14" i="8"/>
  <c r="V6" i="8"/>
  <c r="V5" i="8"/>
  <c r="F6" i="8"/>
  <c r="F7" i="8"/>
  <c r="F5" i="8"/>
  <c r="F16" i="3"/>
  <c r="F16" i="1" l="1"/>
  <c r="E16" i="1"/>
  <c r="C139" i="7" l="1"/>
  <c r="D139" i="7" s="1"/>
  <c r="E139" i="7" s="1"/>
  <c r="C138" i="7"/>
  <c r="D138" i="7" s="1"/>
  <c r="E138" i="7" s="1"/>
  <c r="C137" i="7"/>
  <c r="D137" i="7" s="1"/>
  <c r="E137" i="7" s="1"/>
  <c r="F127" i="7"/>
  <c r="F126" i="7"/>
  <c r="T6" i="8" l="1"/>
  <c r="U6" i="8"/>
  <c r="E6" i="8"/>
  <c r="D6" i="8"/>
  <c r="D5" i="8"/>
  <c r="E5" i="8" s="1"/>
  <c r="S6" i="8"/>
  <c r="S5" i="8"/>
  <c r="T5" i="8" s="1"/>
  <c r="U5" i="8" s="1"/>
  <c r="R12" i="8" s="1"/>
  <c r="R19" i="8" s="1"/>
  <c r="C7" i="8"/>
  <c r="D7" i="8" s="1"/>
  <c r="E7" i="8" s="1"/>
  <c r="C6" i="8"/>
  <c r="C5" i="8"/>
  <c r="C104" i="4" l="1"/>
  <c r="D104" i="4" s="1"/>
  <c r="E104" i="4" s="1"/>
  <c r="C103" i="4"/>
  <c r="D103" i="4" s="1"/>
  <c r="E103" i="4" s="1"/>
  <c r="C102" i="4"/>
  <c r="D102" i="4" s="1"/>
  <c r="E102" i="4" s="1"/>
  <c r="F94" i="4"/>
  <c r="F93" i="4"/>
  <c r="C83" i="4"/>
  <c r="D83" i="4" s="1"/>
  <c r="E83" i="4" s="1"/>
  <c r="C82" i="4"/>
  <c r="D82" i="4" s="1"/>
  <c r="E82" i="4" s="1"/>
  <c r="C81" i="4"/>
  <c r="D81" i="4" s="1"/>
  <c r="E81" i="4" s="1"/>
  <c r="F73" i="4"/>
  <c r="F72" i="4"/>
  <c r="C62" i="4"/>
  <c r="D62" i="4" s="1"/>
  <c r="E62" i="4" s="1"/>
  <c r="C61" i="4"/>
  <c r="D61" i="4" s="1"/>
  <c r="E61" i="4" s="1"/>
  <c r="C60" i="4"/>
  <c r="D60" i="4" s="1"/>
  <c r="E60" i="4" s="1"/>
  <c r="F52" i="4"/>
  <c r="F51" i="4"/>
  <c r="C41" i="4"/>
  <c r="D41" i="4" s="1"/>
  <c r="E41" i="4" s="1"/>
  <c r="C40" i="4"/>
  <c r="D40" i="4" s="1"/>
  <c r="E40" i="4" s="1"/>
  <c r="C39" i="4"/>
  <c r="F31" i="4"/>
  <c r="F30" i="4"/>
  <c r="E117" i="7"/>
  <c r="D117" i="7"/>
  <c r="C117" i="7"/>
  <c r="C116" i="7"/>
  <c r="D116" i="7" s="1"/>
  <c r="E116" i="7" s="1"/>
  <c r="C115" i="7"/>
  <c r="D115" i="7" s="1"/>
  <c r="E115" i="7" s="1"/>
  <c r="F105" i="7"/>
  <c r="F104" i="7"/>
  <c r="C17" i="8" l="1"/>
  <c r="C19" i="8"/>
  <c r="D39" i="4"/>
  <c r="E39" i="4" s="1"/>
  <c r="C42" i="6"/>
  <c r="D42" i="6" s="1"/>
  <c r="E42" i="6" s="1"/>
  <c r="C41" i="6"/>
  <c r="D41" i="6" s="1"/>
  <c r="E41" i="6" s="1"/>
  <c r="C94" i="7"/>
  <c r="D94" i="7" s="1"/>
  <c r="E94" i="7" s="1"/>
  <c r="C93" i="7"/>
  <c r="D93" i="7" s="1"/>
  <c r="E93" i="7" s="1"/>
  <c r="F83" i="7"/>
  <c r="F82" i="7"/>
  <c r="C72" i="7" l="1"/>
  <c r="D72" i="7" s="1"/>
  <c r="E72" i="7" s="1"/>
  <c r="C71" i="7"/>
  <c r="D71" i="7" s="1"/>
  <c r="E71" i="7" s="1"/>
  <c r="C70" i="7"/>
  <c r="F60" i="7"/>
  <c r="F59" i="7"/>
  <c r="C42" i="7"/>
  <c r="D42" i="7" s="1"/>
  <c r="E42" i="7" s="1"/>
  <c r="C41" i="7"/>
  <c r="C40" i="7"/>
  <c r="D40" i="7" s="1"/>
  <c r="E40" i="7" s="1"/>
  <c r="F30" i="7"/>
  <c r="F29" i="7"/>
  <c r="D70" i="7" l="1"/>
  <c r="E70" i="7" s="1"/>
  <c r="D41" i="7"/>
  <c r="E41" i="7" s="1"/>
  <c r="F5" i="6" l="1"/>
  <c r="F6" i="6"/>
  <c r="F6" i="7"/>
  <c r="F5" i="7"/>
  <c r="C18" i="7"/>
  <c r="D18" i="7" s="1"/>
  <c r="E18" i="7" s="1"/>
  <c r="C17" i="7"/>
  <c r="C16" i="7"/>
  <c r="D16" i="7" s="1"/>
  <c r="E16" i="7" s="1"/>
  <c r="F18" i="6"/>
  <c r="C18" i="6"/>
  <c r="D18" i="6" s="1"/>
  <c r="E18" i="6" s="1"/>
  <c r="F17" i="6"/>
  <c r="C17" i="6"/>
  <c r="D17" i="6" s="1"/>
  <c r="E17" i="6" s="1"/>
  <c r="C16" i="6"/>
  <c r="F16" i="6"/>
  <c r="C18" i="2"/>
  <c r="D18" i="2" s="1"/>
  <c r="E18" i="2" s="1"/>
  <c r="C17" i="2"/>
  <c r="D17" i="2" s="1"/>
  <c r="E17" i="2" s="1"/>
  <c r="C16" i="2"/>
  <c r="F6" i="2"/>
  <c r="F17" i="2" s="1"/>
  <c r="F5" i="2"/>
  <c r="F18" i="1"/>
  <c r="C18" i="1"/>
  <c r="D18" i="1" s="1"/>
  <c r="E18" i="1" s="1"/>
  <c r="F17" i="1"/>
  <c r="C17" i="1"/>
  <c r="D17" i="1" s="1"/>
  <c r="E17" i="1" s="1"/>
  <c r="C16" i="1"/>
  <c r="F6" i="1"/>
  <c r="F5" i="1"/>
  <c r="F6" i="3"/>
  <c r="F5" i="3"/>
  <c r="F18" i="3"/>
  <c r="C18" i="3"/>
  <c r="D18" i="3" s="1"/>
  <c r="E18" i="3" s="1"/>
  <c r="C17" i="3"/>
  <c r="D16" i="3"/>
  <c r="E16" i="3" s="1"/>
  <c r="C16" i="3"/>
  <c r="F17" i="3"/>
  <c r="F6" i="4"/>
  <c r="F16" i="4" s="1"/>
  <c r="F5" i="4"/>
  <c r="C18" i="4"/>
  <c r="D18" i="4" s="1"/>
  <c r="E18" i="4" s="1"/>
  <c r="C17" i="4"/>
  <c r="D17" i="4" s="1"/>
  <c r="E17" i="4" s="1"/>
  <c r="C16" i="4"/>
  <c r="F18" i="2" l="1"/>
  <c r="F18" i="4"/>
  <c r="G18" i="1"/>
  <c r="C20" i="2"/>
  <c r="C21" i="2" s="1"/>
  <c r="C22" i="2" s="1"/>
  <c r="G17" i="6"/>
  <c r="F18" i="7"/>
  <c r="F137" i="7"/>
  <c r="G137" i="7" s="1"/>
  <c r="G141" i="7" s="1"/>
  <c r="E34" i="5" s="1"/>
  <c r="F139" i="7"/>
  <c r="G139" i="7" s="1"/>
  <c r="F138" i="7"/>
  <c r="G138" i="7" s="1"/>
  <c r="F116" i="7"/>
  <c r="G116" i="7" s="1"/>
  <c r="F115" i="7"/>
  <c r="G115" i="7" s="1"/>
  <c r="F117" i="7"/>
  <c r="G117" i="7" s="1"/>
  <c r="F17" i="4"/>
  <c r="G17" i="4" s="1"/>
  <c r="G17" i="2"/>
  <c r="F41" i="6"/>
  <c r="G41" i="6" s="1"/>
  <c r="F42" i="6"/>
  <c r="G42" i="6" s="1"/>
  <c r="G18" i="4"/>
  <c r="C20" i="3"/>
  <c r="C21" i="3" s="1"/>
  <c r="C22" i="3" s="1"/>
  <c r="G17" i="1"/>
  <c r="G18" i="2"/>
  <c r="G18" i="6"/>
  <c r="C20" i="4"/>
  <c r="C21" i="4" s="1"/>
  <c r="C22" i="4" s="1"/>
  <c r="C24" i="4" s="1"/>
  <c r="F104" i="4"/>
  <c r="G104" i="4" s="1"/>
  <c r="F102" i="4"/>
  <c r="G102" i="4" s="1"/>
  <c r="F83" i="4"/>
  <c r="G83" i="4" s="1"/>
  <c r="F81" i="4"/>
  <c r="G81" i="4" s="1"/>
  <c r="F62" i="4"/>
  <c r="G62" i="4" s="1"/>
  <c r="F60" i="4"/>
  <c r="G60" i="4" s="1"/>
  <c r="F41" i="4"/>
  <c r="G41" i="4" s="1"/>
  <c r="F39" i="4"/>
  <c r="G39" i="4" s="1"/>
  <c r="F61" i="4"/>
  <c r="G61" i="4" s="1"/>
  <c r="F40" i="4"/>
  <c r="G40" i="4" s="1"/>
  <c r="F103" i="4"/>
  <c r="G103" i="4" s="1"/>
  <c r="F82" i="4"/>
  <c r="G82" i="4" s="1"/>
  <c r="G18" i="7"/>
  <c r="F17" i="7"/>
  <c r="F94" i="7"/>
  <c r="G94" i="7" s="1"/>
  <c r="F93" i="7"/>
  <c r="G93" i="7" s="1"/>
  <c r="F72" i="7"/>
  <c r="G72" i="7" s="1"/>
  <c r="F70" i="7"/>
  <c r="G70" i="7" s="1"/>
  <c r="F42" i="7"/>
  <c r="G42" i="7" s="1"/>
  <c r="F40" i="7"/>
  <c r="G40" i="7" s="1"/>
  <c r="G45" i="7" s="1"/>
  <c r="F30" i="5" s="1"/>
  <c r="F71" i="7"/>
  <c r="G71" i="7" s="1"/>
  <c r="F41" i="7"/>
  <c r="G41" i="7" s="1"/>
  <c r="C20" i="6"/>
  <c r="C21" i="6" s="1"/>
  <c r="C22" i="6" s="1"/>
  <c r="C24" i="6" s="1"/>
  <c r="D17" i="7"/>
  <c r="E17" i="7" s="1"/>
  <c r="G17" i="7" s="1"/>
  <c r="F16" i="7"/>
  <c r="G16" i="7" s="1"/>
  <c r="D16" i="6"/>
  <c r="E16" i="6" s="1"/>
  <c r="G16" i="6" s="1"/>
  <c r="D16" i="2"/>
  <c r="E16" i="2" s="1"/>
  <c r="F16" i="2"/>
  <c r="C24" i="2" s="1"/>
  <c r="C20" i="1"/>
  <c r="C21" i="1" s="1"/>
  <c r="C22" i="1" s="1"/>
  <c r="C24" i="1" s="1"/>
  <c r="D16" i="1"/>
  <c r="G16" i="1" s="1"/>
  <c r="G18" i="3"/>
  <c r="D17" i="3"/>
  <c r="E17" i="3" s="1"/>
  <c r="G17" i="3" s="1"/>
  <c r="G16" i="3"/>
  <c r="D16" i="4"/>
  <c r="E16" i="4" s="1"/>
  <c r="G16" i="4" s="1"/>
  <c r="G45" i="6" l="1"/>
  <c r="G46" i="6"/>
  <c r="G16" i="2"/>
  <c r="G120" i="7"/>
  <c r="F33" i="5" s="1"/>
  <c r="G119" i="7"/>
  <c r="E33" i="5" s="1"/>
  <c r="G44" i="7"/>
  <c r="E30" i="5" s="1"/>
  <c r="G142" i="7"/>
  <c r="F34" i="5" s="1"/>
  <c r="G21" i="4"/>
  <c r="G20" i="4"/>
  <c r="G106" i="4"/>
  <c r="B33" i="5" s="1"/>
  <c r="G107" i="4"/>
  <c r="C33" i="5" s="1"/>
  <c r="G64" i="4"/>
  <c r="B31" i="5" s="1"/>
  <c r="G65" i="4"/>
  <c r="C31" i="5" s="1"/>
  <c r="G43" i="4"/>
  <c r="B30" i="5" s="1"/>
  <c r="G44" i="4"/>
  <c r="C30" i="5" s="1"/>
  <c r="G85" i="4"/>
  <c r="B32" i="5" s="1"/>
  <c r="G86" i="4"/>
  <c r="C32" i="5" s="1"/>
  <c r="G74" i="7"/>
  <c r="E31" i="5" s="1"/>
  <c r="G75" i="7"/>
  <c r="F31" i="5" s="1"/>
  <c r="G98" i="7"/>
  <c r="F32" i="5" s="1"/>
  <c r="G97" i="7"/>
  <c r="E32" i="5" s="1"/>
  <c r="G20" i="7"/>
  <c r="G21" i="7"/>
  <c r="G20" i="6"/>
  <c r="D16" i="5" s="1"/>
  <c r="K11" i="5" s="1"/>
  <c r="G21" i="6"/>
  <c r="E16" i="5" s="1"/>
  <c r="L11" i="5" s="1"/>
  <c r="G20" i="2"/>
  <c r="D7" i="5" s="1"/>
  <c r="O12" i="5" s="1"/>
  <c r="G21" i="2"/>
  <c r="E7" i="5" s="1"/>
  <c r="P12" i="5" s="1"/>
  <c r="G20" i="1"/>
  <c r="D4" i="5" s="1"/>
  <c r="K12" i="5" s="1"/>
  <c r="G21" i="1"/>
  <c r="E4" i="5" s="1"/>
  <c r="L12" i="5" s="1"/>
  <c r="G20" i="3"/>
  <c r="D10" i="5" s="1"/>
  <c r="K13" i="5" s="1"/>
  <c r="G21" i="3"/>
  <c r="E10" i="5" s="1"/>
  <c r="L13" i="5" s="1"/>
  <c r="C24" i="3"/>
  <c r="E19" i="5" l="1"/>
  <c r="P11" i="5" s="1"/>
  <c r="F29" i="5"/>
  <c r="D19" i="5"/>
  <c r="O11" i="5" s="1"/>
  <c r="E29" i="5"/>
  <c r="E13" i="5"/>
  <c r="P13" i="5" s="1"/>
  <c r="C29" i="5"/>
  <c r="D13" i="5"/>
  <c r="O13" i="5" s="1"/>
  <c r="B29" i="5"/>
  <c r="G5" i="8"/>
  <c r="G6" i="8"/>
  <c r="G9" i="8" s="1"/>
  <c r="G7" i="8"/>
  <c r="W6" i="8"/>
  <c r="W5" i="8"/>
  <c r="W10" i="8" l="1"/>
  <c r="G10" i="8"/>
</calcChain>
</file>

<file path=xl/sharedStrings.xml><?xml version="1.0" encoding="utf-8"?>
<sst xmlns="http://schemas.openxmlformats.org/spreadsheetml/2006/main" count="652" uniqueCount="81">
  <si>
    <t>Measured on</t>
  </si>
  <si>
    <t>mM</t>
  </si>
  <si>
    <t>LbADHwt</t>
  </si>
  <si>
    <t>enzyme</t>
  </si>
  <si>
    <t>ε</t>
  </si>
  <si>
    <t>M-1 cm-1</t>
  </si>
  <si>
    <t>7.5</t>
  </si>
  <si>
    <t>pH</t>
  </si>
  <si>
    <t>concentr</t>
  </si>
  <si>
    <t>uM/mL</t>
  </si>
  <si>
    <t>d</t>
  </si>
  <si>
    <t>cm</t>
  </si>
  <si>
    <t>MgCl2</t>
  </si>
  <si>
    <t>mg/mL</t>
  </si>
  <si>
    <t>slopes (au/min)</t>
  </si>
  <si>
    <t>control (NADPH+acetoph)</t>
  </si>
  <si>
    <t>corr</t>
  </si>
  <si>
    <t>dilutionx</t>
  </si>
  <si>
    <t>V_enz</t>
  </si>
  <si>
    <t>mL</t>
  </si>
  <si>
    <t>Vtot</t>
  </si>
  <si>
    <t>L</t>
  </si>
  <si>
    <t>Average</t>
  </si>
  <si>
    <t>au/min</t>
  </si>
  <si>
    <t>μM/min</t>
  </si>
  <si>
    <t>U in cuvette</t>
  </si>
  <si>
    <t>umol/min</t>
  </si>
  <si>
    <t>Enz added</t>
  </si>
  <si>
    <t>mg</t>
  </si>
  <si>
    <t>specific activity</t>
  </si>
  <si>
    <t>U/mg</t>
  </si>
  <si>
    <t>K-PO4</t>
  </si>
  <si>
    <t>µM/min</t>
  </si>
  <si>
    <t>Specific activity</t>
  </si>
  <si>
    <t>Stdev</t>
  </si>
  <si>
    <t>Enz added (mg)</t>
  </si>
  <si>
    <t>average</t>
  </si>
  <si>
    <t>(µmol/min)</t>
  </si>
  <si>
    <t>rate</t>
  </si>
  <si>
    <t>Specific activity (U/mg)</t>
  </si>
  <si>
    <t xml:space="preserve">Measured on </t>
  </si>
  <si>
    <t>All-in triplicate</t>
  </si>
  <si>
    <t>Conditions</t>
  </si>
  <si>
    <t>Temp</t>
  </si>
  <si>
    <t>glycerol</t>
  </si>
  <si>
    <t>NaCl</t>
  </si>
  <si>
    <t>StDev</t>
  </si>
  <si>
    <t>Avg Specific activity (U/mg)</t>
  </si>
  <si>
    <t>refrozen</t>
  </si>
  <si>
    <t>Glycerol helps in -80, not so much in -80</t>
  </si>
  <si>
    <t>Activity recovered/more active aliquot?</t>
  </si>
  <si>
    <t>6 days incubation</t>
  </si>
  <si>
    <t>oC</t>
  </si>
  <si>
    <t>thawn, not refrozen</t>
  </si>
  <si>
    <t>Glycerol and salt helps in the fridge!</t>
  </si>
  <si>
    <t>But how long does it stay active in the fridge? --&gt; keep checking</t>
  </si>
  <si>
    <t>Remarks</t>
  </si>
  <si>
    <t>SU</t>
  </si>
  <si>
    <t>stdev</t>
  </si>
  <si>
    <t>cond</t>
  </si>
  <si>
    <r>
      <t>-20</t>
    </r>
    <r>
      <rPr>
        <sz val="11"/>
        <color theme="1"/>
        <rFont val="Calibri"/>
        <family val="2"/>
      </rPr>
      <t>⁰C</t>
    </r>
  </si>
  <si>
    <r>
      <t>4</t>
    </r>
    <r>
      <rPr>
        <sz val="11"/>
        <color theme="1"/>
        <rFont val="Calibri"/>
        <family val="2"/>
      </rPr>
      <t>⁰C</t>
    </r>
  </si>
  <si>
    <r>
      <t>-80</t>
    </r>
    <r>
      <rPr>
        <sz val="11"/>
        <color theme="1"/>
        <rFont val="Calibri"/>
        <family val="2"/>
      </rPr>
      <t>⁰C</t>
    </r>
  </si>
  <si>
    <t>-80 vs fridge</t>
  </si>
  <si>
    <t xml:space="preserve">#days </t>
  </si>
  <si>
    <t>SA fridge (U/mg)</t>
  </si>
  <si>
    <t>SA -80C (U/mg)</t>
  </si>
  <si>
    <t>#days incubated</t>
  </si>
  <si>
    <t>#days incubation</t>
  </si>
  <si>
    <r>
      <t xml:space="preserve">4 </t>
    </r>
    <r>
      <rPr>
        <sz val="11"/>
        <color theme="1"/>
        <rFont val="Calibri"/>
        <family val="2"/>
      </rPr>
      <t>⁰</t>
    </r>
    <r>
      <rPr>
        <sz val="9.35"/>
        <color theme="1"/>
        <rFont val="Calibri"/>
        <family val="2"/>
      </rPr>
      <t>C</t>
    </r>
  </si>
  <si>
    <r>
      <t xml:space="preserve">-80 </t>
    </r>
    <r>
      <rPr>
        <sz val="11"/>
        <color theme="1"/>
        <rFont val="Calibri"/>
        <family val="2"/>
      </rPr>
      <t>⁰</t>
    </r>
    <r>
      <rPr>
        <sz val="9.35"/>
        <color theme="1"/>
        <rFont val="Calibri"/>
        <family val="2"/>
      </rPr>
      <t>C</t>
    </r>
  </si>
  <si>
    <t>LkADH</t>
  </si>
  <si>
    <t>LbADH</t>
  </si>
  <si>
    <t>V</t>
  </si>
  <si>
    <t>dil</t>
  </si>
  <si>
    <t>Enz added (uL)</t>
  </si>
  <si>
    <t>U/ML</t>
  </si>
  <si>
    <t>U/mL</t>
  </si>
  <si>
    <t>in stock</t>
  </si>
  <si>
    <t>bc assay</t>
  </si>
  <si>
    <t>U in reaction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</si>
</sst>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4" fontId="0" fillId="0" borderId="0" xfId="0" applyNumberFormat="1"/>
    <xf numFmtId="0" fontId="2" fillId="0" borderId="0" xfId="0" applyFont="1"/>
    <xf numFmtId="11" fontId="0" fillId="0" borderId="0" xfId="0" applyNumberFormat="1"/>
    <xf numFmtId="2" fontId="0" fillId="0" borderId="0" xfId="0" applyNumberFormat="1"/>
    <xf numFmtId="0" fontId="1" fillId="0" borderId="1" xfId="0" applyFont="1" applyBorder="1"/>
    <xf numFmtId="0" fontId="0" fillId="0" borderId="1" xfId="0" applyBorder="1"/>
    <xf numFmtId="16" fontId="0" fillId="0" borderId="0" xfId="0" applyNumberFormat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Fill="1" applyBorder="1"/>
    <xf numFmtId="9" fontId="0" fillId="0" borderId="0" xfId="0" applyNumberFormat="1" applyBorder="1"/>
    <xf numFmtId="0" fontId="0" fillId="0" borderId="1" xfId="0" applyFill="1" applyBorder="1"/>
    <xf numFmtId="2" fontId="1" fillId="0" borderId="0" xfId="0" applyNumberFormat="1" applyFont="1"/>
    <xf numFmtId="0" fontId="1" fillId="0" borderId="0" xfId="0" applyFont="1"/>
    <xf numFmtId="0" fontId="1" fillId="0" borderId="0" xfId="0" applyFont="1" applyFill="1" applyBorder="1"/>
    <xf numFmtId="0" fontId="0" fillId="0" borderId="0" xfId="0" quotePrefix="1"/>
    <xf numFmtId="0" fontId="2" fillId="0" borderId="0" xfId="0" quotePrefix="1" applyFont="1"/>
    <xf numFmtId="14" fontId="1" fillId="0" borderId="0" xfId="0" applyNumberFormat="1" applyFont="1"/>
    <xf numFmtId="165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3331227636705"/>
          <c:y val="3.9706147659546762E-2"/>
          <c:w val="0.85215729553794783"/>
          <c:h val="0.86430639396880515"/>
        </c:manualLayout>
      </c:layout>
      <c:barChart>
        <c:barDir val="col"/>
        <c:grouping val="clustered"/>
        <c:varyColors val="0"/>
        <c:ser>
          <c:idx val="0"/>
          <c:order val="0"/>
          <c:tx>
            <c:v>0% glycerol, 0 mM NaCl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Summary!$L$11:$L$13</c:f>
                <c:numCache>
                  <c:formatCode>General</c:formatCode>
                  <c:ptCount val="3"/>
                  <c:pt idx="0">
                    <c:v>2.3969293708091377</c:v>
                  </c:pt>
                  <c:pt idx="1">
                    <c:v>3.3936379617054544</c:v>
                  </c:pt>
                  <c:pt idx="2">
                    <c:v>1.773501190463795</c:v>
                  </c:pt>
                </c:numCache>
              </c:numRef>
            </c:plus>
            <c:minus>
              <c:numRef>
                <c:f>Summary!$L$11:$L$13</c:f>
                <c:numCache>
                  <c:formatCode>General</c:formatCode>
                  <c:ptCount val="3"/>
                  <c:pt idx="0">
                    <c:v>2.3969293708091377</c:v>
                  </c:pt>
                  <c:pt idx="1">
                    <c:v>3.3936379617054544</c:v>
                  </c:pt>
                  <c:pt idx="2">
                    <c:v>1.773501190463795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Summary!$J$11:$J$13</c:f>
              <c:strCache>
                <c:ptCount val="3"/>
                <c:pt idx="0">
                  <c:v>4⁰C</c:v>
                </c:pt>
                <c:pt idx="1">
                  <c:v>-20⁰C</c:v>
                </c:pt>
                <c:pt idx="2">
                  <c:v>-80⁰C</c:v>
                </c:pt>
              </c:strCache>
            </c:strRef>
          </c:cat>
          <c:val>
            <c:numRef>
              <c:f>Summary!$K$11:$K$13</c:f>
              <c:numCache>
                <c:formatCode>0.00</c:formatCode>
                <c:ptCount val="3"/>
                <c:pt idx="0">
                  <c:v>36.411427086668247</c:v>
                </c:pt>
                <c:pt idx="1">
                  <c:v>41.248497840137709</c:v>
                </c:pt>
                <c:pt idx="2">
                  <c:v>35.30945653132148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F-4F41-8443-D72B581283B0}"/>
            </c:ext>
          </c:extLst>
        </c:ser>
        <c:ser>
          <c:idx val="1"/>
          <c:order val="1"/>
          <c:tx>
            <c:v>10% glycerol, 50 mM NaCl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Summary!$P$11:$P$13</c:f>
                <c:numCache>
                  <c:formatCode>General</c:formatCode>
                  <c:ptCount val="3"/>
                  <c:pt idx="0">
                    <c:v>1.0705284342844936</c:v>
                  </c:pt>
                  <c:pt idx="1">
                    <c:v>0.88157644427741033</c:v>
                  </c:pt>
                  <c:pt idx="2">
                    <c:v>1.2553415884586514</c:v>
                  </c:pt>
                </c:numCache>
              </c:numRef>
            </c:plus>
            <c:minus>
              <c:numRef>
                <c:f>Summary!$P$11:$P$13</c:f>
                <c:numCache>
                  <c:formatCode>General</c:formatCode>
                  <c:ptCount val="3"/>
                  <c:pt idx="0">
                    <c:v>1.0705284342844936</c:v>
                  </c:pt>
                  <c:pt idx="1">
                    <c:v>0.88157644427741033</c:v>
                  </c:pt>
                  <c:pt idx="2">
                    <c:v>1.2553415884586514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Summary!$J$11:$J$13</c:f>
              <c:strCache>
                <c:ptCount val="3"/>
                <c:pt idx="0">
                  <c:v>4⁰C</c:v>
                </c:pt>
                <c:pt idx="1">
                  <c:v>-20⁰C</c:v>
                </c:pt>
                <c:pt idx="2">
                  <c:v>-80⁰C</c:v>
                </c:pt>
              </c:strCache>
            </c:strRef>
          </c:cat>
          <c:val>
            <c:numRef>
              <c:f>Summary!$O$11:$O$13</c:f>
              <c:numCache>
                <c:formatCode>0.00</c:formatCode>
                <c:ptCount val="3"/>
                <c:pt idx="0">
                  <c:v>54.920665853141742</c:v>
                </c:pt>
                <c:pt idx="1">
                  <c:v>41.898080483289483</c:v>
                </c:pt>
                <c:pt idx="2">
                  <c:v>45.145993699048354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6F-4F41-8443-D72B58128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9390680"/>
        <c:axId val="699391008"/>
      </c:barChart>
      <c:catAx>
        <c:axId val="69939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391008"/>
        <c:crosses val="autoZero"/>
        <c:auto val="1"/>
        <c:lblAlgn val="ctr"/>
        <c:lblOffset val="100"/>
        <c:noMultiLvlLbl val="0"/>
      </c:catAx>
      <c:valAx>
        <c:axId val="6993910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Specific activity (U/mg)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390680"/>
        <c:crosses val="autoZero"/>
        <c:crossBetween val="between"/>
        <c:majorUnit val="10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55473655585905413"/>
          <c:y val="6.5694923578790435E-2"/>
          <c:w val="0.41034096399165321"/>
          <c:h val="0.163367279153844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51598158973"/>
          <c:y val="4.6833178675449089E-2"/>
          <c:w val="0.83912033842284017"/>
          <c:h val="0.80046367485007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Summary!$E$27</c:f>
              <c:strCache>
                <c:ptCount val="1"/>
                <c:pt idx="0">
                  <c:v>4 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tx1"/>
              </a:solidFill>
              <a:ln w="0">
                <a:solidFill>
                  <a:schemeClr val="bg2">
                    <a:lumMod val="1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Summary!$F$29:$F$34</c:f>
                <c:numCache>
                  <c:formatCode>General</c:formatCode>
                  <c:ptCount val="6"/>
                  <c:pt idx="0">
                    <c:v>1.0705284342844936</c:v>
                  </c:pt>
                  <c:pt idx="1">
                    <c:v>0.62336868188286887</c:v>
                  </c:pt>
                  <c:pt idx="2">
                    <c:v>1.1453384608030155</c:v>
                  </c:pt>
                  <c:pt idx="3">
                    <c:v>4.3963896511739957</c:v>
                  </c:pt>
                  <c:pt idx="4">
                    <c:v>3.551955661955303</c:v>
                  </c:pt>
                  <c:pt idx="5">
                    <c:v>11.303027503206698</c:v>
                  </c:pt>
                </c:numCache>
              </c:numRef>
            </c:plus>
            <c:minus>
              <c:numRef>
                <c:f>Summary!$F$29:$F$34</c:f>
                <c:numCache>
                  <c:formatCode>General</c:formatCode>
                  <c:ptCount val="6"/>
                  <c:pt idx="0">
                    <c:v>1.0705284342844936</c:v>
                  </c:pt>
                  <c:pt idx="1">
                    <c:v>0.62336868188286887</c:v>
                  </c:pt>
                  <c:pt idx="2">
                    <c:v>1.1453384608030155</c:v>
                  </c:pt>
                  <c:pt idx="3">
                    <c:v>4.3963896511739957</c:v>
                  </c:pt>
                  <c:pt idx="4">
                    <c:v>3.551955661955303</c:v>
                  </c:pt>
                  <c:pt idx="5">
                    <c:v>11.303027503206698</c:v>
                  </c:pt>
                </c:numCache>
              </c:numRef>
            </c:minus>
            <c:spPr>
              <a:noFill/>
              <a:ln w="3175" cap="flat" cmpd="sng" algn="ctr">
                <a:solidFill>
                  <a:schemeClr val="tx1"/>
                </a:solidFill>
                <a:miter lim="800000"/>
              </a:ln>
              <a:effectLst/>
            </c:spPr>
          </c:errBars>
          <c:errBars>
            <c:errDir val="x"/>
            <c:errBarType val="both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Summary!$D$29:$D$34</c:f>
              <c:numCache>
                <c:formatCode>General</c:formatCode>
                <c:ptCount val="6"/>
                <c:pt idx="0">
                  <c:v>4</c:v>
                </c:pt>
                <c:pt idx="1">
                  <c:v>11</c:v>
                </c:pt>
                <c:pt idx="2">
                  <c:v>18</c:v>
                </c:pt>
                <c:pt idx="3">
                  <c:v>25</c:v>
                </c:pt>
                <c:pt idx="4">
                  <c:v>30</c:v>
                </c:pt>
                <c:pt idx="5">
                  <c:v>59</c:v>
                </c:pt>
              </c:numCache>
            </c:numRef>
          </c:xVal>
          <c:yVal>
            <c:numRef>
              <c:f>Summary!$E$29:$E$34</c:f>
              <c:numCache>
                <c:formatCode>0.0</c:formatCode>
                <c:ptCount val="6"/>
                <c:pt idx="0">
                  <c:v>54.920665853141742</c:v>
                </c:pt>
                <c:pt idx="1">
                  <c:v>50.505050505050505</c:v>
                </c:pt>
                <c:pt idx="2">
                  <c:v>84.043621021112983</c:v>
                </c:pt>
                <c:pt idx="3">
                  <c:v>89.2248159129188</c:v>
                </c:pt>
                <c:pt idx="4">
                  <c:v>95.504114796719293</c:v>
                </c:pt>
                <c:pt idx="5" formatCode="0.00">
                  <c:v>95.210255981960145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3B-4978-9827-EDF33E8A84B0}"/>
            </c:ext>
          </c:extLst>
        </c:ser>
        <c:ser>
          <c:idx val="1"/>
          <c:order val="1"/>
          <c:tx>
            <c:strRef>
              <c:f>Summary!$B$27</c:f>
              <c:strCache>
                <c:ptCount val="1"/>
                <c:pt idx="0">
                  <c:v>-80 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Summary!$C$29:$C$33</c:f>
                <c:numCache>
                  <c:formatCode>General</c:formatCode>
                  <c:ptCount val="5"/>
                  <c:pt idx="0">
                    <c:v>1.2553415884586514</c:v>
                  </c:pt>
                  <c:pt idx="1">
                    <c:v>0.82000319482137651</c:v>
                  </c:pt>
                  <c:pt idx="2">
                    <c:v>5.4395497055081563</c:v>
                  </c:pt>
                  <c:pt idx="3">
                    <c:v>1.7976151619836818</c:v>
                  </c:pt>
                  <c:pt idx="4">
                    <c:v>1.4406049188494985</c:v>
                  </c:pt>
                </c:numCache>
              </c:numRef>
            </c:plus>
            <c:minus>
              <c:numRef>
                <c:f>Summary!$C$29:$C$33</c:f>
                <c:numCache>
                  <c:formatCode>General</c:formatCode>
                  <c:ptCount val="5"/>
                  <c:pt idx="0">
                    <c:v>1.2553415884586514</c:v>
                  </c:pt>
                  <c:pt idx="1">
                    <c:v>0.82000319482137651</c:v>
                  </c:pt>
                  <c:pt idx="2">
                    <c:v>5.4395497055081563</c:v>
                  </c:pt>
                  <c:pt idx="3">
                    <c:v>1.7976151619836818</c:v>
                  </c:pt>
                  <c:pt idx="4">
                    <c:v>1.4406049188494985</c:v>
                  </c:pt>
                </c:numCache>
              </c:numRef>
            </c:minus>
            <c:spPr>
              <a:noFill/>
              <a:ln w="3175" cap="flat" cmpd="sng" algn="ctr">
                <a:solidFill>
                  <a:schemeClr val="tx1"/>
                </a:solidFill>
                <a:miter lim="800000"/>
              </a:ln>
              <a:effectLst/>
            </c:spPr>
          </c:errBars>
          <c:errBars>
            <c:errDir val="x"/>
            <c:errBarType val="both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Summary!$A$29:$A$33</c:f>
              <c:numCache>
                <c:formatCode>General</c:formatCode>
                <c:ptCount val="5"/>
                <c:pt idx="0">
                  <c:v>6</c:v>
                </c:pt>
                <c:pt idx="1">
                  <c:v>14</c:v>
                </c:pt>
                <c:pt idx="2">
                  <c:v>21</c:v>
                </c:pt>
                <c:pt idx="3">
                  <c:v>28</c:v>
                </c:pt>
                <c:pt idx="4">
                  <c:v>40</c:v>
                </c:pt>
              </c:numCache>
            </c:numRef>
          </c:xVal>
          <c:yVal>
            <c:numRef>
              <c:f>Summary!$B$29:$B$33</c:f>
              <c:numCache>
                <c:formatCode>0.0</c:formatCode>
                <c:ptCount val="5"/>
                <c:pt idx="0">
                  <c:v>45.145993699048354</c:v>
                </c:pt>
                <c:pt idx="1">
                  <c:v>39.330682417499141</c:v>
                </c:pt>
                <c:pt idx="2">
                  <c:v>33.824696204117423</c:v>
                </c:pt>
                <c:pt idx="3">
                  <c:v>49.507477160210279</c:v>
                </c:pt>
                <c:pt idx="4">
                  <c:v>45.192392459273485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3B-4978-9827-EDF33E8A8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778520"/>
        <c:axId val="599777864"/>
      </c:scatterChart>
      <c:valAx>
        <c:axId val="599778520"/>
        <c:scaling>
          <c:orientation val="minMax"/>
          <c:max val="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Incubation time (d)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777864"/>
        <c:crosses val="autoZero"/>
        <c:crossBetween val="midCat"/>
      </c:valAx>
      <c:valAx>
        <c:axId val="59977786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Specific activity (U/mg)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778520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73992121927572041"/>
          <c:y val="0.75288495256318189"/>
          <c:w val="0.18946891776635641"/>
          <c:h val="4.7965623038839687E-2"/>
        </c:manualLayout>
      </c:layout>
      <c:overlay val="1"/>
      <c:spPr>
        <a:noFill/>
        <a:ln w="635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457199</xdr:colOff>
      <xdr:row>33</xdr:row>
      <xdr:rowOff>85726</xdr:rowOff>
    </xdr:from>
    <xdr:to>
      <xdr:col>17</xdr:col>
      <xdr:colOff>321364</xdr:colOff>
      <xdr:row>48</xdr:row>
      <xdr:rowOff>127552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609599</xdr:colOff>
      <xdr:row>28</xdr:row>
      <xdr:rowOff>180975</xdr:rowOff>
    </xdr:from>
    <xdr:to>
      <xdr:col>28</xdr:col>
      <xdr:colOff>66674</xdr:colOff>
      <xdr:row>48</xdr:row>
      <xdr:rowOff>123823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topLeftCell="E22" zoomScaleNormal="100" workbookViewId="0">
      <selection activeCell="N56" sqref="N56"/>
    </sheetView>
  </sheetViews>
  <sheetFormatPr defaultRowHeight="15" x14ac:dyDescent="0.25"/>
  <cols>
    <col min="2" max="2" width="14.42578125" bestFit="1" customWidth="1"/>
    <col min="3" max="3" width="16.140625" bestFit="1" customWidth="1"/>
    <col min="4" max="4" width="23.42578125" bestFit="1" customWidth="1"/>
  </cols>
  <sheetData>
    <row r="1" spans="1:16" x14ac:dyDescent="0.25">
      <c r="A1" t="s">
        <v>40</v>
      </c>
      <c r="B1" s="7">
        <v>44518</v>
      </c>
      <c r="F1" t="s">
        <v>41</v>
      </c>
    </row>
    <row r="2" spans="1:16" x14ac:dyDescent="0.25">
      <c r="A2" s="8"/>
      <c r="B2" s="8"/>
      <c r="C2" s="8"/>
      <c r="D2" s="8"/>
      <c r="E2" s="9"/>
    </row>
    <row r="3" spans="1:16" x14ac:dyDescent="0.25">
      <c r="A3" s="5" t="s">
        <v>42</v>
      </c>
      <c r="B3" s="5"/>
      <c r="C3" s="5"/>
      <c r="D3" s="5" t="s">
        <v>47</v>
      </c>
      <c r="E3" s="5" t="s">
        <v>46</v>
      </c>
      <c r="F3" s="16" t="s">
        <v>56</v>
      </c>
      <c r="H3" t="s">
        <v>50</v>
      </c>
    </row>
    <row r="4" spans="1:16" x14ac:dyDescent="0.25">
      <c r="A4" s="9" t="s">
        <v>43</v>
      </c>
      <c r="B4" s="9">
        <v>-20</v>
      </c>
      <c r="C4" s="9" t="s">
        <v>52</v>
      </c>
      <c r="D4" s="27">
        <f>'-20'!G20</f>
        <v>41.248497840137709</v>
      </c>
      <c r="E4" s="27">
        <f>'-20'!G21</f>
        <v>3.3936379617054544</v>
      </c>
      <c r="H4" t="s">
        <v>49</v>
      </c>
    </row>
    <row r="5" spans="1:16" x14ac:dyDescent="0.25">
      <c r="A5" s="11" t="s">
        <v>44</v>
      </c>
      <c r="B5" s="12">
        <v>0</v>
      </c>
      <c r="C5" s="10"/>
      <c r="D5" s="25"/>
      <c r="E5" s="27"/>
      <c r="H5" t="s">
        <v>54</v>
      </c>
    </row>
    <row r="6" spans="1:16" x14ac:dyDescent="0.25">
      <c r="A6" s="13" t="s">
        <v>45</v>
      </c>
      <c r="B6" s="6">
        <v>0</v>
      </c>
      <c r="C6" s="6" t="s">
        <v>1</v>
      </c>
      <c r="D6" s="26"/>
      <c r="E6" s="28"/>
      <c r="H6" t="s">
        <v>55</v>
      </c>
    </row>
    <row r="7" spans="1:16" x14ac:dyDescent="0.25">
      <c r="A7" s="9" t="s">
        <v>43</v>
      </c>
      <c r="B7" s="9">
        <v>-20</v>
      </c>
      <c r="C7" s="10" t="s">
        <v>52</v>
      </c>
      <c r="D7" s="27">
        <f>'-20+glyc+NaCl'!G20</f>
        <v>41.898080483289483</v>
      </c>
      <c r="E7" s="27">
        <f>'-20+glyc+NaCl'!G21</f>
        <v>0.88157644427741033</v>
      </c>
    </row>
    <row r="8" spans="1:16" x14ac:dyDescent="0.25">
      <c r="A8" s="11" t="s">
        <v>44</v>
      </c>
      <c r="B8" s="12">
        <v>0.1</v>
      </c>
      <c r="C8" s="10"/>
      <c r="D8" s="25"/>
      <c r="E8" s="27"/>
    </row>
    <row r="9" spans="1:16" x14ac:dyDescent="0.25">
      <c r="A9" s="13" t="s">
        <v>45</v>
      </c>
      <c r="B9" s="6">
        <v>50</v>
      </c>
      <c r="C9" s="6" t="s">
        <v>1</v>
      </c>
      <c r="D9" s="26"/>
      <c r="E9" s="28"/>
      <c r="F9" t="s">
        <v>48</v>
      </c>
      <c r="J9" t="s">
        <v>59</v>
      </c>
      <c r="K9" t="s">
        <v>57</v>
      </c>
      <c r="L9" t="s">
        <v>58</v>
      </c>
    </row>
    <row r="10" spans="1:16" x14ac:dyDescent="0.25">
      <c r="A10" s="9" t="s">
        <v>43</v>
      </c>
      <c r="B10" s="9">
        <v>-80</v>
      </c>
      <c r="C10" s="10" t="s">
        <v>52</v>
      </c>
      <c r="D10" s="27">
        <f>'-80'!G20</f>
        <v>35.30945653132148</v>
      </c>
      <c r="E10" s="27">
        <f>'-80'!G21</f>
        <v>1.773501190463795</v>
      </c>
    </row>
    <row r="11" spans="1:16" x14ac:dyDescent="0.25">
      <c r="A11" s="11" t="s">
        <v>44</v>
      </c>
      <c r="B11" s="12">
        <v>0</v>
      </c>
      <c r="C11" s="10"/>
      <c r="D11" s="25"/>
      <c r="E11" s="27"/>
      <c r="J11" s="17" t="s">
        <v>61</v>
      </c>
      <c r="K11" s="4">
        <f>D16</f>
        <v>36.411427086668247</v>
      </c>
      <c r="L11" s="4">
        <f>E16</f>
        <v>2.3969293708091377</v>
      </c>
      <c r="N11" s="18"/>
      <c r="O11" s="4">
        <f>D19</f>
        <v>54.920665853141742</v>
      </c>
      <c r="P11" s="4">
        <f>E19</f>
        <v>1.0705284342844936</v>
      </c>
    </row>
    <row r="12" spans="1:16" x14ac:dyDescent="0.25">
      <c r="A12" s="13" t="s">
        <v>45</v>
      </c>
      <c r="B12" s="6">
        <v>0</v>
      </c>
      <c r="C12" s="6" t="s">
        <v>1</v>
      </c>
      <c r="D12" s="26"/>
      <c r="E12" s="28"/>
      <c r="J12" s="17" t="s">
        <v>60</v>
      </c>
      <c r="K12" s="4">
        <f>D4</f>
        <v>41.248497840137709</v>
      </c>
      <c r="L12" s="4">
        <f>E4</f>
        <v>3.3936379617054544</v>
      </c>
      <c r="N12" s="17"/>
      <c r="O12" s="4">
        <f>D7</f>
        <v>41.898080483289483</v>
      </c>
      <c r="P12" s="4">
        <f>E7</f>
        <v>0.88157644427741033</v>
      </c>
    </row>
    <row r="13" spans="1:16" x14ac:dyDescent="0.25">
      <c r="A13" s="9" t="s">
        <v>43</v>
      </c>
      <c r="B13" s="9">
        <v>-80</v>
      </c>
      <c r="C13" s="10" t="s">
        <v>52</v>
      </c>
      <c r="D13" s="27">
        <f>'-80+glyc+NaCl'!G20</f>
        <v>45.145993699048354</v>
      </c>
      <c r="E13" s="27">
        <f>'-80+glyc+NaCl'!G21</f>
        <v>1.2553415884586514</v>
      </c>
      <c r="J13" s="17" t="s">
        <v>62</v>
      </c>
      <c r="K13" s="4">
        <f>D10</f>
        <v>35.30945653132148</v>
      </c>
      <c r="L13" s="4">
        <f>E10</f>
        <v>1.773501190463795</v>
      </c>
      <c r="N13" s="17"/>
      <c r="O13" s="4">
        <f>D13</f>
        <v>45.145993699048354</v>
      </c>
      <c r="P13" s="4">
        <f>E13</f>
        <v>1.2553415884586514</v>
      </c>
    </row>
    <row r="14" spans="1:16" x14ac:dyDescent="0.25">
      <c r="A14" s="11" t="s">
        <v>44</v>
      </c>
      <c r="B14" s="12">
        <v>0.1</v>
      </c>
      <c r="C14" s="10"/>
      <c r="D14" s="25"/>
      <c r="E14" s="27"/>
    </row>
    <row r="15" spans="1:16" x14ac:dyDescent="0.25">
      <c r="A15" s="13" t="s">
        <v>45</v>
      </c>
      <c r="B15" s="6">
        <v>50</v>
      </c>
      <c r="C15" s="6" t="s">
        <v>1</v>
      </c>
      <c r="D15" s="26"/>
      <c r="E15" s="28"/>
      <c r="F15" t="s">
        <v>48</v>
      </c>
    </row>
    <row r="16" spans="1:16" x14ac:dyDescent="0.25">
      <c r="A16" s="11" t="s">
        <v>43</v>
      </c>
      <c r="B16" s="11">
        <v>4</v>
      </c>
      <c r="C16" s="10" t="s">
        <v>52</v>
      </c>
      <c r="D16" s="24">
        <f>Fridge!G20</f>
        <v>36.411427086668247</v>
      </c>
      <c r="E16" s="24">
        <f>Fridge!G21</f>
        <v>2.3969293708091377</v>
      </c>
    </row>
    <row r="17" spans="1:6" x14ac:dyDescent="0.25">
      <c r="A17" s="11" t="s">
        <v>44</v>
      </c>
      <c r="B17" s="12">
        <v>0</v>
      </c>
      <c r="C17" s="10"/>
      <c r="D17" s="25"/>
      <c r="E17" s="27"/>
    </row>
    <row r="18" spans="1:6" x14ac:dyDescent="0.25">
      <c r="A18" s="13" t="s">
        <v>45</v>
      </c>
      <c r="B18" s="6">
        <v>0</v>
      </c>
      <c r="C18" s="6" t="s">
        <v>1</v>
      </c>
      <c r="D18" s="26"/>
      <c r="E18" s="28"/>
      <c r="F18" t="s">
        <v>53</v>
      </c>
    </row>
    <row r="19" spans="1:6" x14ac:dyDescent="0.25">
      <c r="A19" s="9" t="s">
        <v>43</v>
      </c>
      <c r="B19" s="9">
        <v>4</v>
      </c>
      <c r="C19" s="10" t="s">
        <v>52</v>
      </c>
      <c r="D19" s="24">
        <f>'Fridge+glyc+NaCl'!G20</f>
        <v>54.920665853141742</v>
      </c>
      <c r="E19" s="24">
        <f>'Fridge+glyc+NaCl'!G21</f>
        <v>1.0705284342844936</v>
      </c>
    </row>
    <row r="20" spans="1:6" x14ac:dyDescent="0.25">
      <c r="A20" s="11" t="s">
        <v>44</v>
      </c>
      <c r="B20" s="12">
        <v>0.1</v>
      </c>
      <c r="C20" s="10"/>
      <c r="D20" s="25"/>
      <c r="E20" s="27"/>
    </row>
    <row r="21" spans="1:6" x14ac:dyDescent="0.25">
      <c r="A21" s="13" t="s">
        <v>45</v>
      </c>
      <c r="B21" s="6">
        <v>50</v>
      </c>
      <c r="C21" s="6" t="s">
        <v>1</v>
      </c>
      <c r="D21" s="26"/>
      <c r="E21" s="28"/>
      <c r="F21" t="s">
        <v>53</v>
      </c>
    </row>
    <row r="26" spans="1:6" x14ac:dyDescent="0.25">
      <c r="A26" s="17" t="s">
        <v>63</v>
      </c>
    </row>
    <row r="27" spans="1:6" x14ac:dyDescent="0.25">
      <c r="B27" s="17" t="s">
        <v>70</v>
      </c>
      <c r="E27" t="s">
        <v>69</v>
      </c>
    </row>
    <row r="28" spans="1:6" x14ac:dyDescent="0.25">
      <c r="A28" t="s">
        <v>64</v>
      </c>
      <c r="B28" t="s">
        <v>66</v>
      </c>
      <c r="C28" t="s">
        <v>58</v>
      </c>
      <c r="D28" t="s">
        <v>64</v>
      </c>
      <c r="E28" t="s">
        <v>65</v>
      </c>
      <c r="F28" t="s">
        <v>58</v>
      </c>
    </row>
    <row r="29" spans="1:6" x14ac:dyDescent="0.25">
      <c r="A29">
        <v>6</v>
      </c>
      <c r="B29" s="21">
        <f>'-80+glyc+NaCl'!G20</f>
        <v>45.145993699048354</v>
      </c>
      <c r="C29" s="20">
        <f>'-80+glyc+NaCl'!G21</f>
        <v>1.2553415884586514</v>
      </c>
      <c r="D29">
        <v>4</v>
      </c>
      <c r="E29" s="21">
        <f>'Fridge+glyc+NaCl'!G20</f>
        <v>54.920665853141742</v>
      </c>
      <c r="F29" s="20">
        <f>'Fridge+glyc+NaCl'!G21</f>
        <v>1.0705284342844936</v>
      </c>
    </row>
    <row r="30" spans="1:6" x14ac:dyDescent="0.25">
      <c r="A30">
        <v>14</v>
      </c>
      <c r="B30" s="21">
        <f>'-80+glyc+NaCl'!G43</f>
        <v>39.330682417499141</v>
      </c>
      <c r="C30" s="20">
        <f>'-80+glyc+NaCl'!G44</f>
        <v>0.82000319482137651</v>
      </c>
      <c r="D30">
        <v>11</v>
      </c>
      <c r="E30" s="21">
        <f>'Fridge+glyc+NaCl'!G44</f>
        <v>50.505050505050505</v>
      </c>
      <c r="F30" s="20">
        <f>'Fridge+glyc+NaCl'!G45</f>
        <v>0.62336868188286887</v>
      </c>
    </row>
    <row r="31" spans="1:6" x14ac:dyDescent="0.25">
      <c r="A31">
        <v>21</v>
      </c>
      <c r="B31" s="21">
        <f>'-80+glyc+NaCl'!G64</f>
        <v>33.824696204117423</v>
      </c>
      <c r="C31" s="20">
        <f>'-80+glyc+NaCl'!G65</f>
        <v>5.4395497055081563</v>
      </c>
      <c r="D31">
        <v>18</v>
      </c>
      <c r="E31" s="21">
        <f>'Fridge+glyc+NaCl'!G74</f>
        <v>84.043621021112983</v>
      </c>
      <c r="F31" s="20">
        <f>'Fridge+glyc+NaCl'!G75</f>
        <v>1.1453384608030155</v>
      </c>
    </row>
    <row r="32" spans="1:6" x14ac:dyDescent="0.25">
      <c r="A32">
        <v>28</v>
      </c>
      <c r="B32" s="21">
        <f>'-80+glyc+NaCl'!G85</f>
        <v>49.507477160210279</v>
      </c>
      <c r="C32" s="20">
        <f>'-80+glyc+NaCl'!G86</f>
        <v>1.7976151619836818</v>
      </c>
      <c r="D32">
        <v>25</v>
      </c>
      <c r="E32" s="21">
        <f>'Fridge+glyc+NaCl'!G97</f>
        <v>89.2248159129188</v>
      </c>
      <c r="F32" s="20">
        <f>'Fridge+glyc+NaCl'!G98</f>
        <v>4.3963896511739957</v>
      </c>
    </row>
    <row r="33" spans="1:6" x14ac:dyDescent="0.25">
      <c r="A33">
        <v>40</v>
      </c>
      <c r="B33" s="21">
        <f>'-80+glyc+NaCl'!G106</f>
        <v>45.192392459273485</v>
      </c>
      <c r="C33" s="20">
        <f>'-80+glyc+NaCl'!G107</f>
        <v>1.4406049188494985</v>
      </c>
      <c r="D33">
        <v>30</v>
      </c>
      <c r="E33" s="21">
        <f>'Fridge+glyc+NaCl'!G119</f>
        <v>95.504114796719293</v>
      </c>
      <c r="F33" s="20">
        <f>'Fridge+glyc+NaCl'!G120</f>
        <v>3.551955661955303</v>
      </c>
    </row>
    <row r="34" spans="1:6" x14ac:dyDescent="0.25">
      <c r="D34">
        <v>59</v>
      </c>
      <c r="E34" s="4">
        <f>'Fridge+glyc+NaCl'!G141</f>
        <v>95.210255981960145</v>
      </c>
      <c r="F34">
        <f>'Fridge+glyc+NaCl'!G142</f>
        <v>11.303027503206698</v>
      </c>
    </row>
  </sheetData>
  <mergeCells count="12">
    <mergeCell ref="D19:D21"/>
    <mergeCell ref="E19:E21"/>
    <mergeCell ref="E16:E18"/>
    <mergeCell ref="D16:D18"/>
    <mergeCell ref="D4:D6"/>
    <mergeCell ref="D7:D9"/>
    <mergeCell ref="D10:D12"/>
    <mergeCell ref="D13:D15"/>
    <mergeCell ref="E13:E15"/>
    <mergeCell ref="E10:E12"/>
    <mergeCell ref="E7:E9"/>
    <mergeCell ref="E4:E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opLeftCell="A22" workbookViewId="0">
      <selection activeCell="A27" sqref="A27:M48"/>
    </sheetView>
  </sheetViews>
  <sheetFormatPr defaultRowHeight="15" x14ac:dyDescent="0.25"/>
  <cols>
    <col min="1" max="1" width="14" bestFit="1" customWidth="1"/>
    <col min="2" max="2" width="10.425781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0</v>
      </c>
      <c r="B1" s="1">
        <v>44526</v>
      </c>
      <c r="E1" t="s">
        <v>67</v>
      </c>
      <c r="F1">
        <v>4</v>
      </c>
    </row>
    <row r="4" spans="1:12" x14ac:dyDescent="0.25">
      <c r="A4">
        <v>50</v>
      </c>
      <c r="B4" t="s">
        <v>1</v>
      </c>
      <c r="C4" t="s">
        <v>31</v>
      </c>
      <c r="E4" t="s">
        <v>2</v>
      </c>
      <c r="F4" t="s">
        <v>3</v>
      </c>
      <c r="J4" s="2" t="s">
        <v>4</v>
      </c>
      <c r="K4">
        <v>6220</v>
      </c>
      <c r="L4" t="s">
        <v>5</v>
      </c>
    </row>
    <row r="5" spans="1:12" x14ac:dyDescent="0.25">
      <c r="A5" t="s">
        <v>6</v>
      </c>
      <c r="B5" t="s">
        <v>7</v>
      </c>
      <c r="E5" t="s">
        <v>8</v>
      </c>
      <c r="F5">
        <f>167</f>
        <v>167</v>
      </c>
      <c r="G5" t="s">
        <v>9</v>
      </c>
      <c r="J5" t="s">
        <v>10</v>
      </c>
      <c r="K5">
        <v>1</v>
      </c>
      <c r="L5" t="s">
        <v>11</v>
      </c>
    </row>
    <row r="6" spans="1:12" x14ac:dyDescent="0.25">
      <c r="A6">
        <v>1</v>
      </c>
      <c r="B6" t="s">
        <v>1</v>
      </c>
      <c r="C6" t="s">
        <v>12</v>
      </c>
      <c r="F6">
        <f>4.62</f>
        <v>4.62</v>
      </c>
      <c r="G6" t="s">
        <v>13</v>
      </c>
    </row>
    <row r="8" spans="1:12" x14ac:dyDescent="0.25">
      <c r="H8" t="s">
        <v>17</v>
      </c>
    </row>
    <row r="9" spans="1:12" x14ac:dyDescent="0.25">
      <c r="E9" t="s">
        <v>18</v>
      </c>
      <c r="F9" s="3">
        <v>0.01</v>
      </c>
      <c r="G9" t="s">
        <v>19</v>
      </c>
      <c r="H9">
        <v>100</v>
      </c>
    </row>
    <row r="10" spans="1:12" x14ac:dyDescent="0.25">
      <c r="E10" t="s">
        <v>20</v>
      </c>
      <c r="F10">
        <v>1E-3</v>
      </c>
      <c r="G10" t="s">
        <v>21</v>
      </c>
    </row>
    <row r="14" spans="1:12" x14ac:dyDescent="0.25">
      <c r="D14" t="s">
        <v>38</v>
      </c>
      <c r="E14" t="s">
        <v>37</v>
      </c>
    </row>
    <row r="15" spans="1:12" x14ac:dyDescent="0.25">
      <c r="A15" t="s">
        <v>14</v>
      </c>
      <c r="B15" t="s">
        <v>15</v>
      </c>
      <c r="C15" t="s">
        <v>16</v>
      </c>
      <c r="D15" t="s">
        <v>32</v>
      </c>
      <c r="E15" t="s">
        <v>25</v>
      </c>
      <c r="F15" t="s">
        <v>35</v>
      </c>
      <c r="G15" t="s">
        <v>39</v>
      </c>
    </row>
    <row r="16" spans="1:12" x14ac:dyDescent="0.25">
      <c r="A16">
        <v>-0.1072</v>
      </c>
      <c r="B16">
        <v>-1.2999999999999999E-3</v>
      </c>
      <c r="C16">
        <f>A16-B16</f>
        <v>-0.10590000000000001</v>
      </c>
      <c r="D16">
        <f>ABS(C16)/($K$4)*10^6</f>
        <v>17.025723472668812</v>
      </c>
      <c r="E16">
        <f>D16*$F$10</f>
        <v>1.7025723472668813E-2</v>
      </c>
      <c r="F16" s="3">
        <f>$F$9/$H$9*$F$6</f>
        <v>4.6200000000000001E-4</v>
      </c>
      <c r="G16" s="4">
        <f>E16/F16</f>
        <v>36.852215308806954</v>
      </c>
    </row>
    <row r="17" spans="1:13" x14ac:dyDescent="0.25">
      <c r="A17">
        <v>-9.74E-2</v>
      </c>
      <c r="B17">
        <v>-2.0000000000000001E-4</v>
      </c>
      <c r="C17">
        <f>A17-B17</f>
        <v>-9.7199999999999995E-2</v>
      </c>
      <c r="D17">
        <f>ABS(C17)/($K$4)*10^6</f>
        <v>15.627009646302248</v>
      </c>
      <c r="E17">
        <f>D17*$F$10</f>
        <v>1.5627009646302249E-2</v>
      </c>
      <c r="F17" s="3">
        <f>$F$9/$H$9*$F$6</f>
        <v>4.6200000000000001E-4</v>
      </c>
      <c r="G17" s="4">
        <f>E17/F17</f>
        <v>33.824696204117423</v>
      </c>
    </row>
    <row r="18" spans="1:13" x14ac:dyDescent="0.25">
      <c r="A18">
        <v>-0.1114</v>
      </c>
      <c r="B18">
        <v>-5.9999999999999995E-4</v>
      </c>
      <c r="C18">
        <f>A18-B18</f>
        <v>-0.1108</v>
      </c>
      <c r="D18">
        <f>ABS(C18)/($K$4)*10^6</f>
        <v>17.813504823151124</v>
      </c>
      <c r="E18">
        <f>D18*$F$10</f>
        <v>1.7813504823151124E-2</v>
      </c>
      <c r="F18" s="3">
        <f>$F$9/$H$9*$F$6</f>
        <v>4.6200000000000001E-4</v>
      </c>
      <c r="G18" s="4">
        <f>E18/F18</f>
        <v>38.557369747080358</v>
      </c>
    </row>
    <row r="20" spans="1:13" x14ac:dyDescent="0.25">
      <c r="B20" t="s">
        <v>22</v>
      </c>
      <c r="C20">
        <f>AVERAGE(C16:C18)</f>
        <v>-0.10463333333333334</v>
      </c>
      <c r="D20" t="s">
        <v>23</v>
      </c>
      <c r="F20" t="s">
        <v>36</v>
      </c>
      <c r="G20" s="4">
        <f>AVERAGE(G16:G18)</f>
        <v>36.411427086668247</v>
      </c>
    </row>
    <row r="21" spans="1:13" x14ac:dyDescent="0.25">
      <c r="B21" t="s">
        <v>24</v>
      </c>
      <c r="C21">
        <f>ABS(C20)/(K4) *10^6</f>
        <v>16.822079314040732</v>
      </c>
      <c r="F21" t="s">
        <v>34</v>
      </c>
      <c r="G21">
        <f>STDEV(G16:G18)</f>
        <v>2.3969293708091377</v>
      </c>
    </row>
    <row r="22" spans="1:13" x14ac:dyDescent="0.25">
      <c r="B22" t="s">
        <v>25</v>
      </c>
      <c r="C22">
        <f>C21*$F$10</f>
        <v>1.6822079314040731E-2</v>
      </c>
      <c r="D22" t="s">
        <v>26</v>
      </c>
    </row>
    <row r="23" spans="1:13" x14ac:dyDescent="0.25">
      <c r="B23" t="s">
        <v>27</v>
      </c>
      <c r="D23" t="s">
        <v>28</v>
      </c>
    </row>
    <row r="24" spans="1:13" x14ac:dyDescent="0.25">
      <c r="B24" t="s">
        <v>29</v>
      </c>
      <c r="C24" s="4">
        <f>C22/F16</f>
        <v>36.411427086668247</v>
      </c>
      <c r="D24" t="s">
        <v>30</v>
      </c>
    </row>
    <row r="26" spans="1:13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x14ac:dyDescent="0.25">
      <c r="A27" s="15" t="s">
        <v>0</v>
      </c>
      <c r="B27" s="19">
        <v>44547</v>
      </c>
    </row>
    <row r="29" spans="1:13" x14ac:dyDescent="0.25">
      <c r="A29">
        <v>50</v>
      </c>
      <c r="B29" t="s">
        <v>1</v>
      </c>
      <c r="C29" t="s">
        <v>31</v>
      </c>
      <c r="E29" t="s">
        <v>2</v>
      </c>
      <c r="F29" t="s">
        <v>3</v>
      </c>
      <c r="J29" s="2" t="s">
        <v>4</v>
      </c>
      <c r="K29">
        <v>6220</v>
      </c>
      <c r="L29" t="s">
        <v>5</v>
      </c>
    </row>
    <row r="30" spans="1:13" x14ac:dyDescent="0.25">
      <c r="A30" t="s">
        <v>6</v>
      </c>
      <c r="B30" t="s">
        <v>7</v>
      </c>
      <c r="E30" t="s">
        <v>8</v>
      </c>
      <c r="F30">
        <v>167</v>
      </c>
      <c r="G30" t="s">
        <v>9</v>
      </c>
      <c r="J30" t="s">
        <v>10</v>
      </c>
      <c r="K30">
        <v>1</v>
      </c>
      <c r="L30" t="s">
        <v>11</v>
      </c>
    </row>
    <row r="31" spans="1:13" x14ac:dyDescent="0.25">
      <c r="A31">
        <v>1</v>
      </c>
      <c r="B31" t="s">
        <v>1</v>
      </c>
      <c r="C31" t="s">
        <v>12</v>
      </c>
      <c r="F31">
        <v>4.62</v>
      </c>
      <c r="G31" t="s">
        <v>13</v>
      </c>
    </row>
    <row r="33" spans="1:8" x14ac:dyDescent="0.25">
      <c r="H33" t="s">
        <v>17</v>
      </c>
    </row>
    <row r="34" spans="1:8" x14ac:dyDescent="0.25">
      <c r="E34" t="s">
        <v>18</v>
      </c>
      <c r="F34" s="3">
        <v>0.01</v>
      </c>
      <c r="G34" t="s">
        <v>19</v>
      </c>
      <c r="H34">
        <v>100</v>
      </c>
    </row>
    <row r="35" spans="1:8" x14ac:dyDescent="0.25">
      <c r="E35" t="s">
        <v>20</v>
      </c>
      <c r="F35">
        <v>1E-3</v>
      </c>
      <c r="G35" t="s">
        <v>21</v>
      </c>
    </row>
    <row r="39" spans="1:8" x14ac:dyDescent="0.25">
      <c r="D39" t="s">
        <v>38</v>
      </c>
      <c r="E39" t="s">
        <v>37</v>
      </c>
    </row>
    <row r="40" spans="1:8" x14ac:dyDescent="0.25">
      <c r="A40" t="s">
        <v>14</v>
      </c>
      <c r="B40" t="s">
        <v>15</v>
      </c>
      <c r="C40" t="s">
        <v>16</v>
      </c>
      <c r="D40" t="s">
        <v>32</v>
      </c>
      <c r="E40" t="s">
        <v>25</v>
      </c>
      <c r="F40" t="s">
        <v>35</v>
      </c>
      <c r="G40" t="s">
        <v>39</v>
      </c>
    </row>
    <row r="41" spans="1:8" x14ac:dyDescent="0.25">
      <c r="A41">
        <v>-0.1017</v>
      </c>
      <c r="B41">
        <v>0</v>
      </c>
      <c r="C41">
        <f>A41-B41</f>
        <v>-0.1017</v>
      </c>
      <c r="D41">
        <f>ABS(C41)/($K$4)*10^6</f>
        <v>16.35048231511254</v>
      </c>
      <c r="E41">
        <f>D41*$F$10</f>
        <v>1.635048231511254E-2</v>
      </c>
      <c r="F41" s="3">
        <f>$F$9/$H$9*$F$6</f>
        <v>4.6200000000000001E-4</v>
      </c>
      <c r="G41" s="4">
        <f>E41/F41</f>
        <v>35.390654361715455</v>
      </c>
    </row>
    <row r="42" spans="1:8" x14ac:dyDescent="0.25">
      <c r="A42">
        <v>-8.7800000000000003E-2</v>
      </c>
      <c r="B42">
        <v>2.0000000000000001E-4</v>
      </c>
      <c r="C42">
        <f>A42-B42</f>
        <v>-8.8000000000000009E-2</v>
      </c>
      <c r="D42">
        <f>ABS(C42)/($K$4)*10^6</f>
        <v>14.14790996784566</v>
      </c>
      <c r="E42">
        <f>D42*$F$10</f>
        <v>1.414790996784566E-2</v>
      </c>
      <c r="F42" s="3">
        <f>$F$9/$H$9*$F$6</f>
        <v>4.6200000000000001E-4</v>
      </c>
      <c r="G42" s="4">
        <f>E42/F42</f>
        <v>30.623181748583679</v>
      </c>
    </row>
    <row r="43" spans="1:8" x14ac:dyDescent="0.25">
      <c r="F43" s="3"/>
      <c r="G43" s="4"/>
    </row>
    <row r="45" spans="1:8" x14ac:dyDescent="0.25">
      <c r="F45" t="s">
        <v>36</v>
      </c>
      <c r="G45" s="14">
        <f>AVERAGE(G41:G42)</f>
        <v>33.006918055149569</v>
      </c>
    </row>
    <row r="46" spans="1:8" x14ac:dyDescent="0.25">
      <c r="F46" t="s">
        <v>34</v>
      </c>
      <c r="G46" s="15">
        <f>STDEV(G41:G42)</f>
        <v>3.371112213866629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"/>
  <sheetViews>
    <sheetView workbookViewId="0">
      <selection activeCell="R19" sqref="R19"/>
    </sheetView>
  </sheetViews>
  <sheetFormatPr defaultRowHeight="15" x14ac:dyDescent="0.25"/>
  <cols>
    <col min="1" max="1" width="14" bestFit="1" customWidth="1"/>
    <col min="2" max="2" width="24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s="15" t="s">
        <v>0</v>
      </c>
      <c r="B1" s="19">
        <v>44526</v>
      </c>
      <c r="E1" t="s">
        <v>67</v>
      </c>
      <c r="F1">
        <v>4</v>
      </c>
    </row>
    <row r="4" spans="1:12" x14ac:dyDescent="0.25">
      <c r="A4">
        <v>50</v>
      </c>
      <c r="B4" t="s">
        <v>1</v>
      </c>
      <c r="C4" t="s">
        <v>31</v>
      </c>
      <c r="E4" t="s">
        <v>2</v>
      </c>
      <c r="F4" t="s">
        <v>3</v>
      </c>
      <c r="J4" s="2" t="s">
        <v>4</v>
      </c>
      <c r="K4">
        <v>6220</v>
      </c>
      <c r="L4" t="s">
        <v>5</v>
      </c>
    </row>
    <row r="5" spans="1:12" x14ac:dyDescent="0.25">
      <c r="A5" t="s">
        <v>6</v>
      </c>
      <c r="B5" t="s">
        <v>7</v>
      </c>
      <c r="E5" t="s">
        <v>8</v>
      </c>
      <c r="F5">
        <f>167*0.75</f>
        <v>125.25</v>
      </c>
      <c r="G5" t="s">
        <v>9</v>
      </c>
      <c r="J5" t="s">
        <v>10</v>
      </c>
      <c r="K5">
        <v>1</v>
      </c>
      <c r="L5" t="s">
        <v>11</v>
      </c>
    </row>
    <row r="6" spans="1:12" x14ac:dyDescent="0.25">
      <c r="A6">
        <v>1</v>
      </c>
      <c r="B6" t="s">
        <v>1</v>
      </c>
      <c r="C6" t="s">
        <v>12</v>
      </c>
      <c r="F6">
        <f>4.62*0.75</f>
        <v>3.4649999999999999</v>
      </c>
      <c r="G6" t="s">
        <v>13</v>
      </c>
    </row>
    <row r="8" spans="1:12" x14ac:dyDescent="0.25">
      <c r="H8" t="s">
        <v>17</v>
      </c>
    </row>
    <row r="9" spans="1:12" x14ac:dyDescent="0.25">
      <c r="E9" t="s">
        <v>18</v>
      </c>
      <c r="F9" s="3">
        <v>0.01</v>
      </c>
      <c r="G9" t="s">
        <v>19</v>
      </c>
      <c r="H9">
        <v>100</v>
      </c>
    </row>
    <row r="10" spans="1:12" x14ac:dyDescent="0.25">
      <c r="E10" t="s">
        <v>20</v>
      </c>
      <c r="F10">
        <v>1E-3</v>
      </c>
      <c r="G10" t="s">
        <v>21</v>
      </c>
    </row>
    <row r="14" spans="1:12" x14ac:dyDescent="0.25">
      <c r="D14" t="s">
        <v>38</v>
      </c>
      <c r="E14" t="s">
        <v>37</v>
      </c>
    </row>
    <row r="15" spans="1:12" x14ac:dyDescent="0.25">
      <c r="A15" t="s">
        <v>14</v>
      </c>
      <c r="B15" t="s">
        <v>15</v>
      </c>
      <c r="C15" t="s">
        <v>16</v>
      </c>
      <c r="D15" t="s">
        <v>32</v>
      </c>
      <c r="E15" t="s">
        <v>25</v>
      </c>
      <c r="F15" t="s">
        <v>35</v>
      </c>
      <c r="G15" t="s">
        <v>39</v>
      </c>
    </row>
    <row r="16" spans="1:12" x14ac:dyDescent="0.25">
      <c r="A16">
        <v>-0.12180000000000001</v>
      </c>
      <c r="B16">
        <v>-8.0000000000000004E-4</v>
      </c>
      <c r="C16">
        <f>A16-B16</f>
        <v>-0.12100000000000001</v>
      </c>
      <c r="D16">
        <f>ABS(C16)/($K$4)*10^6</f>
        <v>19.453376205787784</v>
      </c>
      <c r="E16">
        <f>D16*$F$10</f>
        <v>1.9453376205787784E-2</v>
      </c>
      <c r="F16" s="3">
        <f>$F$9/$H$9*$F$6</f>
        <v>3.4650000000000002E-4</v>
      </c>
      <c r="G16" s="4">
        <f>E16/F16</f>
        <v>56.142499872403413</v>
      </c>
    </row>
    <row r="17" spans="1:21" x14ac:dyDescent="0.25">
      <c r="A17">
        <v>-0.11749999999999999</v>
      </c>
      <c r="B17">
        <v>-8.0000000000000004E-4</v>
      </c>
      <c r="C17">
        <f>A17-B17</f>
        <v>-0.1167</v>
      </c>
      <c r="D17">
        <f>ABS(C17)/($K$4)*10^6</f>
        <v>18.762057877813504</v>
      </c>
      <c r="E17">
        <f>D17*$F$10</f>
        <v>1.8762057877813505E-2</v>
      </c>
      <c r="F17" s="3">
        <f>$F$9/$H$9*$F$6</f>
        <v>3.4650000000000002E-4</v>
      </c>
      <c r="G17" s="4">
        <f>E17/F17</f>
        <v>54.147353182722952</v>
      </c>
    </row>
    <row r="18" spans="1:21" x14ac:dyDescent="0.25">
      <c r="A18">
        <v>-0.1177</v>
      </c>
      <c r="B18">
        <v>-2.9999999999999997E-4</v>
      </c>
      <c r="C18">
        <f>A18-B18</f>
        <v>-0.1174</v>
      </c>
      <c r="D18">
        <f>ABS(C18)/($K$4)*10^6</f>
        <v>18.874598070739552</v>
      </c>
      <c r="E18">
        <f>D18*$F$10</f>
        <v>1.8874598070739552E-2</v>
      </c>
      <c r="F18" s="3">
        <f>$F$9/$H$9*$F$6</f>
        <v>3.4650000000000002E-4</v>
      </c>
      <c r="G18" s="4">
        <f>E18/F18</f>
        <v>54.472144504298846</v>
      </c>
    </row>
    <row r="20" spans="1:21" x14ac:dyDescent="0.25">
      <c r="F20" t="s">
        <v>36</v>
      </c>
      <c r="G20" s="14">
        <f>AVERAGE(G16:G18)</f>
        <v>54.920665853141742</v>
      </c>
    </row>
    <row r="21" spans="1:21" x14ac:dyDescent="0.25">
      <c r="F21" t="s">
        <v>34</v>
      </c>
      <c r="G21" s="15">
        <f>STDEV(G16:G18)</f>
        <v>1.0705284342844936</v>
      </c>
    </row>
    <row r="23" spans="1:2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x14ac:dyDescent="0.25">
      <c r="C24" s="4"/>
    </row>
    <row r="26" spans="1:21" x14ac:dyDescent="0.25">
      <c r="A26" s="15" t="s">
        <v>0</v>
      </c>
      <c r="B26" s="19">
        <v>44533</v>
      </c>
      <c r="E26" t="s">
        <v>67</v>
      </c>
      <c r="F26">
        <v>11</v>
      </c>
    </row>
    <row r="28" spans="1:21" x14ac:dyDescent="0.25">
      <c r="A28">
        <v>50</v>
      </c>
      <c r="B28" t="s">
        <v>1</v>
      </c>
      <c r="C28" t="s">
        <v>31</v>
      </c>
      <c r="E28" t="s">
        <v>2</v>
      </c>
      <c r="F28" t="s">
        <v>3</v>
      </c>
      <c r="J28" s="2" t="s">
        <v>4</v>
      </c>
      <c r="K28">
        <v>6220</v>
      </c>
      <c r="L28" t="s">
        <v>5</v>
      </c>
    </row>
    <row r="29" spans="1:21" x14ac:dyDescent="0.25">
      <c r="A29" t="s">
        <v>6</v>
      </c>
      <c r="B29" t="s">
        <v>7</v>
      </c>
      <c r="E29" t="s">
        <v>8</v>
      </c>
      <c r="F29">
        <f>167*0.75</f>
        <v>125.25</v>
      </c>
      <c r="G29" t="s">
        <v>9</v>
      </c>
      <c r="J29" t="s">
        <v>10</v>
      </c>
      <c r="K29">
        <v>1</v>
      </c>
      <c r="L29" t="s">
        <v>11</v>
      </c>
    </row>
    <row r="30" spans="1:21" x14ac:dyDescent="0.25">
      <c r="A30">
        <v>1</v>
      </c>
      <c r="B30" t="s">
        <v>1</v>
      </c>
      <c r="C30" t="s">
        <v>12</v>
      </c>
      <c r="F30">
        <f>4.62*0.75</f>
        <v>3.4649999999999999</v>
      </c>
      <c r="G30" t="s">
        <v>13</v>
      </c>
    </row>
    <row r="32" spans="1:21" x14ac:dyDescent="0.25">
      <c r="H32" t="s">
        <v>17</v>
      </c>
    </row>
    <row r="33" spans="1:8" x14ac:dyDescent="0.25">
      <c r="E33" t="s">
        <v>18</v>
      </c>
      <c r="F33" s="3">
        <v>0.01</v>
      </c>
      <c r="G33" t="s">
        <v>19</v>
      </c>
      <c r="H33">
        <v>100</v>
      </c>
    </row>
    <row r="34" spans="1:8" x14ac:dyDescent="0.25">
      <c r="E34" t="s">
        <v>20</v>
      </c>
      <c r="F34">
        <v>1E-3</v>
      </c>
      <c r="G34" t="s">
        <v>21</v>
      </c>
    </row>
    <row r="38" spans="1:8" x14ac:dyDescent="0.25">
      <c r="D38" t="s">
        <v>38</v>
      </c>
      <c r="E38" t="s">
        <v>37</v>
      </c>
    </row>
    <row r="39" spans="1:8" x14ac:dyDescent="0.25">
      <c r="A39" t="s">
        <v>14</v>
      </c>
      <c r="B39" t="s">
        <v>15</v>
      </c>
      <c r="C39" t="s">
        <v>16</v>
      </c>
      <c r="D39" t="s">
        <v>32</v>
      </c>
      <c r="E39" t="s">
        <v>25</v>
      </c>
      <c r="F39" t="s">
        <v>35</v>
      </c>
      <c r="G39" t="s">
        <v>39</v>
      </c>
    </row>
    <row r="40" spans="1:8" x14ac:dyDescent="0.25">
      <c r="A40">
        <v>-0.1086</v>
      </c>
      <c r="B40">
        <v>-6.9999999999999999E-4</v>
      </c>
      <c r="C40">
        <f>A40-B40</f>
        <v>-0.1079</v>
      </c>
      <c r="D40">
        <f>ABS(C40)/($K$4)*10^6</f>
        <v>17.34726688102894</v>
      </c>
      <c r="E40">
        <f>D40*$F$10</f>
        <v>1.7347266881028941E-2</v>
      </c>
      <c r="F40" s="3">
        <f>$F$9/$H$9*$F$6</f>
        <v>3.4650000000000002E-4</v>
      </c>
      <c r="G40" s="4">
        <f>E40/F40</f>
        <v>50.064262282911805</v>
      </c>
    </row>
    <row r="41" spans="1:8" x14ac:dyDescent="0.25">
      <c r="A41">
        <v>-0.1108</v>
      </c>
      <c r="B41">
        <v>-1E-3</v>
      </c>
      <c r="C41">
        <f>A41-B41</f>
        <v>-0.10979999999999999</v>
      </c>
      <c r="D41">
        <f>ABS(C41)/($K$4)*10^6</f>
        <v>17.65273311897106</v>
      </c>
      <c r="E41">
        <f>D41*$F$10</f>
        <v>1.7652733118971059E-2</v>
      </c>
      <c r="F41" s="3">
        <f>$F$9/$H$9*$F$6</f>
        <v>3.4650000000000002E-4</v>
      </c>
      <c r="G41" s="4">
        <f>E41/F41</f>
        <v>50.945838727189198</v>
      </c>
    </row>
    <row r="42" spans="1:8" x14ac:dyDescent="0.25">
      <c r="C42">
        <f>A42-B42</f>
        <v>0</v>
      </c>
      <c r="D42">
        <f>ABS(C42)/($K$4)*10^6</f>
        <v>0</v>
      </c>
      <c r="E42">
        <f>D42*$F$10</f>
        <v>0</v>
      </c>
      <c r="F42" s="3">
        <f>$F$9/$H$9*$F$6</f>
        <v>3.4650000000000002E-4</v>
      </c>
      <c r="G42" s="4">
        <f>E42/F42</f>
        <v>0</v>
      </c>
    </row>
    <row r="44" spans="1:8" x14ac:dyDescent="0.25">
      <c r="F44" t="s">
        <v>36</v>
      </c>
      <c r="G44" s="14">
        <f>AVERAGE(G40:G41)</f>
        <v>50.505050505050505</v>
      </c>
    </row>
    <row r="45" spans="1:8" x14ac:dyDescent="0.25">
      <c r="F45" t="s">
        <v>34</v>
      </c>
      <c r="G45" s="15">
        <f>STDEV(G40:G41)</f>
        <v>0.62336868188286887</v>
      </c>
    </row>
    <row r="48" spans="1:8" x14ac:dyDescent="0.25">
      <c r="C48" s="4"/>
    </row>
    <row r="51" spans="1:17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</row>
    <row r="56" spans="1:17" x14ac:dyDescent="0.25">
      <c r="A56" s="15" t="s">
        <v>0</v>
      </c>
      <c r="B56" s="19">
        <v>44540</v>
      </c>
      <c r="E56" t="s">
        <v>67</v>
      </c>
      <c r="F56">
        <v>18</v>
      </c>
    </row>
    <row r="58" spans="1:17" x14ac:dyDescent="0.25">
      <c r="A58">
        <v>50</v>
      </c>
      <c r="B58" t="s">
        <v>1</v>
      </c>
      <c r="C58" t="s">
        <v>31</v>
      </c>
      <c r="E58" t="s">
        <v>2</v>
      </c>
      <c r="F58" t="s">
        <v>3</v>
      </c>
      <c r="J58" s="2" t="s">
        <v>4</v>
      </c>
      <c r="K58">
        <v>6220</v>
      </c>
      <c r="L58" t="s">
        <v>5</v>
      </c>
    </row>
    <row r="59" spans="1:17" x14ac:dyDescent="0.25">
      <c r="A59" t="s">
        <v>6</v>
      </c>
      <c r="B59" t="s">
        <v>7</v>
      </c>
      <c r="E59" t="s">
        <v>8</v>
      </c>
      <c r="F59">
        <f>167*0.75</f>
        <v>125.25</v>
      </c>
      <c r="G59" t="s">
        <v>9</v>
      </c>
      <c r="J59" t="s">
        <v>10</v>
      </c>
      <c r="K59">
        <v>1</v>
      </c>
      <c r="L59" t="s">
        <v>11</v>
      </c>
    </row>
    <row r="60" spans="1:17" x14ac:dyDescent="0.25">
      <c r="A60">
        <v>1</v>
      </c>
      <c r="B60" t="s">
        <v>1</v>
      </c>
      <c r="C60" t="s">
        <v>12</v>
      </c>
      <c r="F60">
        <f>4.62*0.75</f>
        <v>3.4649999999999999</v>
      </c>
      <c r="G60" t="s">
        <v>13</v>
      </c>
    </row>
    <row r="62" spans="1:17" x14ac:dyDescent="0.25">
      <c r="H62" t="s">
        <v>17</v>
      </c>
    </row>
    <row r="63" spans="1:17" x14ac:dyDescent="0.25">
      <c r="E63" t="s">
        <v>18</v>
      </c>
      <c r="F63" s="3">
        <v>0.01</v>
      </c>
      <c r="G63" t="s">
        <v>19</v>
      </c>
      <c r="H63">
        <v>100</v>
      </c>
    </row>
    <row r="64" spans="1:17" x14ac:dyDescent="0.25">
      <c r="E64" t="s">
        <v>20</v>
      </c>
      <c r="F64">
        <v>1E-3</v>
      </c>
      <c r="G64" t="s">
        <v>21</v>
      </c>
    </row>
    <row r="68" spans="1:17" x14ac:dyDescent="0.25">
      <c r="D68" t="s">
        <v>38</v>
      </c>
      <c r="E68" t="s">
        <v>37</v>
      </c>
    </row>
    <row r="69" spans="1:17" x14ac:dyDescent="0.25">
      <c r="A69" t="s">
        <v>14</v>
      </c>
      <c r="B69" t="s">
        <v>15</v>
      </c>
      <c r="C69" t="s">
        <v>16</v>
      </c>
      <c r="D69" t="s">
        <v>32</v>
      </c>
      <c r="E69" t="s">
        <v>25</v>
      </c>
      <c r="F69" t="s">
        <v>35</v>
      </c>
      <c r="G69" t="s">
        <v>39</v>
      </c>
    </row>
    <row r="70" spans="1:17" x14ac:dyDescent="0.25">
      <c r="A70">
        <v>-0.184</v>
      </c>
      <c r="B70">
        <v>-8.0000000000000004E-4</v>
      </c>
      <c r="C70">
        <f>A70-B70</f>
        <v>-0.1832</v>
      </c>
      <c r="D70">
        <f>ABS(C70)/($K$4)*10^6</f>
        <v>29.453376205787784</v>
      </c>
      <c r="E70">
        <f>D70*$F$10</f>
        <v>2.9453376205787786E-2</v>
      </c>
      <c r="F70" s="3">
        <f>$F$9/$H$9*$F$6</f>
        <v>3.4650000000000002E-4</v>
      </c>
      <c r="G70" s="4">
        <f>E70/F70</f>
        <v>85.002528732432282</v>
      </c>
    </row>
    <row r="71" spans="1:17" x14ac:dyDescent="0.25">
      <c r="A71">
        <v>-0.17860000000000001</v>
      </c>
      <c r="B71">
        <v>-2.0000000000000001E-4</v>
      </c>
      <c r="C71">
        <f>A71-B71</f>
        <v>-0.1784</v>
      </c>
      <c r="D71">
        <f>ABS(C71)/($K$4)*10^6</f>
        <v>28.681672025723472</v>
      </c>
      <c r="E71">
        <f>D71*$F$10</f>
        <v>2.8681672025723474E-2</v>
      </c>
      <c r="F71" s="3">
        <f>$F$9/$H$9*$F$6</f>
        <v>3.4650000000000002E-4</v>
      </c>
      <c r="G71" s="4">
        <f>E71/F71</f>
        <v>82.775388241626189</v>
      </c>
    </row>
    <row r="72" spans="1:17" x14ac:dyDescent="0.25">
      <c r="A72">
        <v>-0.1817</v>
      </c>
      <c r="B72">
        <v>1E-4</v>
      </c>
      <c r="C72">
        <f>A72-B72</f>
        <v>-0.18179999999999999</v>
      </c>
      <c r="D72">
        <f>ABS(C72)/($K$4)*10^6</f>
        <v>29.228295819935688</v>
      </c>
      <c r="E72">
        <f>D72*$F$10</f>
        <v>2.922829581993569E-2</v>
      </c>
      <c r="F72" s="3">
        <f>$F$9/$H$9*$F$6</f>
        <v>3.4650000000000002E-4</v>
      </c>
      <c r="G72" s="4">
        <f>E72/F72</f>
        <v>84.352946089280479</v>
      </c>
    </row>
    <row r="74" spans="1:17" x14ac:dyDescent="0.25">
      <c r="F74" t="s">
        <v>36</v>
      </c>
      <c r="G74" s="14">
        <f>AVERAGE(G70:G72)</f>
        <v>84.043621021112983</v>
      </c>
    </row>
    <row r="75" spans="1:17" x14ac:dyDescent="0.25">
      <c r="F75" t="s">
        <v>34</v>
      </c>
      <c r="G75" s="15">
        <f>STDEV(G70:G72)</f>
        <v>1.1453384608030155</v>
      </c>
    </row>
    <row r="77" spans="1:17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</row>
    <row r="78" spans="1:17" x14ac:dyDescent="0.25">
      <c r="C78" s="4"/>
    </row>
    <row r="79" spans="1:17" x14ac:dyDescent="0.25">
      <c r="A79" s="15" t="s">
        <v>0</v>
      </c>
      <c r="B79" s="19">
        <v>44547</v>
      </c>
      <c r="E79" t="s">
        <v>67</v>
      </c>
      <c r="F79">
        <v>25</v>
      </c>
    </row>
    <row r="81" spans="1:12" x14ac:dyDescent="0.25">
      <c r="A81">
        <v>50</v>
      </c>
      <c r="B81" t="s">
        <v>1</v>
      </c>
      <c r="C81" t="s">
        <v>31</v>
      </c>
      <c r="E81" t="s">
        <v>2</v>
      </c>
      <c r="F81" t="s">
        <v>3</v>
      </c>
      <c r="J81" s="2" t="s">
        <v>4</v>
      </c>
      <c r="K81">
        <v>6220</v>
      </c>
      <c r="L81" t="s">
        <v>5</v>
      </c>
    </row>
    <row r="82" spans="1:12" x14ac:dyDescent="0.25">
      <c r="A82" t="s">
        <v>6</v>
      </c>
      <c r="B82" t="s">
        <v>7</v>
      </c>
      <c r="E82" t="s">
        <v>8</v>
      </c>
      <c r="F82">
        <f>167*0.75</f>
        <v>125.25</v>
      </c>
      <c r="G82" t="s">
        <v>9</v>
      </c>
      <c r="J82" t="s">
        <v>10</v>
      </c>
      <c r="K82">
        <v>1</v>
      </c>
      <c r="L82" t="s">
        <v>11</v>
      </c>
    </row>
    <row r="83" spans="1:12" x14ac:dyDescent="0.25">
      <c r="A83">
        <v>1</v>
      </c>
      <c r="B83" t="s">
        <v>1</v>
      </c>
      <c r="C83" t="s">
        <v>12</v>
      </c>
      <c r="F83">
        <f>4.62*0.75</f>
        <v>3.4649999999999999</v>
      </c>
      <c r="G83" t="s">
        <v>13</v>
      </c>
    </row>
    <row r="85" spans="1:12" x14ac:dyDescent="0.25">
      <c r="H85" t="s">
        <v>17</v>
      </c>
    </row>
    <row r="86" spans="1:12" x14ac:dyDescent="0.25">
      <c r="E86" t="s">
        <v>18</v>
      </c>
      <c r="F86" s="3">
        <v>0.01</v>
      </c>
      <c r="G86" t="s">
        <v>19</v>
      </c>
      <c r="H86">
        <v>100</v>
      </c>
    </row>
    <row r="87" spans="1:12" x14ac:dyDescent="0.25">
      <c r="E87" t="s">
        <v>20</v>
      </c>
      <c r="F87">
        <v>1E-3</v>
      </c>
      <c r="G87" t="s">
        <v>21</v>
      </c>
    </row>
    <row r="91" spans="1:12" x14ac:dyDescent="0.25">
      <c r="D91" t="s">
        <v>38</v>
      </c>
      <c r="E91" t="s">
        <v>37</v>
      </c>
    </row>
    <row r="92" spans="1:12" x14ac:dyDescent="0.25">
      <c r="A92" t="s">
        <v>14</v>
      </c>
      <c r="B92" t="s">
        <v>15</v>
      </c>
      <c r="C92" t="s">
        <v>16</v>
      </c>
      <c r="D92" t="s">
        <v>32</v>
      </c>
      <c r="E92" t="s">
        <v>25</v>
      </c>
      <c r="F92" t="s">
        <v>35</v>
      </c>
      <c r="G92" t="s">
        <v>39</v>
      </c>
    </row>
    <row r="93" spans="1:12" x14ac:dyDescent="0.25">
      <c r="A93">
        <v>-0.18579999999999999</v>
      </c>
      <c r="B93">
        <v>-2.0000000000000001E-4</v>
      </c>
      <c r="C93">
        <f>A93-B93</f>
        <v>-0.18559999999999999</v>
      </c>
      <c r="D93">
        <f>ABS(C93)/($K$4)*10^6</f>
        <v>29.839228295819936</v>
      </c>
      <c r="E93">
        <f>D93*$F$10</f>
        <v>2.9839228295819937E-2</v>
      </c>
      <c r="F93" s="3">
        <f>$F$9/$H$9*$F$6</f>
        <v>3.4650000000000002E-4</v>
      </c>
      <c r="G93" s="4">
        <f>E93/F93</f>
        <v>86.116098977835307</v>
      </c>
    </row>
    <row r="94" spans="1:12" x14ac:dyDescent="0.25">
      <c r="A94">
        <v>-0.19950000000000001</v>
      </c>
      <c r="B94">
        <v>-5.0000000000000001E-4</v>
      </c>
      <c r="C94">
        <f>A94-B94</f>
        <v>-0.19900000000000001</v>
      </c>
      <c r="D94">
        <f>ABS(C94)/($K$4)*10^6</f>
        <v>31.993569131832796</v>
      </c>
      <c r="E94">
        <f>D94*$F$10</f>
        <v>3.1993569131832794E-2</v>
      </c>
      <c r="F94" s="3">
        <f>$F$9/$H$9*$F$6</f>
        <v>3.4650000000000002E-4</v>
      </c>
      <c r="G94" s="4">
        <f>E94/F94</f>
        <v>92.333532848002292</v>
      </c>
    </row>
    <row r="95" spans="1:12" x14ac:dyDescent="0.25">
      <c r="F95" s="3"/>
      <c r="G95" s="4"/>
    </row>
    <row r="97" spans="1:12" x14ac:dyDescent="0.25">
      <c r="F97" t="s">
        <v>36</v>
      </c>
      <c r="G97" s="14">
        <f>AVERAGE(G93:G94)</f>
        <v>89.2248159129188</v>
      </c>
    </row>
    <row r="98" spans="1:12" x14ac:dyDescent="0.25">
      <c r="F98" t="s">
        <v>34</v>
      </c>
      <c r="G98" s="15">
        <f>STDEV(G93:G94)</f>
        <v>4.3963896511739957</v>
      </c>
    </row>
    <row r="99" spans="1:12" s="6" customFormat="1" x14ac:dyDescent="0.25"/>
    <row r="101" spans="1:12" x14ac:dyDescent="0.25">
      <c r="A101" s="15" t="s">
        <v>0</v>
      </c>
      <c r="B101" s="19">
        <v>44552</v>
      </c>
      <c r="E101" t="s">
        <v>67</v>
      </c>
      <c r="F101">
        <v>30</v>
      </c>
    </row>
    <row r="103" spans="1:12" x14ac:dyDescent="0.25">
      <c r="A103">
        <v>50</v>
      </c>
      <c r="B103" t="s">
        <v>1</v>
      </c>
      <c r="C103" t="s">
        <v>31</v>
      </c>
      <c r="E103" t="s">
        <v>2</v>
      </c>
      <c r="F103" t="s">
        <v>3</v>
      </c>
      <c r="J103" s="2" t="s">
        <v>4</v>
      </c>
      <c r="K103">
        <v>6220</v>
      </c>
      <c r="L103" t="s">
        <v>5</v>
      </c>
    </row>
    <row r="104" spans="1:12" x14ac:dyDescent="0.25">
      <c r="A104" t="s">
        <v>6</v>
      </c>
      <c r="B104" t="s">
        <v>7</v>
      </c>
      <c r="E104" t="s">
        <v>8</v>
      </c>
      <c r="F104">
        <f>167*0.75</f>
        <v>125.25</v>
      </c>
      <c r="G104" t="s">
        <v>9</v>
      </c>
      <c r="J104" t="s">
        <v>10</v>
      </c>
      <c r="K104">
        <v>1</v>
      </c>
      <c r="L104" t="s">
        <v>11</v>
      </c>
    </row>
    <row r="105" spans="1:12" x14ac:dyDescent="0.25">
      <c r="A105">
        <v>1</v>
      </c>
      <c r="B105" t="s">
        <v>1</v>
      </c>
      <c r="C105" t="s">
        <v>12</v>
      </c>
      <c r="F105">
        <f>4.62*0.75</f>
        <v>3.4649999999999999</v>
      </c>
      <c r="G105" t="s">
        <v>13</v>
      </c>
    </row>
    <row r="107" spans="1:12" x14ac:dyDescent="0.25">
      <c r="H107" t="s">
        <v>17</v>
      </c>
    </row>
    <row r="108" spans="1:12" x14ac:dyDescent="0.25">
      <c r="E108" t="s">
        <v>18</v>
      </c>
      <c r="F108" s="3">
        <v>0.01</v>
      </c>
      <c r="G108" t="s">
        <v>19</v>
      </c>
      <c r="H108">
        <v>100</v>
      </c>
    </row>
    <row r="109" spans="1:12" x14ac:dyDescent="0.25">
      <c r="E109" t="s">
        <v>20</v>
      </c>
      <c r="F109">
        <v>1E-3</v>
      </c>
      <c r="G109" t="s">
        <v>21</v>
      </c>
    </row>
    <row r="113" spans="1:12" x14ac:dyDescent="0.25">
      <c r="D113" t="s">
        <v>38</v>
      </c>
      <c r="E113" t="s">
        <v>37</v>
      </c>
    </row>
    <row r="114" spans="1:12" x14ac:dyDescent="0.25">
      <c r="A114" t="s">
        <v>14</v>
      </c>
      <c r="B114" t="s">
        <v>15</v>
      </c>
      <c r="C114" t="s">
        <v>16</v>
      </c>
      <c r="D114" t="s">
        <v>32</v>
      </c>
      <c r="E114" t="s">
        <v>25</v>
      </c>
      <c r="F114" t="s">
        <v>35</v>
      </c>
      <c r="G114" t="s">
        <v>39</v>
      </c>
    </row>
    <row r="115" spans="1:12" x14ac:dyDescent="0.25">
      <c r="A115">
        <v>-0.21490000000000001</v>
      </c>
      <c r="B115">
        <v>-5.9999999999999995E-4</v>
      </c>
      <c r="C115">
        <f>A115-B115</f>
        <v>-0.21430000000000002</v>
      </c>
      <c r="D115">
        <f>ABS(C115)/($K$4)*10^6</f>
        <v>34.453376205787784</v>
      </c>
      <c r="E115">
        <f>D115*$F$10</f>
        <v>3.4453376205787783E-2</v>
      </c>
      <c r="F115" s="3">
        <f>$F$9/$H$9*$F$6</f>
        <v>3.4650000000000002E-4</v>
      </c>
      <c r="G115" s="4">
        <f>E115/F115</f>
        <v>99.432543162446706</v>
      </c>
    </row>
    <row r="116" spans="1:12" x14ac:dyDescent="0.25">
      <c r="A116">
        <v>-0.19969999999999999</v>
      </c>
      <c r="B116">
        <v>-2.9999999999999997E-4</v>
      </c>
      <c r="C116">
        <f>A116-B116</f>
        <v>-0.19939999999999999</v>
      </c>
      <c r="D116">
        <f t="shared" ref="D116:D117" si="0">ABS(C116)/($K$4)*10^6</f>
        <v>32.057877813504824</v>
      </c>
      <c r="E116">
        <f t="shared" ref="E116:E117" si="1">D116*$F$10</f>
        <v>3.2057877813504825E-2</v>
      </c>
      <c r="F116" s="3">
        <f t="shared" ref="F116:F117" si="2">$F$9/$H$9*$F$6</f>
        <v>3.4650000000000002E-4</v>
      </c>
      <c r="G116" s="4">
        <f t="shared" ref="G116:G117" si="3">E116/F116</f>
        <v>92.519127888902801</v>
      </c>
    </row>
    <row r="117" spans="1:12" x14ac:dyDescent="0.25">
      <c r="A117">
        <v>-0.20630000000000001</v>
      </c>
      <c r="B117">
        <v>-2.5000000000000001E-3</v>
      </c>
      <c r="C117">
        <f>A117-B117</f>
        <v>-0.20380000000000001</v>
      </c>
      <c r="D117">
        <f t="shared" si="0"/>
        <v>32.765273311897111</v>
      </c>
      <c r="E117">
        <f t="shared" si="1"/>
        <v>3.276527331189711E-2</v>
      </c>
      <c r="F117" s="3">
        <f t="shared" si="2"/>
        <v>3.4650000000000002E-4</v>
      </c>
      <c r="G117" s="4">
        <f t="shared" si="3"/>
        <v>94.560673338808385</v>
      </c>
    </row>
    <row r="119" spans="1:12" x14ac:dyDescent="0.25">
      <c r="F119" t="s">
        <v>36</v>
      </c>
      <c r="G119" s="14">
        <f>AVERAGE(G115:G117)</f>
        <v>95.504114796719293</v>
      </c>
    </row>
    <row r="120" spans="1:12" x14ac:dyDescent="0.25">
      <c r="F120" t="s">
        <v>34</v>
      </c>
      <c r="G120" s="15">
        <f>STDEV(G115:G117)</f>
        <v>3.551955661955303</v>
      </c>
    </row>
    <row r="122" spans="1:12" s="23" customFormat="1" x14ac:dyDescent="0.25"/>
    <row r="123" spans="1:12" x14ac:dyDescent="0.25">
      <c r="A123" s="15" t="s">
        <v>0</v>
      </c>
      <c r="B123" s="19">
        <v>44581</v>
      </c>
      <c r="E123" t="s">
        <v>67</v>
      </c>
      <c r="F123">
        <v>59</v>
      </c>
    </row>
    <row r="125" spans="1:12" x14ac:dyDescent="0.25">
      <c r="A125">
        <v>50</v>
      </c>
      <c r="B125" t="s">
        <v>1</v>
      </c>
      <c r="C125" t="s">
        <v>31</v>
      </c>
      <c r="E125" t="s">
        <v>2</v>
      </c>
      <c r="F125" t="s">
        <v>3</v>
      </c>
      <c r="J125" s="2" t="s">
        <v>4</v>
      </c>
      <c r="K125">
        <v>6220</v>
      </c>
      <c r="L125" t="s">
        <v>5</v>
      </c>
    </row>
    <row r="126" spans="1:12" x14ac:dyDescent="0.25">
      <c r="A126" t="s">
        <v>6</v>
      </c>
      <c r="B126" t="s">
        <v>7</v>
      </c>
      <c r="E126" t="s">
        <v>8</v>
      </c>
      <c r="F126">
        <f>167*0.75</f>
        <v>125.25</v>
      </c>
      <c r="G126" t="s">
        <v>9</v>
      </c>
      <c r="J126" t="s">
        <v>10</v>
      </c>
      <c r="K126">
        <v>1</v>
      </c>
      <c r="L126" t="s">
        <v>11</v>
      </c>
    </row>
    <row r="127" spans="1:12" x14ac:dyDescent="0.25">
      <c r="A127">
        <v>1</v>
      </c>
      <c r="B127" t="s">
        <v>1</v>
      </c>
      <c r="C127" t="s">
        <v>12</v>
      </c>
      <c r="F127">
        <f>4.62*0.75</f>
        <v>3.4649999999999999</v>
      </c>
      <c r="G127" t="s">
        <v>13</v>
      </c>
    </row>
    <row r="129" spans="1:8" x14ac:dyDescent="0.25">
      <c r="H129" t="s">
        <v>17</v>
      </c>
    </row>
    <row r="130" spans="1:8" x14ac:dyDescent="0.25">
      <c r="E130" t="s">
        <v>18</v>
      </c>
      <c r="F130" s="3">
        <v>0.01</v>
      </c>
      <c r="G130" t="s">
        <v>19</v>
      </c>
      <c r="H130">
        <v>200</v>
      </c>
    </row>
    <row r="131" spans="1:8" x14ac:dyDescent="0.25">
      <c r="E131" t="s">
        <v>20</v>
      </c>
      <c r="F131">
        <v>1E-3</v>
      </c>
      <c r="G131" t="s">
        <v>21</v>
      </c>
    </row>
    <row r="135" spans="1:8" x14ac:dyDescent="0.25">
      <c r="D135" t="s">
        <v>38</v>
      </c>
      <c r="E135" t="s">
        <v>37</v>
      </c>
    </row>
    <row r="136" spans="1:8" x14ac:dyDescent="0.25">
      <c r="A136" t="s">
        <v>14</v>
      </c>
      <c r="B136" t="s">
        <v>15</v>
      </c>
      <c r="C136" t="s">
        <v>16</v>
      </c>
      <c r="D136" t="s">
        <v>32</v>
      </c>
      <c r="E136" t="s">
        <v>25</v>
      </c>
      <c r="F136" t="s">
        <v>35</v>
      </c>
      <c r="G136" t="s">
        <v>39</v>
      </c>
    </row>
    <row r="137" spans="1:8" x14ac:dyDescent="0.25">
      <c r="A137">
        <v>-0.11650000000000001</v>
      </c>
      <c r="B137">
        <v>-5.0000000000000001E-4</v>
      </c>
      <c r="C137">
        <f>A137-B137</f>
        <v>-0.11600000000000001</v>
      </c>
      <c r="D137">
        <f>ABS(C137)/($K$4)*10^6</f>
        <v>18.64951768488746</v>
      </c>
      <c r="E137">
        <f>D137*$F$10</f>
        <v>1.864951768488746E-2</v>
      </c>
      <c r="F137" s="3">
        <f>$F$130/$H$130*$F$6</f>
        <v>1.7325000000000001E-4</v>
      </c>
      <c r="G137" s="4">
        <f>E137/F137</f>
        <v>107.64512372229413</v>
      </c>
    </row>
    <row r="138" spans="1:8" x14ac:dyDescent="0.25">
      <c r="A138">
        <v>-0.1</v>
      </c>
      <c r="B138">
        <v>-4.0000000000000002E-4</v>
      </c>
      <c r="C138">
        <f>A138-B138</f>
        <v>-9.9600000000000008E-2</v>
      </c>
      <c r="D138">
        <f t="shared" ref="D138:D139" si="4">ABS(C138)/($K$4)*10^6</f>
        <v>16.012861736334404</v>
      </c>
      <c r="E138">
        <f t="shared" ref="E138:E139" si="5">D138*$F$10</f>
        <v>1.6012861736334403E-2</v>
      </c>
      <c r="F138" s="3">
        <f t="shared" ref="F138:F139" si="6">$F$130/$H$130*$F$6</f>
        <v>1.7325000000000001E-4</v>
      </c>
      <c r="G138" s="4">
        <f t="shared" ref="G138:G139" si="7">E138/F138</f>
        <v>92.42633036845254</v>
      </c>
    </row>
    <row r="139" spans="1:8" x14ac:dyDescent="0.25">
      <c r="A139">
        <v>-9.2700000000000005E-2</v>
      </c>
      <c r="B139">
        <v>-5.0000000000000001E-4</v>
      </c>
      <c r="C139">
        <f>A139-B139</f>
        <v>-9.2200000000000004E-2</v>
      </c>
      <c r="D139">
        <f t="shared" si="4"/>
        <v>14.82315112540193</v>
      </c>
      <c r="E139">
        <f t="shared" si="5"/>
        <v>1.482315112540193E-2</v>
      </c>
      <c r="F139" s="3">
        <f t="shared" si="6"/>
        <v>1.7325000000000001E-4</v>
      </c>
      <c r="G139" s="4">
        <f t="shared" si="7"/>
        <v>85.559313855133794</v>
      </c>
    </row>
    <row r="141" spans="1:8" x14ac:dyDescent="0.25">
      <c r="F141" t="s">
        <v>36</v>
      </c>
      <c r="G141" s="14">
        <f>AVERAGE(G137:G139)</f>
        <v>95.210255981960145</v>
      </c>
    </row>
    <row r="142" spans="1:8" x14ac:dyDescent="0.25">
      <c r="F142" t="s">
        <v>34</v>
      </c>
      <c r="G142" s="15">
        <f>STDEV(G137:G139)</f>
        <v>11.303027503206698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85" zoomScaleNormal="85" workbookViewId="0">
      <selection activeCell="K18" sqref="K18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23.140625" customWidth="1"/>
    <col min="7" max="7" width="19.85546875" bestFit="1" customWidth="1"/>
  </cols>
  <sheetData>
    <row r="1" spans="1:12" x14ac:dyDescent="0.25">
      <c r="A1" t="s">
        <v>0</v>
      </c>
      <c r="B1" s="1">
        <v>44518</v>
      </c>
      <c r="E1" t="s">
        <v>51</v>
      </c>
    </row>
    <row r="4" spans="1:12" x14ac:dyDescent="0.25">
      <c r="A4">
        <v>50</v>
      </c>
      <c r="B4" t="s">
        <v>1</v>
      </c>
      <c r="C4" t="s">
        <v>31</v>
      </c>
      <c r="E4" t="s">
        <v>2</v>
      </c>
      <c r="F4" t="s">
        <v>3</v>
      </c>
      <c r="J4" s="2" t="s">
        <v>4</v>
      </c>
      <c r="K4">
        <v>6220</v>
      </c>
      <c r="L4" t="s">
        <v>5</v>
      </c>
    </row>
    <row r="5" spans="1:12" x14ac:dyDescent="0.25">
      <c r="A5" t="s">
        <v>6</v>
      </c>
      <c r="B5" t="s">
        <v>7</v>
      </c>
      <c r="E5" t="s">
        <v>8</v>
      </c>
      <c r="F5">
        <f>167</f>
        <v>167</v>
      </c>
      <c r="G5" t="s">
        <v>9</v>
      </c>
      <c r="J5" t="s">
        <v>10</v>
      </c>
      <c r="K5">
        <v>1</v>
      </c>
      <c r="L5" t="s">
        <v>11</v>
      </c>
    </row>
    <row r="6" spans="1:12" x14ac:dyDescent="0.25">
      <c r="A6">
        <v>1</v>
      </c>
      <c r="B6" t="s">
        <v>1</v>
      </c>
      <c r="C6" t="s">
        <v>12</v>
      </c>
      <c r="F6">
        <f>4.62</f>
        <v>4.62</v>
      </c>
      <c r="G6" t="s">
        <v>13</v>
      </c>
    </row>
    <row r="8" spans="1:12" x14ac:dyDescent="0.25">
      <c r="H8" t="s">
        <v>17</v>
      </c>
    </row>
    <row r="9" spans="1:12" x14ac:dyDescent="0.25">
      <c r="E9" t="s">
        <v>18</v>
      </c>
      <c r="F9" s="3">
        <v>0.01</v>
      </c>
      <c r="G9" t="s">
        <v>19</v>
      </c>
      <c r="H9">
        <v>100</v>
      </c>
    </row>
    <row r="10" spans="1:12" x14ac:dyDescent="0.25">
      <c r="E10" t="s">
        <v>20</v>
      </c>
      <c r="F10">
        <v>1E-3</v>
      </c>
      <c r="G10" t="s">
        <v>21</v>
      </c>
    </row>
    <row r="14" spans="1:12" x14ac:dyDescent="0.25">
      <c r="D14" t="s">
        <v>38</v>
      </c>
      <c r="E14" t="s">
        <v>37</v>
      </c>
    </row>
    <row r="15" spans="1:12" x14ac:dyDescent="0.25">
      <c r="A15" t="s">
        <v>14</v>
      </c>
      <c r="B15" t="s">
        <v>15</v>
      </c>
      <c r="C15" t="s">
        <v>16</v>
      </c>
      <c r="D15" t="s">
        <v>32</v>
      </c>
      <c r="E15" t="s">
        <v>25</v>
      </c>
      <c r="F15" t="s">
        <v>35</v>
      </c>
      <c r="G15" t="s">
        <v>39</v>
      </c>
    </row>
    <row r="16" spans="1:12" x14ac:dyDescent="0.25">
      <c r="A16">
        <v>-0.10929999999999999</v>
      </c>
      <c r="B16">
        <v>-4.0000000000000002E-4</v>
      </c>
      <c r="C16">
        <f>A16-B16</f>
        <v>-0.1089</v>
      </c>
      <c r="D16">
        <f>ABS(C16)/($K$4)*10^6</f>
        <v>17.508038585209</v>
      </c>
      <c r="E16">
        <f>D16*$F$10</f>
        <v>1.7508038585208999E-2</v>
      </c>
      <c r="F16" s="3">
        <f>$F$9/$H$9*$F$6</f>
        <v>4.6200000000000001E-4</v>
      </c>
      <c r="G16" s="4">
        <f>E16/F16</f>
        <v>37.896187413872291</v>
      </c>
    </row>
    <row r="17" spans="1:7" x14ac:dyDescent="0.25">
      <c r="A17">
        <v>-0.12920000000000001</v>
      </c>
      <c r="B17">
        <v>-8.0000000000000004E-4</v>
      </c>
      <c r="C17">
        <f>A17-B17</f>
        <v>-0.12840000000000001</v>
      </c>
      <c r="D17">
        <f>ABS(C17)/($K$4)*10^6</f>
        <v>20.64308681672026</v>
      </c>
      <c r="E17">
        <f>D17*$F$10</f>
        <v>2.0643086816720259E-2</v>
      </c>
      <c r="F17" s="3">
        <f>$F$9/$H$9*$F$6</f>
        <v>4.6200000000000001E-4</v>
      </c>
      <c r="G17" s="4">
        <f>E17/F17</f>
        <v>44.682006096797096</v>
      </c>
    </row>
    <row r="18" spans="1:7" x14ac:dyDescent="0.25">
      <c r="A18">
        <v>-0.1183</v>
      </c>
      <c r="B18">
        <v>0</v>
      </c>
      <c r="C18">
        <f>A18-B18</f>
        <v>-0.1183</v>
      </c>
      <c r="D18">
        <f>ABS(C18)/($K$4)*10^6</f>
        <v>19.019292604501608</v>
      </c>
      <c r="E18">
        <f>D18*$F$10</f>
        <v>1.9019292604501609E-2</v>
      </c>
      <c r="F18" s="3">
        <f>$F$9/$H$9*$F$6</f>
        <v>4.6200000000000001E-4</v>
      </c>
      <c r="G18" s="4">
        <f>E18/F18</f>
        <v>41.167300009743741</v>
      </c>
    </row>
    <row r="20" spans="1:7" x14ac:dyDescent="0.25">
      <c r="B20" t="s">
        <v>22</v>
      </c>
      <c r="C20">
        <f>AVERAGE(C16:C18)</f>
        <v>-0.11853333333333334</v>
      </c>
      <c r="D20" t="s">
        <v>23</v>
      </c>
      <c r="F20" t="s">
        <v>36</v>
      </c>
      <c r="G20" s="4">
        <f>AVERAGE(G16:G18)</f>
        <v>41.248497840137709</v>
      </c>
    </row>
    <row r="21" spans="1:7" x14ac:dyDescent="0.25">
      <c r="B21" t="s">
        <v>24</v>
      </c>
      <c r="C21">
        <f>ABS(C20)/(K4) *10^6</f>
        <v>19.056806002143624</v>
      </c>
      <c r="F21" t="s">
        <v>34</v>
      </c>
      <c r="G21">
        <f>STDEV(G16:G18)</f>
        <v>3.3936379617054544</v>
      </c>
    </row>
    <row r="22" spans="1:7" x14ac:dyDescent="0.25">
      <c r="B22" t="s">
        <v>25</v>
      </c>
      <c r="C22">
        <f>C21*$F$10</f>
        <v>1.9056806002143625E-2</v>
      </c>
      <c r="D22" t="s">
        <v>26</v>
      </c>
    </row>
    <row r="23" spans="1:7" x14ac:dyDescent="0.25">
      <c r="B23" t="s">
        <v>27</v>
      </c>
      <c r="D23" t="s">
        <v>28</v>
      </c>
    </row>
    <row r="24" spans="1:7" x14ac:dyDescent="0.25">
      <c r="B24" t="s">
        <v>29</v>
      </c>
      <c r="C24" s="4">
        <f>C22/F16</f>
        <v>41.248497840137716</v>
      </c>
      <c r="D24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G28" sqref="G28"/>
    </sheetView>
  </sheetViews>
  <sheetFormatPr defaultRowHeight="15" x14ac:dyDescent="0.25"/>
  <cols>
    <col min="1" max="1" width="14" bestFit="1" customWidth="1"/>
    <col min="2" max="2" width="10.140625" bestFit="1" customWidth="1"/>
    <col min="6" max="6" width="13.85546875" bestFit="1" customWidth="1"/>
    <col min="7" max="7" width="13.42578125" bestFit="1" customWidth="1"/>
  </cols>
  <sheetData>
    <row r="1" spans="1:12" x14ac:dyDescent="0.25">
      <c r="A1" t="s">
        <v>0</v>
      </c>
      <c r="B1" s="1">
        <v>44518</v>
      </c>
      <c r="D1" t="s">
        <v>51</v>
      </c>
    </row>
    <row r="4" spans="1:12" x14ac:dyDescent="0.25">
      <c r="A4">
        <v>50</v>
      </c>
      <c r="B4" t="s">
        <v>1</v>
      </c>
      <c r="C4" t="s">
        <v>31</v>
      </c>
      <c r="E4" t="s">
        <v>2</v>
      </c>
      <c r="F4" t="s">
        <v>3</v>
      </c>
      <c r="J4" s="2" t="s">
        <v>4</v>
      </c>
      <c r="K4">
        <v>6220</v>
      </c>
      <c r="L4" t="s">
        <v>5</v>
      </c>
    </row>
    <row r="5" spans="1:12" x14ac:dyDescent="0.25">
      <c r="A5" t="s">
        <v>6</v>
      </c>
      <c r="B5" t="s">
        <v>7</v>
      </c>
      <c r="E5" t="s">
        <v>8</v>
      </c>
      <c r="F5">
        <f>167*0.75</f>
        <v>125.25</v>
      </c>
      <c r="G5" t="s">
        <v>9</v>
      </c>
      <c r="J5" t="s">
        <v>10</v>
      </c>
      <c r="K5">
        <v>1</v>
      </c>
      <c r="L5" t="s">
        <v>11</v>
      </c>
    </row>
    <row r="6" spans="1:12" x14ac:dyDescent="0.25">
      <c r="A6">
        <v>1</v>
      </c>
      <c r="B6" t="s">
        <v>1</v>
      </c>
      <c r="C6" t="s">
        <v>12</v>
      </c>
      <c r="F6">
        <f>4.62*0.75</f>
        <v>3.4649999999999999</v>
      </c>
      <c r="G6" t="s">
        <v>13</v>
      </c>
    </row>
    <row r="8" spans="1:12" x14ac:dyDescent="0.25">
      <c r="H8" t="s">
        <v>17</v>
      </c>
    </row>
    <row r="9" spans="1:12" x14ac:dyDescent="0.25">
      <c r="E9" t="s">
        <v>18</v>
      </c>
      <c r="F9" s="3">
        <v>0.01</v>
      </c>
      <c r="G9" t="s">
        <v>19</v>
      </c>
      <c r="H9">
        <v>100</v>
      </c>
    </row>
    <row r="10" spans="1:12" x14ac:dyDescent="0.25">
      <c r="E10" t="s">
        <v>20</v>
      </c>
      <c r="F10">
        <v>1E-3</v>
      </c>
      <c r="G10" t="s">
        <v>21</v>
      </c>
    </row>
    <row r="15" spans="1:12" x14ac:dyDescent="0.25">
      <c r="A15" t="s">
        <v>14</v>
      </c>
      <c r="B15" t="s">
        <v>15</v>
      </c>
      <c r="C15" t="s">
        <v>16</v>
      </c>
      <c r="D15" t="s">
        <v>32</v>
      </c>
      <c r="E15" t="s">
        <v>25</v>
      </c>
      <c r="F15" t="s">
        <v>35</v>
      </c>
      <c r="G15" t="s">
        <v>33</v>
      </c>
    </row>
    <row r="16" spans="1:12" x14ac:dyDescent="0.25">
      <c r="A16">
        <v>-9.2399999999999996E-2</v>
      </c>
      <c r="B16">
        <v>-2.0000000000000001E-4</v>
      </c>
      <c r="C16">
        <f>A16-B16</f>
        <v>-9.219999999999999E-2</v>
      </c>
      <c r="D16">
        <f>ABS(C16)/($K$4)*10^6</f>
        <v>14.823151125401928</v>
      </c>
      <c r="E16">
        <f>D16*$F$10</f>
        <v>1.4823151125401928E-2</v>
      </c>
      <c r="F16" s="3">
        <f>$F$9/$H$9*$F$6</f>
        <v>3.4650000000000002E-4</v>
      </c>
      <c r="G16" s="4">
        <f>E16/F16</f>
        <v>42.77965692756689</v>
      </c>
    </row>
    <row r="17" spans="1:7" x14ac:dyDescent="0.25">
      <c r="A17">
        <v>-9.0800000000000006E-2</v>
      </c>
      <c r="B17">
        <v>-5.0000000000000001E-4</v>
      </c>
      <c r="C17">
        <f>A17-B17</f>
        <v>-9.0300000000000005E-2</v>
      </c>
      <c r="D17">
        <f>ABS(C17)/($K$4)*10^6</f>
        <v>14.517684887459808</v>
      </c>
      <c r="E17">
        <f>D17*$F$10</f>
        <v>1.4517684887459808E-2</v>
      </c>
      <c r="F17" s="3">
        <f>$F$9/$H$9*$F$6</f>
        <v>3.4650000000000002E-4</v>
      </c>
      <c r="G17" s="4">
        <f>E17/F17</f>
        <v>41.89808048328949</v>
      </c>
    </row>
    <row r="18" spans="1:7" x14ac:dyDescent="0.25">
      <c r="A18">
        <v>-8.7999999999999995E-2</v>
      </c>
      <c r="B18">
        <v>4.0000000000000002E-4</v>
      </c>
      <c r="C18">
        <f>A18-B18</f>
        <v>-8.8399999999999992E-2</v>
      </c>
      <c r="D18">
        <f>ABS(C18)/($K$4)*10^6</f>
        <v>14.212218649517682</v>
      </c>
      <c r="E18">
        <f>D18*$F$10</f>
        <v>1.4212218649517683E-2</v>
      </c>
      <c r="F18" s="3">
        <f>$F$9/$H$9*$F$6</f>
        <v>3.4650000000000002E-4</v>
      </c>
      <c r="G18" s="4">
        <f>E18/F18</f>
        <v>41.016504039012069</v>
      </c>
    </row>
    <row r="20" spans="1:7" x14ac:dyDescent="0.25">
      <c r="B20" t="s">
        <v>22</v>
      </c>
      <c r="C20">
        <f>AVERAGE(C16:C18)</f>
        <v>-9.0299999999999991E-2</v>
      </c>
      <c r="D20" t="s">
        <v>23</v>
      </c>
      <c r="F20" t="s">
        <v>36</v>
      </c>
      <c r="G20" s="4">
        <f>AVERAGE(G16:G18)</f>
        <v>41.898080483289483</v>
      </c>
    </row>
    <row r="21" spans="1:7" x14ac:dyDescent="0.25">
      <c r="B21" t="s">
        <v>24</v>
      </c>
      <c r="C21">
        <f>ABS(C20)/(K4) *10^6</f>
        <v>14.517684887459804</v>
      </c>
      <c r="F21" t="s">
        <v>34</v>
      </c>
      <c r="G21">
        <f>STDEV(G16:G18)</f>
        <v>0.88157644427741033</v>
      </c>
    </row>
    <row r="22" spans="1:7" x14ac:dyDescent="0.25">
      <c r="B22" t="s">
        <v>25</v>
      </c>
      <c r="C22">
        <f>C21*$F$10</f>
        <v>1.4517684887459805E-2</v>
      </c>
      <c r="D22" t="s">
        <v>26</v>
      </c>
    </row>
    <row r="23" spans="1:7" x14ac:dyDescent="0.25">
      <c r="B23" t="s">
        <v>27</v>
      </c>
      <c r="D23" t="s">
        <v>28</v>
      </c>
    </row>
    <row r="24" spans="1:7" x14ac:dyDescent="0.25">
      <c r="B24" t="s">
        <v>29</v>
      </c>
      <c r="C24" s="4">
        <f>C22/F16</f>
        <v>41.898080483289476</v>
      </c>
      <c r="D24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F16" sqref="F16"/>
    </sheetView>
  </sheetViews>
  <sheetFormatPr defaultRowHeight="15" x14ac:dyDescent="0.25"/>
  <cols>
    <col min="1" max="1" width="14" bestFit="1" customWidth="1"/>
    <col min="2" max="2" width="10.140625" bestFit="1" customWidth="1"/>
    <col min="5" max="5" width="15.28515625" customWidth="1"/>
    <col min="6" max="6" width="13.85546875" bestFit="1" customWidth="1"/>
    <col min="7" max="7" width="19.85546875" bestFit="1" customWidth="1"/>
  </cols>
  <sheetData>
    <row r="1" spans="1:12" x14ac:dyDescent="0.25">
      <c r="A1" t="s">
        <v>0</v>
      </c>
      <c r="B1" s="1">
        <v>44518</v>
      </c>
      <c r="E1" t="s">
        <v>51</v>
      </c>
    </row>
    <row r="4" spans="1:12" x14ac:dyDescent="0.25">
      <c r="A4">
        <v>50</v>
      </c>
      <c r="B4" t="s">
        <v>1</v>
      </c>
      <c r="C4" t="s">
        <v>31</v>
      </c>
      <c r="E4" t="s">
        <v>2</v>
      </c>
      <c r="F4" t="s">
        <v>3</v>
      </c>
      <c r="J4" s="2" t="s">
        <v>4</v>
      </c>
      <c r="K4">
        <v>6220</v>
      </c>
      <c r="L4" t="s">
        <v>5</v>
      </c>
    </row>
    <row r="5" spans="1:12" x14ac:dyDescent="0.25">
      <c r="A5" t="s">
        <v>6</v>
      </c>
      <c r="B5" t="s">
        <v>7</v>
      </c>
      <c r="E5" t="s">
        <v>8</v>
      </c>
      <c r="F5">
        <f>167</f>
        <v>167</v>
      </c>
      <c r="G5" t="s">
        <v>9</v>
      </c>
      <c r="J5" t="s">
        <v>10</v>
      </c>
      <c r="K5">
        <v>1</v>
      </c>
      <c r="L5" t="s">
        <v>11</v>
      </c>
    </row>
    <row r="6" spans="1:12" x14ac:dyDescent="0.25">
      <c r="A6">
        <v>1</v>
      </c>
      <c r="B6" t="s">
        <v>1</v>
      </c>
      <c r="C6" t="s">
        <v>12</v>
      </c>
      <c r="F6">
        <f>4.62</f>
        <v>4.62</v>
      </c>
      <c r="G6" t="s">
        <v>13</v>
      </c>
    </row>
    <row r="8" spans="1:12" x14ac:dyDescent="0.25">
      <c r="H8" t="s">
        <v>17</v>
      </c>
    </row>
    <row r="9" spans="1:12" x14ac:dyDescent="0.25">
      <c r="E9" t="s">
        <v>18</v>
      </c>
      <c r="F9" s="3">
        <v>0.01</v>
      </c>
      <c r="G9" t="s">
        <v>19</v>
      </c>
      <c r="H9">
        <v>100</v>
      </c>
    </row>
    <row r="10" spans="1:12" x14ac:dyDescent="0.25">
      <c r="E10" t="s">
        <v>20</v>
      </c>
      <c r="F10">
        <v>1E-3</v>
      </c>
      <c r="G10" t="s">
        <v>21</v>
      </c>
    </row>
    <row r="14" spans="1:12" x14ac:dyDescent="0.25">
      <c r="D14" t="s">
        <v>38</v>
      </c>
      <c r="E14" t="s">
        <v>37</v>
      </c>
    </row>
    <row r="15" spans="1:12" x14ac:dyDescent="0.25">
      <c r="A15" t="s">
        <v>14</v>
      </c>
      <c r="B15" t="s">
        <v>15</v>
      </c>
      <c r="C15" t="s">
        <v>16</v>
      </c>
      <c r="D15" t="s">
        <v>32</v>
      </c>
      <c r="E15" t="s">
        <v>25</v>
      </c>
      <c r="F15" t="s">
        <v>35</v>
      </c>
      <c r="G15" t="s">
        <v>39</v>
      </c>
    </row>
    <row r="16" spans="1:12" x14ac:dyDescent="0.25">
      <c r="A16">
        <v>-0.10539999999999999</v>
      </c>
      <c r="B16">
        <v>-5.9999999999999995E-4</v>
      </c>
      <c r="C16">
        <f>A16-B16</f>
        <v>-0.10479999999999999</v>
      </c>
      <c r="D16">
        <f>ABS(C16)/($K$4)*10^6</f>
        <v>16.84887459807074</v>
      </c>
      <c r="E16">
        <f>D16*$F$10</f>
        <v>1.6848874598070742E-2</v>
      </c>
      <c r="F16" s="3">
        <f>$F$9/$H$9*$F$6</f>
        <v>4.6200000000000001E-4</v>
      </c>
      <c r="G16" s="4">
        <f>E16/F16</f>
        <v>36.469425536949657</v>
      </c>
    </row>
    <row r="17" spans="1:7" x14ac:dyDescent="0.25">
      <c r="A17">
        <v>-9.6100000000000005E-2</v>
      </c>
      <c r="B17">
        <v>-5.0000000000000001E-4</v>
      </c>
      <c r="C17">
        <f>A17-B17</f>
        <v>-9.5600000000000004E-2</v>
      </c>
      <c r="D17">
        <f>ABS(C17)/($K$4)*10^6</f>
        <v>15.369774919614148</v>
      </c>
      <c r="E17">
        <f>D17*$F$10</f>
        <v>1.5369774919614148E-2</v>
      </c>
      <c r="F17" s="3">
        <f>$F$9/$H$9*$F$6</f>
        <v>4.6200000000000001E-4</v>
      </c>
      <c r="G17" s="4">
        <f>E17/F17</f>
        <v>33.267911081415903</v>
      </c>
    </row>
    <row r="18" spans="1:7" x14ac:dyDescent="0.25">
      <c r="A18">
        <v>-0.10440000000000001</v>
      </c>
      <c r="B18">
        <v>-4.0000000000000002E-4</v>
      </c>
      <c r="C18">
        <f>A18-B18</f>
        <v>-0.10400000000000001</v>
      </c>
      <c r="D18">
        <f>ABS(C18)/($K$4)*10^6</f>
        <v>16.720257234726688</v>
      </c>
      <c r="E18">
        <f>D18*$F$10</f>
        <v>1.6720257234726688E-2</v>
      </c>
      <c r="F18" s="3">
        <f>$F$9/$H$9*$F$6</f>
        <v>4.6200000000000001E-4</v>
      </c>
      <c r="G18" s="4">
        <f>E18/F18</f>
        <v>36.191032975598894</v>
      </c>
    </row>
    <row r="20" spans="1:7" x14ac:dyDescent="0.25">
      <c r="B20" t="s">
        <v>22</v>
      </c>
      <c r="C20">
        <f>AVERAGE(C16:C18)</f>
        <v>-0.10146666666666666</v>
      </c>
      <c r="D20" t="s">
        <v>23</v>
      </c>
      <c r="F20" t="s">
        <v>36</v>
      </c>
      <c r="G20" s="4">
        <f>AVERAGE(G16:G18)</f>
        <v>35.30945653132148</v>
      </c>
    </row>
    <row r="21" spans="1:7" x14ac:dyDescent="0.25">
      <c r="B21" t="s">
        <v>24</v>
      </c>
      <c r="C21">
        <f>ABS(C20)/(K4) *10^6</f>
        <v>16.312968917470524</v>
      </c>
      <c r="F21" t="s">
        <v>34</v>
      </c>
      <c r="G21">
        <f>STDEV(G16:G18)</f>
        <v>1.773501190463795</v>
      </c>
    </row>
    <row r="22" spans="1:7" x14ac:dyDescent="0.25">
      <c r="B22" t="s">
        <v>25</v>
      </c>
      <c r="C22">
        <f>C21*$F$10</f>
        <v>1.6312968917470524E-2</v>
      </c>
      <c r="D22" t="s">
        <v>26</v>
      </c>
    </row>
    <row r="23" spans="1:7" x14ac:dyDescent="0.25">
      <c r="B23" t="s">
        <v>27</v>
      </c>
      <c r="D23" t="s">
        <v>28</v>
      </c>
    </row>
    <row r="24" spans="1:7" x14ac:dyDescent="0.25">
      <c r="B24" t="s">
        <v>29</v>
      </c>
      <c r="C24" s="4">
        <f>C22/F16</f>
        <v>35.30945653132148</v>
      </c>
      <c r="D24" t="s">
        <v>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workbookViewId="0">
      <selection activeCell="J4" sqref="J4:L4"/>
    </sheetView>
  </sheetViews>
  <sheetFormatPr defaultRowHeight="15" x14ac:dyDescent="0.25"/>
  <cols>
    <col min="1" max="1" width="14" bestFit="1" customWidth="1"/>
    <col min="2" max="2" width="10.42578125" bestFit="1" customWidth="1"/>
    <col min="5" max="5" width="16" bestFit="1" customWidth="1"/>
    <col min="6" max="6" width="13.85546875" bestFit="1" customWidth="1"/>
    <col min="7" max="7" width="13.42578125" bestFit="1" customWidth="1"/>
  </cols>
  <sheetData>
    <row r="1" spans="1:12" x14ac:dyDescent="0.25">
      <c r="A1" t="s">
        <v>0</v>
      </c>
      <c r="B1" s="1">
        <v>44518</v>
      </c>
      <c r="E1" t="s">
        <v>68</v>
      </c>
      <c r="F1">
        <v>6</v>
      </c>
    </row>
    <row r="4" spans="1:12" x14ac:dyDescent="0.25">
      <c r="A4">
        <v>50</v>
      </c>
      <c r="B4" t="s">
        <v>1</v>
      </c>
      <c r="C4" t="s">
        <v>31</v>
      </c>
      <c r="E4" t="s">
        <v>2</v>
      </c>
      <c r="F4" t="s">
        <v>3</v>
      </c>
      <c r="J4" s="2" t="s">
        <v>4</v>
      </c>
      <c r="K4">
        <v>6220</v>
      </c>
      <c r="L4" t="s">
        <v>5</v>
      </c>
    </row>
    <row r="5" spans="1:12" x14ac:dyDescent="0.25">
      <c r="A5" t="s">
        <v>6</v>
      </c>
      <c r="B5" t="s">
        <v>7</v>
      </c>
      <c r="E5" t="s">
        <v>8</v>
      </c>
      <c r="F5">
        <f>167*0.75</f>
        <v>125.25</v>
      </c>
      <c r="G5" t="s">
        <v>9</v>
      </c>
      <c r="J5" t="s">
        <v>10</v>
      </c>
      <c r="K5">
        <v>1</v>
      </c>
      <c r="L5" t="s">
        <v>11</v>
      </c>
    </row>
    <row r="6" spans="1:12" x14ac:dyDescent="0.25">
      <c r="A6">
        <v>1</v>
      </c>
      <c r="B6" t="s">
        <v>1</v>
      </c>
      <c r="C6" t="s">
        <v>12</v>
      </c>
      <c r="F6">
        <f>4.62*0.75</f>
        <v>3.4649999999999999</v>
      </c>
      <c r="G6" t="s">
        <v>13</v>
      </c>
    </row>
    <row r="8" spans="1:12" x14ac:dyDescent="0.25">
      <c r="H8" t="s">
        <v>17</v>
      </c>
    </row>
    <row r="9" spans="1:12" x14ac:dyDescent="0.25">
      <c r="E9" t="s">
        <v>18</v>
      </c>
      <c r="F9" s="3">
        <v>0.01</v>
      </c>
      <c r="G9" t="s">
        <v>19</v>
      </c>
      <c r="H9">
        <v>100</v>
      </c>
    </row>
    <row r="10" spans="1:12" x14ac:dyDescent="0.25">
      <c r="E10" t="s">
        <v>20</v>
      </c>
      <c r="F10">
        <v>1E-3</v>
      </c>
      <c r="G10" t="s">
        <v>21</v>
      </c>
    </row>
    <row r="15" spans="1:12" x14ac:dyDescent="0.25">
      <c r="A15" t="s">
        <v>14</v>
      </c>
      <c r="B15" t="s">
        <v>15</v>
      </c>
      <c r="C15" t="s">
        <v>16</v>
      </c>
      <c r="D15" t="s">
        <v>32</v>
      </c>
      <c r="E15" t="s">
        <v>25</v>
      </c>
      <c r="F15" t="s">
        <v>35</v>
      </c>
      <c r="G15" t="s">
        <v>33</v>
      </c>
    </row>
    <row r="16" spans="1:12" x14ac:dyDescent="0.25">
      <c r="A16">
        <v>-0.10009999999999999</v>
      </c>
      <c r="B16">
        <v>-2.0000000000000001E-4</v>
      </c>
      <c r="C16">
        <f>A16-B16</f>
        <v>-9.9899999999999989E-2</v>
      </c>
      <c r="D16">
        <f>ABS(C16)/($K$4)*10^6</f>
        <v>16.061093247588424</v>
      </c>
      <c r="E16">
        <f>D16*$F$10</f>
        <v>1.6061093247588424E-2</v>
      </c>
      <c r="F16" s="3">
        <f>$F$9/$H$9*$F$6</f>
        <v>3.4650000000000002E-4</v>
      </c>
      <c r="G16" s="4">
        <f>E16/F16</f>
        <v>46.352361464901655</v>
      </c>
    </row>
    <row r="17" spans="1:12" x14ac:dyDescent="0.25">
      <c r="A17">
        <v>-9.4700000000000006E-2</v>
      </c>
      <c r="B17">
        <v>-2.0000000000000001E-4</v>
      </c>
      <c r="C17">
        <f>A17-B17</f>
        <v>-9.4500000000000001E-2</v>
      </c>
      <c r="D17">
        <f>ABS(C17)/($K$4)*10^6</f>
        <v>15.192926045016076</v>
      </c>
      <c r="E17">
        <f>D17*$F$10</f>
        <v>1.5192926045016077E-2</v>
      </c>
      <c r="F17" s="3">
        <f>$F$9/$H$9*$F$6</f>
        <v>3.4650000000000002E-4</v>
      </c>
      <c r="G17" s="4">
        <f>E17/F17</f>
        <v>43.846828412744806</v>
      </c>
    </row>
    <row r="18" spans="1:12" x14ac:dyDescent="0.25">
      <c r="A18">
        <v>-9.7699999999999995E-2</v>
      </c>
      <c r="B18">
        <v>-2.0000000000000001E-4</v>
      </c>
      <c r="C18">
        <f>A18-B18</f>
        <v>-9.7499999999999989E-2</v>
      </c>
      <c r="D18">
        <f>ABS(C18)/($K$4)*10^6</f>
        <v>15.675241157556266</v>
      </c>
      <c r="E18">
        <f>D18*$F$10</f>
        <v>1.5675241157556266E-2</v>
      </c>
      <c r="F18" s="3">
        <f>$F$9/$H$9*$F$6</f>
        <v>3.4650000000000002E-4</v>
      </c>
      <c r="G18" s="4">
        <f>E18/F18</f>
        <v>45.238791219498601</v>
      </c>
    </row>
    <row r="20" spans="1:12" x14ac:dyDescent="0.25">
      <c r="B20" t="s">
        <v>22</v>
      </c>
      <c r="C20">
        <f>AVERAGE(C16:C18)</f>
        <v>-9.7299999999999998E-2</v>
      </c>
      <c r="D20" t="s">
        <v>23</v>
      </c>
      <c r="F20" s="15" t="s">
        <v>36</v>
      </c>
      <c r="G20" s="14">
        <f>AVERAGE(G16:G18)</f>
        <v>45.145993699048354</v>
      </c>
    </row>
    <row r="21" spans="1:12" x14ac:dyDescent="0.25">
      <c r="B21" t="s">
        <v>24</v>
      </c>
      <c r="C21">
        <f>ABS(C20)/(K4) *10^6</f>
        <v>15.643086816720258</v>
      </c>
      <c r="F21" s="15" t="s">
        <v>34</v>
      </c>
      <c r="G21" s="15">
        <f>STDEV(G16:G18)</f>
        <v>1.2553415884586514</v>
      </c>
    </row>
    <row r="22" spans="1:12" x14ac:dyDescent="0.25">
      <c r="B22" t="s">
        <v>25</v>
      </c>
      <c r="C22">
        <f>C21*$F$10</f>
        <v>1.5643086816720258E-2</v>
      </c>
      <c r="D22" t="s">
        <v>26</v>
      </c>
      <c r="F22" s="15"/>
      <c r="G22" s="15"/>
    </row>
    <row r="23" spans="1:12" x14ac:dyDescent="0.25">
      <c r="B23" t="s">
        <v>27</v>
      </c>
      <c r="D23" t="s">
        <v>28</v>
      </c>
    </row>
    <row r="24" spans="1:12" x14ac:dyDescent="0.25">
      <c r="B24" t="s">
        <v>29</v>
      </c>
      <c r="C24" s="4">
        <f>C22/F16</f>
        <v>45.145993699048361</v>
      </c>
      <c r="D24" t="s">
        <v>30</v>
      </c>
    </row>
    <row r="25" spans="1:12" s="6" customFormat="1" x14ac:dyDescent="0.25"/>
    <row r="26" spans="1:12" x14ac:dyDescent="0.25">
      <c r="A26" t="s">
        <v>0</v>
      </c>
      <c r="B26" s="1">
        <v>44526</v>
      </c>
      <c r="E26" t="s">
        <v>68</v>
      </c>
      <c r="F26">
        <v>14</v>
      </c>
    </row>
    <row r="29" spans="1:12" x14ac:dyDescent="0.25">
      <c r="A29">
        <v>50</v>
      </c>
      <c r="B29" t="s">
        <v>1</v>
      </c>
      <c r="C29" t="s">
        <v>31</v>
      </c>
      <c r="E29" t="s">
        <v>2</v>
      </c>
      <c r="F29" t="s">
        <v>3</v>
      </c>
      <c r="J29" s="2" t="s">
        <v>4</v>
      </c>
      <c r="K29">
        <v>6220</v>
      </c>
      <c r="L29" t="s">
        <v>5</v>
      </c>
    </row>
    <row r="30" spans="1:12" x14ac:dyDescent="0.25">
      <c r="A30" t="s">
        <v>6</v>
      </c>
      <c r="B30" t="s">
        <v>7</v>
      </c>
      <c r="E30" t="s">
        <v>8</v>
      </c>
      <c r="F30">
        <f>167*0.75</f>
        <v>125.25</v>
      </c>
      <c r="G30" t="s">
        <v>9</v>
      </c>
      <c r="J30" t="s">
        <v>10</v>
      </c>
      <c r="K30">
        <v>1</v>
      </c>
      <c r="L30" t="s">
        <v>11</v>
      </c>
    </row>
    <row r="31" spans="1:12" x14ac:dyDescent="0.25">
      <c r="A31">
        <v>1</v>
      </c>
      <c r="B31" t="s">
        <v>1</v>
      </c>
      <c r="C31" t="s">
        <v>12</v>
      </c>
      <c r="F31">
        <f>4.62*0.75</f>
        <v>3.4649999999999999</v>
      </c>
      <c r="G31" t="s">
        <v>13</v>
      </c>
    </row>
    <row r="33" spans="1:8" x14ac:dyDescent="0.25">
      <c r="H33" t="s">
        <v>17</v>
      </c>
    </row>
    <row r="34" spans="1:8" x14ac:dyDescent="0.25">
      <c r="E34" t="s">
        <v>18</v>
      </c>
      <c r="F34" s="3">
        <v>0.01</v>
      </c>
      <c r="G34" t="s">
        <v>19</v>
      </c>
      <c r="H34">
        <v>100</v>
      </c>
    </row>
    <row r="35" spans="1:8" x14ac:dyDescent="0.25">
      <c r="E35" t="s">
        <v>20</v>
      </c>
      <c r="F35">
        <v>1E-3</v>
      </c>
      <c r="G35" t="s">
        <v>21</v>
      </c>
    </row>
    <row r="38" spans="1:8" x14ac:dyDescent="0.25">
      <c r="A38" t="s">
        <v>14</v>
      </c>
      <c r="B38" t="s">
        <v>15</v>
      </c>
      <c r="C38" t="s">
        <v>16</v>
      </c>
      <c r="D38" t="s">
        <v>32</v>
      </c>
      <c r="E38" t="s">
        <v>25</v>
      </c>
      <c r="F38" t="s">
        <v>35</v>
      </c>
      <c r="G38" t="s">
        <v>33</v>
      </c>
    </row>
    <row r="39" spans="1:8" x14ac:dyDescent="0.25">
      <c r="A39">
        <v>-8.72E-2</v>
      </c>
      <c r="B39">
        <v>-4.0000000000000002E-4</v>
      </c>
      <c r="C39">
        <f>A39-B39</f>
        <v>-8.6800000000000002E-2</v>
      </c>
      <c r="D39">
        <f>ABS(C39)/($K$4)*10^6</f>
        <v>13.954983922829582</v>
      </c>
      <c r="E39">
        <f>D39*$F$10</f>
        <v>1.3954983922829583E-2</v>
      </c>
      <c r="F39" s="3">
        <f>$F$9/$H$9*$F$6</f>
        <v>3.4650000000000002E-4</v>
      </c>
      <c r="G39" s="4">
        <f>E39/F39</f>
        <v>40.274123875410048</v>
      </c>
    </row>
    <row r="40" spans="1:8" x14ac:dyDescent="0.25">
      <c r="A40">
        <v>-8.5099999999999995E-2</v>
      </c>
      <c r="B40">
        <v>-1.1999999999999999E-3</v>
      </c>
      <c r="C40">
        <f>A40-B40</f>
        <v>-8.3899999999999988E-2</v>
      </c>
      <c r="D40">
        <f>ABS(C40)/($K$4)*10^6</f>
        <v>13.488745980707394</v>
      </c>
      <c r="E40">
        <f>D40*$F$10</f>
        <v>1.3488745980707394E-2</v>
      </c>
      <c r="F40" s="3">
        <f>$F$9/$H$9*$F$6</f>
        <v>3.4650000000000002E-4</v>
      </c>
      <c r="G40" s="4">
        <f>E40/F40</f>
        <v>38.928559828881362</v>
      </c>
    </row>
    <row r="41" spans="1:8" x14ac:dyDescent="0.25">
      <c r="A41">
        <v>-8.4900000000000003E-2</v>
      </c>
      <c r="B41">
        <v>-1.2999999999999999E-3</v>
      </c>
      <c r="C41">
        <f>A41-B41</f>
        <v>-8.3600000000000008E-2</v>
      </c>
      <c r="D41">
        <f>ABS(C41)/($K$4)*10^6</f>
        <v>13.440514469453378</v>
      </c>
      <c r="E41">
        <f>D41*$F$10</f>
        <v>1.3440514469453378E-2</v>
      </c>
      <c r="F41" s="3">
        <f>$F$9/$H$9*$F$6</f>
        <v>3.4650000000000002E-4</v>
      </c>
      <c r="G41" s="4">
        <f>E41/F41</f>
        <v>38.789363548205998</v>
      </c>
    </row>
    <row r="43" spans="1:8" x14ac:dyDescent="0.25">
      <c r="F43" s="15" t="s">
        <v>36</v>
      </c>
      <c r="G43" s="14">
        <f>AVERAGE(G39:G41)</f>
        <v>39.330682417499141</v>
      </c>
    </row>
    <row r="44" spans="1:8" x14ac:dyDescent="0.25">
      <c r="F44" s="15" t="s">
        <v>34</v>
      </c>
      <c r="G44" s="15">
        <f>STDEV(G39:G41)</f>
        <v>0.82000319482137651</v>
      </c>
    </row>
    <row r="45" spans="1:8" s="6" customFormat="1" x14ac:dyDescent="0.25"/>
    <row r="47" spans="1:8" x14ac:dyDescent="0.25">
      <c r="A47" t="s">
        <v>0</v>
      </c>
      <c r="B47" s="1">
        <v>44533</v>
      </c>
      <c r="E47" t="s">
        <v>68</v>
      </c>
      <c r="F47">
        <v>21</v>
      </c>
    </row>
    <row r="50" spans="1:12" x14ac:dyDescent="0.25">
      <c r="A50">
        <v>50</v>
      </c>
      <c r="B50" t="s">
        <v>1</v>
      </c>
      <c r="C50" t="s">
        <v>31</v>
      </c>
      <c r="E50" t="s">
        <v>2</v>
      </c>
      <c r="F50" t="s">
        <v>3</v>
      </c>
      <c r="J50" s="2" t="s">
        <v>4</v>
      </c>
      <c r="K50">
        <v>6220</v>
      </c>
      <c r="L50" t="s">
        <v>5</v>
      </c>
    </row>
    <row r="51" spans="1:12" x14ac:dyDescent="0.25">
      <c r="A51" t="s">
        <v>6</v>
      </c>
      <c r="B51" t="s">
        <v>7</v>
      </c>
      <c r="E51" t="s">
        <v>8</v>
      </c>
      <c r="F51">
        <f>167*0.75</f>
        <v>125.25</v>
      </c>
      <c r="G51" t="s">
        <v>9</v>
      </c>
      <c r="J51" t="s">
        <v>10</v>
      </c>
      <c r="K51">
        <v>1</v>
      </c>
      <c r="L51" t="s">
        <v>11</v>
      </c>
    </row>
    <row r="52" spans="1:12" x14ac:dyDescent="0.25">
      <c r="A52">
        <v>1</v>
      </c>
      <c r="B52" t="s">
        <v>1</v>
      </c>
      <c r="C52" t="s">
        <v>12</v>
      </c>
      <c r="F52">
        <f>4.62*0.75</f>
        <v>3.4649999999999999</v>
      </c>
      <c r="G52" t="s">
        <v>13</v>
      </c>
    </row>
    <row r="54" spans="1:12" x14ac:dyDescent="0.25">
      <c r="H54" t="s">
        <v>17</v>
      </c>
    </row>
    <row r="55" spans="1:12" x14ac:dyDescent="0.25">
      <c r="E55" t="s">
        <v>18</v>
      </c>
      <c r="F55" s="3">
        <v>0.01</v>
      </c>
      <c r="G55" t="s">
        <v>19</v>
      </c>
      <c r="H55">
        <v>100</v>
      </c>
    </row>
    <row r="56" spans="1:12" x14ac:dyDescent="0.25">
      <c r="E56" t="s">
        <v>20</v>
      </c>
      <c r="F56">
        <v>1E-3</v>
      </c>
      <c r="G56" t="s">
        <v>21</v>
      </c>
    </row>
    <row r="59" spans="1:12" x14ac:dyDescent="0.25">
      <c r="A59" t="s">
        <v>14</v>
      </c>
      <c r="B59" t="s">
        <v>15</v>
      </c>
      <c r="C59" t="s">
        <v>16</v>
      </c>
      <c r="D59" t="s">
        <v>32</v>
      </c>
      <c r="E59" t="s">
        <v>25</v>
      </c>
      <c r="F59" t="s">
        <v>35</v>
      </c>
      <c r="G59" t="s">
        <v>33</v>
      </c>
    </row>
    <row r="60" spans="1:12" x14ac:dyDescent="0.25">
      <c r="A60">
        <v>-7.4800000000000005E-2</v>
      </c>
      <c r="B60">
        <v>2.0999999999999999E-3</v>
      </c>
      <c r="C60">
        <f>A60-B60</f>
        <v>-7.690000000000001E-2</v>
      </c>
      <c r="D60">
        <f>ABS(C60)/($K$4)*10^6</f>
        <v>12.363344051446948</v>
      </c>
      <c r="E60">
        <f>D60*$F$10</f>
        <v>1.2363344051446947E-2</v>
      </c>
      <c r="F60" s="3">
        <f>$F$9/$H$9*$F$6</f>
        <v>3.4650000000000002E-4</v>
      </c>
      <c r="G60" s="4">
        <f>E60/F60</f>
        <v>35.680646613122498</v>
      </c>
    </row>
    <row r="61" spans="1:12" x14ac:dyDescent="0.25">
      <c r="A61">
        <v>-5.9799999999999999E-2</v>
      </c>
      <c r="B61">
        <v>-1E-4</v>
      </c>
      <c r="C61">
        <f>A61-B61</f>
        <v>-5.9699999999999996E-2</v>
      </c>
      <c r="D61">
        <f>ABS(C61)/($K$4)*10^6</f>
        <v>9.5980707395498381</v>
      </c>
      <c r="E61">
        <f>D61*$F$10</f>
        <v>9.5980707395498382E-3</v>
      </c>
      <c r="F61" s="3">
        <f>$F$9/$H$9*$F$6</f>
        <v>3.4650000000000002E-4</v>
      </c>
      <c r="G61" s="4">
        <f>E61/F61</f>
        <v>27.700059854400685</v>
      </c>
    </row>
    <row r="62" spans="1:12" x14ac:dyDescent="0.25">
      <c r="A62">
        <v>-8.3299999999999999E-2</v>
      </c>
      <c r="B62">
        <v>-1.1999999999999999E-3</v>
      </c>
      <c r="C62">
        <f>A62-B62</f>
        <v>-8.2099999999999992E-2</v>
      </c>
      <c r="D62">
        <f>ABS(C62)/($K$4)*10^6</f>
        <v>13.199356913183278</v>
      </c>
      <c r="E62">
        <f>D62*$F$10</f>
        <v>1.3199356913183278E-2</v>
      </c>
      <c r="F62" s="3">
        <f>$F$9/$H$9*$F$6</f>
        <v>3.4650000000000002E-4</v>
      </c>
      <c r="G62" s="4">
        <f>E62/F62</f>
        <v>38.093382144829086</v>
      </c>
    </row>
    <row r="64" spans="1:12" x14ac:dyDescent="0.25">
      <c r="F64" s="15" t="s">
        <v>36</v>
      </c>
      <c r="G64" s="14">
        <f>AVERAGE(G60:G62)</f>
        <v>33.824696204117423</v>
      </c>
    </row>
    <row r="65" spans="1:12" x14ac:dyDescent="0.25">
      <c r="F65" s="15" t="s">
        <v>34</v>
      </c>
      <c r="G65" s="15">
        <f>STDEV(G60:G62)</f>
        <v>5.4395497055081563</v>
      </c>
    </row>
    <row r="66" spans="1:12" s="6" customFormat="1" x14ac:dyDescent="0.25"/>
    <row r="68" spans="1:12" x14ac:dyDescent="0.25">
      <c r="A68" t="s">
        <v>0</v>
      </c>
      <c r="B68" s="1">
        <v>44540</v>
      </c>
      <c r="E68" t="s">
        <v>68</v>
      </c>
      <c r="F68">
        <v>28</v>
      </c>
    </row>
    <row r="71" spans="1:12" x14ac:dyDescent="0.25">
      <c r="A71">
        <v>50</v>
      </c>
      <c r="B71" t="s">
        <v>1</v>
      </c>
      <c r="C71" t="s">
        <v>31</v>
      </c>
      <c r="E71" t="s">
        <v>2</v>
      </c>
      <c r="F71" t="s">
        <v>3</v>
      </c>
      <c r="J71" s="2" t="s">
        <v>4</v>
      </c>
      <c r="K71">
        <v>6220</v>
      </c>
      <c r="L71" t="s">
        <v>5</v>
      </c>
    </row>
    <row r="72" spans="1:12" x14ac:dyDescent="0.25">
      <c r="A72" t="s">
        <v>6</v>
      </c>
      <c r="B72" t="s">
        <v>7</v>
      </c>
      <c r="E72" t="s">
        <v>8</v>
      </c>
      <c r="F72">
        <f>167*0.75</f>
        <v>125.25</v>
      </c>
      <c r="G72" t="s">
        <v>9</v>
      </c>
      <c r="J72" t="s">
        <v>10</v>
      </c>
      <c r="K72">
        <v>1</v>
      </c>
      <c r="L72" t="s">
        <v>11</v>
      </c>
    </row>
    <row r="73" spans="1:12" x14ac:dyDescent="0.25">
      <c r="A73">
        <v>1</v>
      </c>
      <c r="B73" t="s">
        <v>1</v>
      </c>
      <c r="C73" t="s">
        <v>12</v>
      </c>
      <c r="F73">
        <f>4.62*0.75</f>
        <v>3.4649999999999999</v>
      </c>
      <c r="G73" t="s">
        <v>13</v>
      </c>
    </row>
    <row r="75" spans="1:12" x14ac:dyDescent="0.25">
      <c r="H75" t="s">
        <v>17</v>
      </c>
    </row>
    <row r="76" spans="1:12" x14ac:dyDescent="0.25">
      <c r="E76" t="s">
        <v>18</v>
      </c>
      <c r="F76" s="3">
        <v>0.01</v>
      </c>
      <c r="G76" t="s">
        <v>19</v>
      </c>
      <c r="H76">
        <v>100</v>
      </c>
    </row>
    <row r="77" spans="1:12" x14ac:dyDescent="0.25">
      <c r="E77" t="s">
        <v>20</v>
      </c>
      <c r="F77">
        <v>1E-3</v>
      </c>
      <c r="G77" t="s">
        <v>21</v>
      </c>
    </row>
    <row r="80" spans="1:12" x14ac:dyDescent="0.25">
      <c r="A80" t="s">
        <v>14</v>
      </c>
      <c r="B80" t="s">
        <v>15</v>
      </c>
      <c r="C80" t="s">
        <v>16</v>
      </c>
      <c r="D80" t="s">
        <v>32</v>
      </c>
      <c r="E80" t="s">
        <v>25</v>
      </c>
      <c r="F80" t="s">
        <v>35</v>
      </c>
      <c r="G80" t="s">
        <v>33</v>
      </c>
    </row>
    <row r="81" spans="1:13" x14ac:dyDescent="0.25">
      <c r="A81">
        <v>-0.1113</v>
      </c>
      <c r="B81">
        <v>-2.0000000000000001E-4</v>
      </c>
      <c r="C81">
        <f>A81-B81</f>
        <v>-0.11109999999999999</v>
      </c>
      <c r="D81">
        <f>ABS(C81)/($K$4)*10^6</f>
        <v>17.861736334405141</v>
      </c>
      <c r="E81">
        <f>D81*$F$10</f>
        <v>1.7861736334405142E-2</v>
      </c>
      <c r="F81" s="3">
        <f>$F$9/$H$9*$F$6</f>
        <v>3.4650000000000002E-4</v>
      </c>
      <c r="G81" s="4">
        <f>E81/F81</f>
        <v>51.549022610115848</v>
      </c>
    </row>
    <row r="82" spans="1:13" x14ac:dyDescent="0.25">
      <c r="A82">
        <v>-0.1043</v>
      </c>
      <c r="B82">
        <v>-5.0000000000000001E-4</v>
      </c>
      <c r="C82">
        <f>A82-B82</f>
        <v>-0.1038</v>
      </c>
      <c r="D82">
        <f>ABS(C82)/($K$4)*10^6</f>
        <v>16.688102893890676</v>
      </c>
      <c r="E82">
        <f>D82*$F$10</f>
        <v>1.6688102893890677E-2</v>
      </c>
      <c r="F82" s="3">
        <f>$F$9/$H$9*$F$6</f>
        <v>3.4650000000000002E-4</v>
      </c>
      <c r="G82" s="4">
        <f>E82/F82</f>
        <v>48.161913113681607</v>
      </c>
    </row>
    <row r="83" spans="1:13" x14ac:dyDescent="0.25">
      <c r="A83">
        <v>-0.1051</v>
      </c>
      <c r="B83">
        <v>1E-4</v>
      </c>
      <c r="C83">
        <f>A83-B83</f>
        <v>-0.1052</v>
      </c>
      <c r="D83">
        <f>ABS(C83)/($K$4)*10^6</f>
        <v>16.913183279742764</v>
      </c>
      <c r="E83">
        <f>D83*$F$10</f>
        <v>1.6913183279742765E-2</v>
      </c>
      <c r="F83" s="3">
        <f>$F$9/$H$9*$F$6</f>
        <v>3.4650000000000002E-4</v>
      </c>
      <c r="G83" s="4">
        <f>E83/F83</f>
        <v>48.811495756833374</v>
      </c>
    </row>
    <row r="85" spans="1:13" x14ac:dyDescent="0.25">
      <c r="F85" s="15" t="s">
        <v>36</v>
      </c>
      <c r="G85" s="14">
        <f>AVERAGE(G81:G83)</f>
        <v>49.507477160210279</v>
      </c>
    </row>
    <row r="86" spans="1:13" x14ac:dyDescent="0.25">
      <c r="F86" s="15" t="s">
        <v>34</v>
      </c>
      <c r="G86" s="15">
        <f>STDEV(G81:G83)</f>
        <v>1.7976151619836818</v>
      </c>
    </row>
    <row r="87" spans="1:13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9" spans="1:13" x14ac:dyDescent="0.25">
      <c r="A89" t="s">
        <v>0</v>
      </c>
      <c r="B89" s="1">
        <v>44552</v>
      </c>
      <c r="E89" t="s">
        <v>68</v>
      </c>
      <c r="F89">
        <v>40</v>
      </c>
    </row>
    <row r="92" spans="1:13" x14ac:dyDescent="0.25">
      <c r="A92">
        <v>50</v>
      </c>
      <c r="B92" t="s">
        <v>1</v>
      </c>
      <c r="C92" t="s">
        <v>31</v>
      </c>
      <c r="E92" t="s">
        <v>2</v>
      </c>
      <c r="F92" t="s">
        <v>3</v>
      </c>
      <c r="J92" s="2" t="s">
        <v>4</v>
      </c>
      <c r="K92">
        <v>6220</v>
      </c>
      <c r="L92" t="s">
        <v>5</v>
      </c>
    </row>
    <row r="93" spans="1:13" x14ac:dyDescent="0.25">
      <c r="A93" t="s">
        <v>6</v>
      </c>
      <c r="B93" t="s">
        <v>7</v>
      </c>
      <c r="E93" t="s">
        <v>8</v>
      </c>
      <c r="F93">
        <f>167*0.75</f>
        <v>125.25</v>
      </c>
      <c r="G93" t="s">
        <v>9</v>
      </c>
      <c r="J93" t="s">
        <v>10</v>
      </c>
      <c r="K93">
        <v>1</v>
      </c>
      <c r="L93" t="s">
        <v>11</v>
      </c>
    </row>
    <row r="94" spans="1:13" x14ac:dyDescent="0.25">
      <c r="A94">
        <v>1</v>
      </c>
      <c r="B94" t="s">
        <v>1</v>
      </c>
      <c r="C94" t="s">
        <v>12</v>
      </c>
      <c r="F94">
        <f>4.62*0.75</f>
        <v>3.4649999999999999</v>
      </c>
      <c r="G94" t="s">
        <v>13</v>
      </c>
    </row>
    <row r="96" spans="1:13" x14ac:dyDescent="0.25">
      <c r="H96" t="s">
        <v>17</v>
      </c>
    </row>
    <row r="97" spans="1:13" x14ac:dyDescent="0.25">
      <c r="E97" t="s">
        <v>18</v>
      </c>
      <c r="F97" s="3">
        <v>0.01</v>
      </c>
      <c r="G97" t="s">
        <v>19</v>
      </c>
      <c r="H97">
        <v>100</v>
      </c>
    </row>
    <row r="98" spans="1:13" x14ac:dyDescent="0.25">
      <c r="E98" t="s">
        <v>20</v>
      </c>
      <c r="F98">
        <v>1E-3</v>
      </c>
      <c r="G98" t="s">
        <v>21</v>
      </c>
    </row>
    <row r="101" spans="1:13" x14ac:dyDescent="0.25">
      <c r="A101" t="s">
        <v>14</v>
      </c>
      <c r="B101" t="s">
        <v>15</v>
      </c>
      <c r="C101" t="s">
        <v>16</v>
      </c>
      <c r="D101" t="s">
        <v>32</v>
      </c>
      <c r="E101" t="s">
        <v>25</v>
      </c>
      <c r="F101" t="s">
        <v>35</v>
      </c>
      <c r="G101" t="s">
        <v>33</v>
      </c>
    </row>
    <row r="102" spans="1:13" x14ac:dyDescent="0.25">
      <c r="A102">
        <v>-9.4500000000000001E-2</v>
      </c>
      <c r="B102">
        <v>-1E-4</v>
      </c>
      <c r="C102">
        <f>A102-B102</f>
        <v>-9.4399999999999998E-2</v>
      </c>
      <c r="D102">
        <f>ABS(C102)/($K$4)*10^6</f>
        <v>15.17684887459807</v>
      </c>
      <c r="E102">
        <f>D102*$F$10</f>
        <v>1.5176848874598071E-2</v>
      </c>
      <c r="F102" s="3">
        <f>$F$9/$H$9*$F$6</f>
        <v>3.4650000000000002E-4</v>
      </c>
      <c r="G102" s="4">
        <f>E102/F102</f>
        <v>43.800429652519682</v>
      </c>
    </row>
    <row r="103" spans="1:13" x14ac:dyDescent="0.25">
      <c r="A103">
        <v>-9.8599999999999993E-2</v>
      </c>
      <c r="B103">
        <v>-1.4E-3</v>
      </c>
      <c r="C103">
        <f>A103-B103</f>
        <v>-9.7199999999999995E-2</v>
      </c>
      <c r="D103">
        <f>ABS(C103)/($K$4)*10^6</f>
        <v>15.627009646302248</v>
      </c>
      <c r="E103">
        <f>D103*$F$10</f>
        <v>1.5627009646302249E-2</v>
      </c>
      <c r="F103" s="3">
        <f>$F$9/$H$9*$F$6</f>
        <v>3.4650000000000002E-4</v>
      </c>
      <c r="G103" s="4">
        <f>E103/F103</f>
        <v>45.099594938823223</v>
      </c>
    </row>
    <row r="104" spans="1:13" x14ac:dyDescent="0.25">
      <c r="A104">
        <v>-0.1012</v>
      </c>
      <c r="B104">
        <v>-5.9999999999999995E-4</v>
      </c>
      <c r="C104">
        <f>A104-B104</f>
        <v>-0.10059999999999999</v>
      </c>
      <c r="D104">
        <f>ABS(C104)/($K$4)*10^6</f>
        <v>16.173633440514468</v>
      </c>
      <c r="E104">
        <f>D104*$F$10</f>
        <v>1.6173633440514468E-2</v>
      </c>
      <c r="F104" s="3">
        <f>$F$9/$H$9*$F$6</f>
        <v>3.4650000000000002E-4</v>
      </c>
      <c r="G104" s="4">
        <f>E104/F104</f>
        <v>46.677152786477542</v>
      </c>
    </row>
    <row r="106" spans="1:13" x14ac:dyDescent="0.25">
      <c r="F106" s="15" t="s">
        <v>36</v>
      </c>
      <c r="G106" s="14">
        <f>AVERAGE(G102:G104)</f>
        <v>45.192392459273485</v>
      </c>
    </row>
    <row r="107" spans="1:13" x14ac:dyDescent="0.25">
      <c r="F107" s="15" t="s">
        <v>34</v>
      </c>
      <c r="G107" s="15">
        <f>STDEV(G102:G104)</f>
        <v>1.4406049188494985</v>
      </c>
    </row>
    <row r="108" spans="1:13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workbookViewId="0">
      <selection activeCell="M15" sqref="M15"/>
    </sheetView>
  </sheetViews>
  <sheetFormatPr defaultRowHeight="15" x14ac:dyDescent="0.25"/>
  <cols>
    <col min="5" max="5" width="22" customWidth="1"/>
    <col min="6" max="6" width="28" customWidth="1"/>
  </cols>
  <sheetData>
    <row r="1" spans="1:23" x14ac:dyDescent="0.25">
      <c r="I1" t="s">
        <v>73</v>
      </c>
      <c r="J1">
        <v>0.01</v>
      </c>
      <c r="K1" t="s">
        <v>74</v>
      </c>
      <c r="L1">
        <v>100</v>
      </c>
    </row>
    <row r="2" spans="1:23" x14ac:dyDescent="0.25">
      <c r="A2" t="s">
        <v>71</v>
      </c>
      <c r="I2" t="s">
        <v>20</v>
      </c>
      <c r="J2">
        <v>1E-3</v>
      </c>
      <c r="Q2" t="s">
        <v>72</v>
      </c>
    </row>
    <row r="4" spans="1:23" x14ac:dyDescent="0.25">
      <c r="A4" t="s">
        <v>14</v>
      </c>
      <c r="B4" t="s">
        <v>15</v>
      </c>
      <c r="C4" t="s">
        <v>16</v>
      </c>
      <c r="D4" t="s">
        <v>32</v>
      </c>
      <c r="E4" t="s">
        <v>25</v>
      </c>
      <c r="F4" t="s">
        <v>75</v>
      </c>
      <c r="G4" t="s">
        <v>33</v>
      </c>
      <c r="Q4" t="s">
        <v>14</v>
      </c>
      <c r="R4" t="s">
        <v>15</v>
      </c>
      <c r="S4" t="s">
        <v>16</v>
      </c>
      <c r="T4" t="s">
        <v>32</v>
      </c>
      <c r="U4" t="s">
        <v>25</v>
      </c>
      <c r="V4" t="s">
        <v>35</v>
      </c>
      <c r="W4" t="s">
        <v>33</v>
      </c>
    </row>
    <row r="5" spans="1:23" x14ac:dyDescent="0.25">
      <c r="A5">
        <v>-0.21060000000000001</v>
      </c>
      <c r="B5">
        <v>-1E-4</v>
      </c>
      <c r="C5">
        <f>A5-B5</f>
        <v>-0.21050000000000002</v>
      </c>
      <c r="D5">
        <f>ABS(C5)/('-80+glyc+NaCl'!$K$4)*10^6</f>
        <v>33.842443729903543</v>
      </c>
      <c r="E5">
        <f>D5*$J$2</f>
        <v>3.3842443729903547E-2</v>
      </c>
      <c r="F5" s="3">
        <f>$J$1/$L$1*1000</f>
        <v>0.1</v>
      </c>
      <c r="G5" s="4">
        <f>E5/F5</f>
        <v>0.33842443729903543</v>
      </c>
      <c r="Q5">
        <v>-0.1288</v>
      </c>
      <c r="R5">
        <v>2.0000000000000001E-4</v>
      </c>
      <c r="S5">
        <f>Q5-R5</f>
        <v>-0.129</v>
      </c>
      <c r="T5">
        <f>ABS(S5)/('-80+glyc+NaCl'!$K$4)*10^6</f>
        <v>20.739549839228296</v>
      </c>
      <c r="U5">
        <f>T5*$J$2</f>
        <v>2.0739549839228297E-2</v>
      </c>
      <c r="V5" s="3">
        <f>$J$1/$L$1*1000</f>
        <v>0.1</v>
      </c>
      <c r="W5" s="4">
        <f>U5/V5</f>
        <v>0.20739549839228297</v>
      </c>
    </row>
    <row r="6" spans="1:23" x14ac:dyDescent="0.25">
      <c r="A6">
        <v>-0.20519999999999999</v>
      </c>
      <c r="B6">
        <v>-1.1999999999999999E-3</v>
      </c>
      <c r="C6">
        <f>A6-B6</f>
        <v>-0.20399999999999999</v>
      </c>
      <c r="D6">
        <f>ABS(C6)/('-80+glyc+NaCl'!$K$4)*10^6</f>
        <v>32.797427652733113</v>
      </c>
      <c r="E6">
        <f t="shared" ref="E6:E7" si="0">D6*$J$2</f>
        <v>3.2797427652733115E-2</v>
      </c>
      <c r="F6" s="3">
        <f t="shared" ref="F6:F7" si="1">$J$1/$L$1*1000</f>
        <v>0.1</v>
      </c>
      <c r="G6" s="4">
        <f>E6/F6</f>
        <v>0.32797427652733113</v>
      </c>
      <c r="Q6">
        <v>-0.1348</v>
      </c>
      <c r="R6">
        <v>2.9999999999999997E-4</v>
      </c>
      <c r="S6">
        <f>Q6-R6</f>
        <v>-0.1351</v>
      </c>
      <c r="T6">
        <f>ABS(S6)/('-80+glyc+NaCl'!$K$4)*10^6</f>
        <v>21.720257234726688</v>
      </c>
      <c r="U6">
        <f>T6*$J$2</f>
        <v>2.1720257234726689E-2</v>
      </c>
      <c r="V6" s="3">
        <f>$J$1/$L$1*1000</f>
        <v>0.1</v>
      </c>
      <c r="W6" s="4">
        <f>U6/V6</f>
        <v>0.21720257234726689</v>
      </c>
    </row>
    <row r="7" spans="1:23" x14ac:dyDescent="0.25">
      <c r="A7">
        <v>-0.1986</v>
      </c>
      <c r="B7">
        <v>-2.9999999999999997E-4</v>
      </c>
      <c r="C7">
        <f>A7-B7</f>
        <v>-0.1983</v>
      </c>
      <c r="D7">
        <f>ABS(C7)/('-80+glyc+NaCl'!$K$4)*10^6</f>
        <v>31.881028938906752</v>
      </c>
      <c r="E7">
        <f t="shared" si="0"/>
        <v>3.188102893890675E-2</v>
      </c>
      <c r="F7" s="3">
        <f t="shared" si="1"/>
        <v>0.1</v>
      </c>
      <c r="G7" s="4">
        <f>E7/F7</f>
        <v>0.31881028938906747</v>
      </c>
      <c r="V7" s="3"/>
      <c r="W7" s="4"/>
    </row>
    <row r="9" spans="1:23" x14ac:dyDescent="0.25">
      <c r="F9" s="15" t="s">
        <v>36</v>
      </c>
      <c r="G9" s="14">
        <f>AVERAGE(G5:G7)</f>
        <v>0.32840300107181131</v>
      </c>
      <c r="V9" s="15" t="s">
        <v>36</v>
      </c>
      <c r="W9" s="14">
        <f>AVERAGE(W5:W7)</f>
        <v>0.21229903536977493</v>
      </c>
    </row>
    <row r="10" spans="1:23" x14ac:dyDescent="0.25">
      <c r="F10" s="15" t="s">
        <v>34</v>
      </c>
      <c r="G10" s="15">
        <f>STDEV(G5:G7)</f>
        <v>9.8140997095915502E-3</v>
      </c>
      <c r="V10" s="15" t="s">
        <v>34</v>
      </c>
      <c r="W10" s="15">
        <f>STDEV(W5:W7)</f>
        <v>6.9346484971671068E-3</v>
      </c>
    </row>
    <row r="12" spans="1:23" x14ac:dyDescent="0.25">
      <c r="R12">
        <f>AVERAGE(U5:U6)*100*100</f>
        <v>212.29903536977491</v>
      </c>
      <c r="S12" t="s">
        <v>77</v>
      </c>
      <c r="T12" t="s">
        <v>78</v>
      </c>
    </row>
    <row r="14" spans="1:23" x14ac:dyDescent="0.25">
      <c r="B14" t="s">
        <v>76</v>
      </c>
      <c r="C14">
        <f>AVERAGE(E5:E7)*L1*100</f>
        <v>328.40300107181133</v>
      </c>
      <c r="D14" t="s">
        <v>77</v>
      </c>
      <c r="E14" t="s">
        <v>78</v>
      </c>
      <c r="M14">
        <f>50/40*(328/213)</f>
        <v>1.9248826291079812</v>
      </c>
    </row>
    <row r="16" spans="1:23" x14ac:dyDescent="0.25">
      <c r="C16">
        <v>2</v>
      </c>
      <c r="D16" t="s">
        <v>13</v>
      </c>
      <c r="E16" t="s">
        <v>79</v>
      </c>
    </row>
    <row r="17" spans="3:19" x14ac:dyDescent="0.25">
      <c r="C17" s="22">
        <f>C14/C16</f>
        <v>164.20150053590567</v>
      </c>
      <c r="D17" s="22" t="s">
        <v>30</v>
      </c>
    </row>
    <row r="19" spans="3:19" x14ac:dyDescent="0.25">
      <c r="C19">
        <f>0.05*C14</f>
        <v>16.420150053590568</v>
      </c>
      <c r="D19" t="s">
        <v>80</v>
      </c>
      <c r="R19">
        <f>0.04*R12</f>
        <v>8.4919614147909961</v>
      </c>
      <c r="S19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Fridge</vt:lpstr>
      <vt:lpstr>Fridge+glyc+NaCl</vt:lpstr>
      <vt:lpstr>-20</vt:lpstr>
      <vt:lpstr>-20+glyc+NaCl</vt:lpstr>
      <vt:lpstr>-80</vt:lpstr>
      <vt:lpstr>-80+glyc+NaCl</vt:lpstr>
      <vt:lpstr>LkADH vs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Wouter Kools</dc:creator>
  <cp:lastModifiedBy>Ewald Jongkind</cp:lastModifiedBy>
  <dcterms:created xsi:type="dcterms:W3CDTF">2021-11-19T10:00:49Z</dcterms:created>
  <dcterms:modified xsi:type="dcterms:W3CDTF">2023-01-11T15:25:11Z</dcterms:modified>
</cp:coreProperties>
</file>