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ocuments\PhD_Project\Thesis\Chapter III - Adaptation of TA2 to pH\"/>
    </mc:Choice>
  </mc:AlternateContent>
  <xr:revisionPtr revIDLastSave="0" documentId="8_{BB02041D-0B38-4C84-8B65-1438C9A77285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comp" sheetId="4" r:id="rId1"/>
    <sheet name="Dominant lipids_7.5" sheetId="1" r:id="rId2"/>
    <sheet name="10.5" sheetId="2" r:id="rId3"/>
    <sheet name="11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5" i="4"/>
  <c r="H5" i="4"/>
  <c r="G5" i="4"/>
  <c r="I4" i="4"/>
  <c r="H4" i="4"/>
  <c r="G4" i="4"/>
  <c r="I3" i="4"/>
  <c r="H3" i="4"/>
  <c r="G3" i="4"/>
  <c r="I2" i="4"/>
  <c r="H2" i="4"/>
  <c r="G2" i="4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Q24" i="3"/>
  <c r="Q3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H23" i="3" l="1"/>
  <c r="H22" i="3"/>
  <c r="R22" i="3" s="1"/>
  <c r="H21" i="3"/>
  <c r="R21" i="3" s="1"/>
  <c r="H20" i="3"/>
  <c r="R20" i="3" s="1"/>
  <c r="H19" i="3"/>
  <c r="R19" i="3" s="1"/>
  <c r="H18" i="3"/>
  <c r="R18" i="3" s="1"/>
  <c r="H17" i="3"/>
  <c r="R17" i="3" s="1"/>
  <c r="H16" i="3"/>
  <c r="R16" i="3" s="1"/>
  <c r="H15" i="3"/>
  <c r="R15" i="3" s="1"/>
  <c r="H14" i="3"/>
  <c r="R14" i="3" s="1"/>
  <c r="H13" i="3"/>
  <c r="R13" i="3" s="1"/>
  <c r="H12" i="3"/>
  <c r="R12" i="3" s="1"/>
  <c r="H11" i="3"/>
  <c r="R11" i="3" s="1"/>
  <c r="H10" i="3"/>
  <c r="R10" i="3" s="1"/>
  <c r="K9" i="3"/>
  <c r="H9" i="3"/>
  <c r="R9" i="3" s="1"/>
  <c r="K8" i="3"/>
  <c r="H8" i="3"/>
  <c r="R8" i="3" s="1"/>
  <c r="K7" i="3"/>
  <c r="H7" i="3"/>
  <c r="R7" i="3" s="1"/>
  <c r="K6" i="3"/>
  <c r="H6" i="3"/>
  <c r="R6" i="3" s="1"/>
  <c r="K5" i="3"/>
  <c r="H5" i="3"/>
  <c r="R5" i="3" s="1"/>
  <c r="K4" i="3"/>
  <c r="H4" i="3"/>
  <c r="R4" i="3" s="1"/>
  <c r="K3" i="3"/>
  <c r="H3" i="3"/>
  <c r="F2" i="3"/>
  <c r="G21" i="3" s="1"/>
  <c r="H25" i="3" l="1"/>
  <c r="H24" i="3" s="1"/>
  <c r="R3" i="3"/>
  <c r="R23" i="3"/>
  <c r="G11" i="3"/>
  <c r="G15" i="3"/>
  <c r="G19" i="3"/>
  <c r="G23" i="3"/>
  <c r="G3" i="3"/>
  <c r="G4" i="3"/>
  <c r="G5" i="3"/>
  <c r="G6" i="3"/>
  <c r="G7" i="3"/>
  <c r="G8" i="3"/>
  <c r="G9" i="3"/>
  <c r="G10" i="3"/>
  <c r="G14" i="3"/>
  <c r="G18" i="3"/>
  <c r="G22" i="3"/>
  <c r="G12" i="3"/>
  <c r="G16" i="3"/>
  <c r="G20" i="3"/>
  <c r="G13" i="3"/>
  <c r="G17" i="3"/>
  <c r="H23" i="2"/>
  <c r="R23" i="2" s="1"/>
  <c r="H22" i="2"/>
  <c r="R22" i="2" s="1"/>
  <c r="H21" i="2"/>
  <c r="R21" i="2" s="1"/>
  <c r="H20" i="2"/>
  <c r="R20" i="2" s="1"/>
  <c r="H19" i="2"/>
  <c r="R19" i="2" s="1"/>
  <c r="H18" i="2"/>
  <c r="R18" i="2" s="1"/>
  <c r="H17" i="2"/>
  <c r="R17" i="2" s="1"/>
  <c r="H16" i="2"/>
  <c r="R16" i="2" s="1"/>
  <c r="H15" i="2"/>
  <c r="R15" i="2" s="1"/>
  <c r="H14" i="2"/>
  <c r="R14" i="2" s="1"/>
  <c r="H13" i="2"/>
  <c r="R13" i="2" s="1"/>
  <c r="H12" i="2"/>
  <c r="R12" i="2" s="1"/>
  <c r="H11" i="2"/>
  <c r="R11" i="2" s="1"/>
  <c r="H10" i="2"/>
  <c r="R10" i="2" s="1"/>
  <c r="K9" i="2"/>
  <c r="H9" i="2"/>
  <c r="R9" i="2" s="1"/>
  <c r="K8" i="2"/>
  <c r="H8" i="2"/>
  <c r="R8" i="2" s="1"/>
  <c r="K7" i="2"/>
  <c r="H7" i="2"/>
  <c r="R7" i="2" s="1"/>
  <c r="K6" i="2"/>
  <c r="H6" i="2"/>
  <c r="R6" i="2" s="1"/>
  <c r="K5" i="2"/>
  <c r="H5" i="2"/>
  <c r="R5" i="2" s="1"/>
  <c r="K4" i="2"/>
  <c r="H4" i="2"/>
  <c r="R4" i="2" s="1"/>
  <c r="K3" i="2"/>
  <c r="H3" i="2"/>
  <c r="F2" i="2"/>
  <c r="G21" i="2" s="1"/>
  <c r="H23" i="1"/>
  <c r="R23" i="1" s="1"/>
  <c r="H22" i="1"/>
  <c r="R22" i="1" s="1"/>
  <c r="H21" i="1"/>
  <c r="R21" i="1" s="1"/>
  <c r="H20" i="1"/>
  <c r="R20" i="1" s="1"/>
  <c r="H19" i="1"/>
  <c r="R19" i="1" s="1"/>
  <c r="H18" i="1"/>
  <c r="R18" i="1" s="1"/>
  <c r="H17" i="1"/>
  <c r="R17" i="1" s="1"/>
  <c r="H16" i="1"/>
  <c r="R16" i="1" s="1"/>
  <c r="H15" i="1"/>
  <c r="R15" i="1" s="1"/>
  <c r="H14" i="1"/>
  <c r="R14" i="1" s="1"/>
  <c r="H13" i="1"/>
  <c r="R13" i="1" s="1"/>
  <c r="H12" i="1"/>
  <c r="R12" i="1" s="1"/>
  <c r="H11" i="1"/>
  <c r="R11" i="1" s="1"/>
  <c r="H10" i="1"/>
  <c r="R10" i="1" s="1"/>
  <c r="K9" i="1"/>
  <c r="H9" i="1"/>
  <c r="R9" i="1" s="1"/>
  <c r="K8" i="1"/>
  <c r="H8" i="1"/>
  <c r="R8" i="1" s="1"/>
  <c r="K7" i="1"/>
  <c r="H7" i="1"/>
  <c r="R7" i="1" s="1"/>
  <c r="K6" i="1"/>
  <c r="H6" i="1"/>
  <c r="R6" i="1" s="1"/>
  <c r="K5" i="1"/>
  <c r="H5" i="1"/>
  <c r="R5" i="1" s="1"/>
  <c r="K4" i="1"/>
  <c r="H4" i="1"/>
  <c r="R4" i="1" s="1"/>
  <c r="K3" i="1"/>
  <c r="H3" i="1"/>
  <c r="F2" i="1"/>
  <c r="G21" i="1" s="1"/>
  <c r="H25" i="2" l="1"/>
  <c r="H24" i="2" s="1"/>
  <c r="R24" i="2" s="1"/>
  <c r="R3" i="2"/>
  <c r="H25" i="1"/>
  <c r="H24" i="1" s="1"/>
  <c r="R24" i="1" s="1"/>
  <c r="R3" i="1"/>
  <c r="R24" i="3"/>
  <c r="R2" i="3" s="1"/>
  <c r="G12" i="2"/>
  <c r="G16" i="2"/>
  <c r="G20" i="2"/>
  <c r="G11" i="2"/>
  <c r="G15" i="2"/>
  <c r="G19" i="2"/>
  <c r="G23" i="2"/>
  <c r="G3" i="2"/>
  <c r="G4" i="2"/>
  <c r="G5" i="2"/>
  <c r="G6" i="2"/>
  <c r="G7" i="2"/>
  <c r="G9" i="2"/>
  <c r="G10" i="2"/>
  <c r="G14" i="2"/>
  <c r="G18" i="2"/>
  <c r="G22" i="2"/>
  <c r="G13" i="2"/>
  <c r="G17" i="2"/>
  <c r="G12" i="1"/>
  <c r="G16" i="1"/>
  <c r="G20" i="1"/>
  <c r="G11" i="1"/>
  <c r="G15" i="1"/>
  <c r="G19" i="1"/>
  <c r="G23" i="1"/>
  <c r="G3" i="1"/>
  <c r="G4" i="1"/>
  <c r="G5" i="1"/>
  <c r="G6" i="1"/>
  <c r="G7" i="1"/>
  <c r="G8" i="1"/>
  <c r="G9" i="1"/>
  <c r="G10" i="1"/>
  <c r="G14" i="1"/>
  <c r="G18" i="1"/>
  <c r="G22" i="1"/>
  <c r="G13" i="1"/>
  <c r="G17" i="1"/>
  <c r="S24" i="3" l="1"/>
  <c r="N31" i="3" s="1"/>
  <c r="S17" i="3"/>
  <c r="S16" i="3"/>
  <c r="T16" i="3" s="1"/>
  <c r="S4" i="3"/>
  <c r="S15" i="3"/>
  <c r="T15" i="3" s="1"/>
  <c r="S19" i="3"/>
  <c r="T19" i="3" s="1"/>
  <c r="S6" i="3"/>
  <c r="T6" i="3" s="1"/>
  <c r="S8" i="3"/>
  <c r="T8" i="3" s="1"/>
  <c r="S12" i="3"/>
  <c r="T12" i="3" s="1"/>
  <c r="S10" i="3"/>
  <c r="S14" i="3"/>
  <c r="T14" i="3" s="1"/>
  <c r="S18" i="3"/>
  <c r="T18" i="3" s="1"/>
  <c r="S7" i="3"/>
  <c r="T7" i="3" s="1"/>
  <c r="S22" i="3"/>
  <c r="T22" i="3" s="1"/>
  <c r="S11" i="3"/>
  <c r="T11" i="3" s="1"/>
  <c r="S20" i="3"/>
  <c r="T20" i="3" s="1"/>
  <c r="S5" i="3"/>
  <c r="T5" i="3" s="1"/>
  <c r="S13" i="3"/>
  <c r="T13" i="3" s="1"/>
  <c r="S9" i="3"/>
  <c r="T9" i="3" s="1"/>
  <c r="S21" i="3"/>
  <c r="T21" i="3" s="1"/>
  <c r="S3" i="3"/>
  <c r="S23" i="3"/>
  <c r="T23" i="3" s="1"/>
  <c r="H2" i="1"/>
  <c r="R2" i="2"/>
  <c r="S24" i="2" s="1"/>
  <c r="S3" i="2"/>
  <c r="H2" i="2"/>
  <c r="R2" i="1"/>
  <c r="S24" i="1" s="1"/>
  <c r="I19" i="2"/>
  <c r="I10" i="2"/>
  <c r="I23" i="2"/>
  <c r="I18" i="2"/>
  <c r="I7" i="2"/>
  <c r="I17" i="2"/>
  <c r="I6" i="2"/>
  <c r="I13" i="2"/>
  <c r="I21" i="2"/>
  <c r="I9" i="2"/>
  <c r="I5" i="2"/>
  <c r="I15" i="2"/>
  <c r="I20" i="2"/>
  <c r="I22" i="2"/>
  <c r="I14" i="2"/>
  <c r="I8" i="2"/>
  <c r="I4" i="2"/>
  <c r="I11" i="2"/>
  <c r="I16" i="2"/>
  <c r="I12" i="2"/>
  <c r="I9" i="1"/>
  <c r="I7" i="1"/>
  <c r="I12" i="1"/>
  <c r="I19" i="1"/>
  <c r="I14" i="3"/>
  <c r="I9" i="3"/>
  <c r="I22" i="3"/>
  <c r="I18" i="3"/>
  <c r="H2" i="3"/>
  <c r="I17" i="3" s="1"/>
  <c r="T24" i="3"/>
  <c r="T24" i="2" l="1"/>
  <c r="N31" i="2"/>
  <c r="T24" i="1"/>
  <c r="N31" i="1"/>
  <c r="I11" i="1"/>
  <c r="I15" i="1"/>
  <c r="I17" i="1"/>
  <c r="I13" i="1"/>
  <c r="I10" i="3"/>
  <c r="I23" i="1"/>
  <c r="I10" i="1"/>
  <c r="S3" i="1"/>
  <c r="I14" i="1"/>
  <c r="I4" i="1"/>
  <c r="I25" i="1" s="1"/>
  <c r="I18" i="1"/>
  <c r="I24" i="1"/>
  <c r="T3" i="3"/>
  <c r="N27" i="3"/>
  <c r="S16" i="1"/>
  <c r="T16" i="1" s="1"/>
  <c r="S21" i="1"/>
  <c r="T21" i="1" s="1"/>
  <c r="S11" i="1"/>
  <c r="T11" i="1" s="1"/>
  <c r="S18" i="1"/>
  <c r="T18" i="1" s="1"/>
  <c r="S20" i="1"/>
  <c r="T20" i="1" s="1"/>
  <c r="S22" i="1"/>
  <c r="T22" i="1" s="1"/>
  <c r="S4" i="1"/>
  <c r="S14" i="1"/>
  <c r="T14" i="1" s="1"/>
  <c r="S15" i="1"/>
  <c r="T15" i="1" s="1"/>
  <c r="S7" i="1"/>
  <c r="T7" i="1" s="1"/>
  <c r="S19" i="1"/>
  <c r="T19" i="1" s="1"/>
  <c r="S8" i="1"/>
  <c r="T8" i="1" s="1"/>
  <c r="S10" i="1"/>
  <c r="S5" i="1"/>
  <c r="T5" i="1" s="1"/>
  <c r="S17" i="1"/>
  <c r="S12" i="1"/>
  <c r="T12" i="1" s="1"/>
  <c r="S13" i="1"/>
  <c r="T13" i="1" s="1"/>
  <c r="S9" i="1"/>
  <c r="T9" i="1" s="1"/>
  <c r="S6" i="1"/>
  <c r="T6" i="1" s="1"/>
  <c r="S23" i="1"/>
  <c r="T23" i="1" s="1"/>
  <c r="I16" i="1"/>
  <c r="I5" i="1"/>
  <c r="I22" i="1"/>
  <c r="I24" i="2"/>
  <c r="I3" i="2"/>
  <c r="N28" i="3"/>
  <c r="T4" i="3"/>
  <c r="T25" i="3" s="1"/>
  <c r="I3" i="1"/>
  <c r="I4" i="3"/>
  <c r="I23" i="3"/>
  <c r="I24" i="3"/>
  <c r="I21" i="1"/>
  <c r="I6" i="1"/>
  <c r="N29" i="3"/>
  <c r="T10" i="3"/>
  <c r="N30" i="3"/>
  <c r="T17" i="3"/>
  <c r="T3" i="2"/>
  <c r="I20" i="1"/>
  <c r="I8" i="1"/>
  <c r="S9" i="2"/>
  <c r="T9" i="2" s="1"/>
  <c r="S11" i="2"/>
  <c r="T11" i="2" s="1"/>
  <c r="S12" i="2"/>
  <c r="T12" i="2" s="1"/>
  <c r="S10" i="2"/>
  <c r="S16" i="2"/>
  <c r="T16" i="2" s="1"/>
  <c r="S15" i="2"/>
  <c r="T15" i="2" s="1"/>
  <c r="S23" i="2"/>
  <c r="T23" i="2" s="1"/>
  <c r="S21" i="2"/>
  <c r="T21" i="2" s="1"/>
  <c r="S19" i="2"/>
  <c r="T19" i="2" s="1"/>
  <c r="S20" i="2"/>
  <c r="T20" i="2" s="1"/>
  <c r="S5" i="2"/>
  <c r="T5" i="2" s="1"/>
  <c r="S14" i="2"/>
  <c r="T14" i="2" s="1"/>
  <c r="S18" i="2"/>
  <c r="T18" i="2" s="1"/>
  <c r="S22" i="2"/>
  <c r="T22" i="2" s="1"/>
  <c r="S17" i="2"/>
  <c r="S7" i="2"/>
  <c r="T7" i="2" s="1"/>
  <c r="S13" i="2"/>
  <c r="T13" i="2" s="1"/>
  <c r="S8" i="2"/>
  <c r="T8" i="2" s="1"/>
  <c r="S6" i="2"/>
  <c r="T6" i="2" s="1"/>
  <c r="S4" i="2"/>
  <c r="I25" i="2"/>
  <c r="I19" i="3"/>
  <c r="I13" i="3"/>
  <c r="I8" i="3"/>
  <c r="I11" i="3"/>
  <c r="I12" i="3"/>
  <c r="I20" i="3"/>
  <c r="I21" i="3"/>
  <c r="I7" i="3"/>
  <c r="I6" i="3"/>
  <c r="I3" i="3"/>
  <c r="I5" i="3"/>
  <c r="I15" i="3"/>
  <c r="I16" i="3"/>
  <c r="T4" i="2" l="1"/>
  <c r="N28" i="2"/>
  <c r="T10" i="2"/>
  <c r="N29" i="2"/>
  <c r="N29" i="1"/>
  <c r="T10" i="1"/>
  <c r="T3" i="1"/>
  <c r="T25" i="1" s="1"/>
  <c r="N27" i="1"/>
  <c r="N32" i="1" s="1"/>
  <c r="T17" i="2"/>
  <c r="N30" i="2"/>
  <c r="N32" i="3"/>
  <c r="N33" i="3"/>
  <c r="N27" i="2"/>
  <c r="T25" i="2"/>
  <c r="N30" i="1"/>
  <c r="T17" i="1"/>
  <c r="N28" i="1"/>
  <c r="T4" i="1"/>
  <c r="I25" i="3"/>
  <c r="N33" i="2" l="1"/>
  <c r="N32" i="2"/>
</calcChain>
</file>

<file path=xl/sharedStrings.xml><?xml version="1.0" encoding="utf-8"?>
<sst xmlns="http://schemas.openxmlformats.org/spreadsheetml/2006/main" count="505" uniqueCount="145">
  <si>
    <t>O2207080 (pH 7.5_1)</t>
  </si>
  <si>
    <t>Raw peak areas</t>
  </si>
  <si>
    <t>with std corr</t>
  </si>
  <si>
    <t>formula of ion</t>
  </si>
  <si>
    <t>mass ion</t>
  </si>
  <si>
    <t>fa composition</t>
  </si>
  <si>
    <t>RT</t>
  </si>
  <si>
    <t>formula of actual compound</t>
  </si>
  <si>
    <t>C38H77NO8P</t>
  </si>
  <si>
    <t>PC 30:0</t>
  </si>
  <si>
    <t>C15:0,C15:0</t>
  </si>
  <si>
    <t>PE 33:0</t>
  </si>
  <si>
    <t>C16:0,C17:0</t>
  </si>
  <si>
    <t>C39H79NO8P</t>
  </si>
  <si>
    <t>PC 31:0</t>
  </si>
  <si>
    <t>C15:0,C16:0</t>
  </si>
  <si>
    <t>PE 34:0</t>
  </si>
  <si>
    <t>C17:0,C17:0</t>
  </si>
  <si>
    <t>C40H81NO8P</t>
  </si>
  <si>
    <t>PC 32:0</t>
  </si>
  <si>
    <t>C15:0,C17:0</t>
  </si>
  <si>
    <t>C42H83NO8P</t>
  </si>
  <si>
    <t>PC 33:0</t>
  </si>
  <si>
    <t>C43H85NO8P</t>
  </si>
  <si>
    <t>PC34:0</t>
  </si>
  <si>
    <t>C53H107NO11P</t>
  </si>
  <si>
    <t>PG-acyl</t>
  </si>
  <si>
    <t>C15:0,C17:0; PG; C15:0</t>
  </si>
  <si>
    <t>C53H103O11P</t>
  </si>
  <si>
    <t>C54H109NO11P</t>
  </si>
  <si>
    <t>C15:0,C17:0; PG; C16:0</t>
  </si>
  <si>
    <t>C54H105O11P</t>
  </si>
  <si>
    <t>C15:0,C16:0; PG; C17:0</t>
  </si>
  <si>
    <t>C55H111NO11P</t>
  </si>
  <si>
    <t>C15:0,C17:0; PG; C17:0</t>
  </si>
  <si>
    <t>C55H107O11P</t>
  </si>
  <si>
    <t>C56H113NO11P</t>
  </si>
  <si>
    <t>C16:0,C17:0; PG; C17:0</t>
  </si>
  <si>
    <t>C56H109O11P</t>
  </si>
  <si>
    <t>C17:0,C17:0; PG; C16:0</t>
  </si>
  <si>
    <t>C57H115NO11P</t>
  </si>
  <si>
    <t>C17:0,C17:0; PG; C17:0</t>
  </si>
  <si>
    <t>C57H111O11P</t>
  </si>
  <si>
    <t>C71H142NO17P2</t>
  </si>
  <si>
    <t>Cardio C62</t>
  </si>
  <si>
    <t>C17:0,C15:0,C15:0,C15:0</t>
  </si>
  <si>
    <t>C71H138O17P2</t>
  </si>
  <si>
    <t>C72H144NO17P2</t>
  </si>
  <si>
    <t>Cardio C63</t>
  </si>
  <si>
    <t>C17:0,C16:0,C15:0,C15:0</t>
  </si>
  <si>
    <t>C72H140O17P2</t>
  </si>
  <si>
    <t>C73H146NO17P2</t>
  </si>
  <si>
    <t>Cardio C64</t>
  </si>
  <si>
    <t>C17:0,C17:0,C15:0,C15:0</t>
  </si>
  <si>
    <t>C73H142O17P2</t>
  </si>
  <si>
    <t>C74H148NO17P2</t>
  </si>
  <si>
    <t>Cardio C65</t>
  </si>
  <si>
    <t>C17:0,C16:0,C16:0,C15:0</t>
  </si>
  <si>
    <t>C74H144O17P2</t>
  </si>
  <si>
    <t>C75H150NO17P2</t>
  </si>
  <si>
    <t>Cardio C66</t>
  </si>
  <si>
    <t>C17:0,C17:0,C17:0,C15:0</t>
  </si>
  <si>
    <t>C75H146O17P2</t>
  </si>
  <si>
    <t>C76H152NO17P2</t>
  </si>
  <si>
    <t>Cardio C67</t>
  </si>
  <si>
    <t>C17:0,C17:0,C17:0,C16:0</t>
  </si>
  <si>
    <t>C76H148O17P2</t>
  </si>
  <si>
    <t>C77H154NO17P2</t>
  </si>
  <si>
    <t>Cardio C68</t>
  </si>
  <si>
    <t>C17:0,C17:0,C17:0,C17:0</t>
  </si>
  <si>
    <t>C77H150O17P2</t>
  </si>
  <si>
    <t>lipid standard</t>
  </si>
  <si>
    <t>peak area/ ng</t>
  </si>
  <si>
    <t xml:space="preserve">14:0 Hemi BMP </t>
  </si>
  <si>
    <t>14:0 PC (DMPC)</t>
  </si>
  <si>
    <t xml:space="preserve">14:0 Cardiolipin </t>
  </si>
  <si>
    <t>probable</t>
  </si>
  <si>
    <t>confirmed</t>
  </si>
  <si>
    <t>O2207086 (pH 10.5_1)</t>
  </si>
  <si>
    <t>O2304199 (pH 11_1)</t>
  </si>
  <si>
    <t>C</t>
  </si>
  <si>
    <t>H</t>
  </si>
  <si>
    <t>N</t>
  </si>
  <si>
    <t>O</t>
  </si>
  <si>
    <t>P</t>
  </si>
  <si>
    <t>Weight</t>
  </si>
  <si>
    <t>PC</t>
  </si>
  <si>
    <t>DPPC</t>
  </si>
  <si>
    <t>C16:0/C16:0</t>
  </si>
  <si>
    <t>PE</t>
  </si>
  <si>
    <t>DPPE</t>
  </si>
  <si>
    <t>Pga</t>
  </si>
  <si>
    <t>DPPGP</t>
  </si>
  <si>
    <t>C16:0/C16:0/C16:0</t>
  </si>
  <si>
    <t>Cardio</t>
  </si>
  <si>
    <t>PMCL2</t>
  </si>
  <si>
    <t>C16:0/C16:0/C16:0/C16:0</t>
  </si>
  <si>
    <t>SUM</t>
  </si>
  <si>
    <t>C46H64O2</t>
  </si>
  <si>
    <t>Menaquinone 7</t>
  </si>
  <si>
    <t>xxx</t>
  </si>
  <si>
    <t>C46H64P2</t>
  </si>
  <si>
    <t>MQ</t>
  </si>
  <si>
    <t>Plus+1</t>
  </si>
  <si>
    <t>MEN7</t>
  </si>
  <si>
    <t>MK7:7</t>
  </si>
  <si>
    <t>Minus-1</t>
  </si>
  <si>
    <t>Box type</t>
  </si>
  <si>
    <t>Rectangular</t>
  </si>
  <si>
    <t>Water thickness</t>
  </si>
  <si>
    <t>Ratio</t>
  </si>
  <si>
    <t>Lipids</t>
  </si>
  <si>
    <t>200 total</t>
  </si>
  <si>
    <t>Numbers (1)</t>
  </si>
  <si>
    <t>Input Steps 1 &amp; 2</t>
  </si>
  <si>
    <t>System check</t>
  </si>
  <si>
    <t>OK</t>
  </si>
  <si>
    <t>Parameters</t>
  </si>
  <si>
    <t>z = 20</t>
  </si>
  <si>
    <t>Insertion type</t>
  </si>
  <si>
    <t>Replacement (check lipid ring penetration incl.)</t>
  </si>
  <si>
    <t>Ions</t>
  </si>
  <si>
    <t>NaHCO3: 0.1</t>
  </si>
  <si>
    <t>Solvent check</t>
  </si>
  <si>
    <t>Input Step 4</t>
  </si>
  <si>
    <t>Input Step 3</t>
  </si>
  <si>
    <t>Job ID:</t>
  </si>
  <si>
    <t>Lipid penetration</t>
  </si>
  <si>
    <t>NOT FOUND = OK</t>
  </si>
  <si>
    <t>Input Step 5</t>
  </si>
  <si>
    <t>Force Field</t>
  </si>
  <si>
    <t>CHARMM36m</t>
  </si>
  <si>
    <t>Force Field Option</t>
  </si>
  <si>
    <t>WYF parameter for cation-pi interactions</t>
  </si>
  <si>
    <t>Input</t>
  </si>
  <si>
    <t>More CHARMM + GROMACS + CHARMM/OpenMM</t>
  </si>
  <si>
    <t>Equilibration</t>
  </si>
  <si>
    <t>No changes</t>
  </si>
  <si>
    <t>Temperature</t>
  </si>
  <si>
    <t>338.15 K</t>
  </si>
  <si>
    <t>8511329180</t>
  </si>
  <si>
    <t>quin</t>
  </si>
  <si>
    <t>cardio</t>
  </si>
  <si>
    <t>phos</t>
  </si>
  <si>
    <t>acylPG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</si>
</sst>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/>
    <xf numFmtId="0" fontId="1" fillId="0" borderId="0" xfId="0" applyFont="1"/>
    <xf numFmtId="11" fontId="1" fillId="0" borderId="0" xfId="0" applyNumberFormat="1" applyFont="1"/>
    <xf numFmtId="0" fontId="0" fillId="0" borderId="2" xfId="0" applyBorder="1"/>
    <xf numFmtId="0" fontId="0" fillId="0" borderId="3" xfId="0" applyBorder="1"/>
    <xf numFmtId="0" fontId="0" fillId="2" borderId="3" xfId="0" applyFill="1" applyBorder="1"/>
    <xf numFmtId="11" fontId="0" fillId="0" borderId="3" xfId="0" applyNumberFormat="1" applyBorder="1"/>
    <xf numFmtId="2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3" borderId="0" xfId="0" applyFill="1"/>
    <xf numFmtId="11" fontId="0" fillId="0" borderId="0" xfId="0" applyNumberFormat="1"/>
    <xf numFmtId="2" fontId="0" fillId="0" borderId="0" xfId="0" applyNumberFormat="1"/>
    <xf numFmtId="0" fontId="0" fillId="0" borderId="6" xfId="0" applyBorder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2" borderId="8" xfId="0" applyFill="1" applyBorder="1"/>
    <xf numFmtId="11" fontId="0" fillId="0" borderId="8" xfId="0" applyNumberFormat="1" applyBorder="1"/>
    <xf numFmtId="2" fontId="0" fillId="0" borderId="8" xfId="0" applyNumberFormat="1" applyBorder="1"/>
    <xf numFmtId="0" fontId="0" fillId="0" borderId="9" xfId="0" applyBorder="1"/>
    <xf numFmtId="0" fontId="0" fillId="3" borderId="3" xfId="0" applyFill="1" applyBorder="1"/>
    <xf numFmtId="0" fontId="0" fillId="3" borderId="8" xfId="0" applyFill="1" applyBorder="1"/>
    <xf numFmtId="164" fontId="0" fillId="0" borderId="0" xfId="0" applyNumberFormat="1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workbookViewId="0">
      <selection activeCell="I37" sqref="I37"/>
    </sheetView>
  </sheetViews>
  <sheetFormatPr defaultRowHeight="14.5" x14ac:dyDescent="0.35"/>
  <cols>
    <col min="1" max="1" width="10.26953125" bestFit="1" customWidth="1"/>
  </cols>
  <sheetData>
    <row r="1" spans="1:9" x14ac:dyDescent="0.35">
      <c r="B1">
        <v>7.5</v>
      </c>
      <c r="C1">
        <v>10.5</v>
      </c>
      <c r="D1">
        <v>11</v>
      </c>
      <c r="G1">
        <v>7.5</v>
      </c>
      <c r="H1">
        <v>10.5</v>
      </c>
      <c r="I1">
        <v>11</v>
      </c>
    </row>
    <row r="2" spans="1:9" x14ac:dyDescent="0.35">
      <c r="A2" t="s">
        <v>9</v>
      </c>
      <c r="B2" s="24">
        <v>1.4249654193216077</v>
      </c>
      <c r="C2" s="24">
        <v>1.9399783884546318</v>
      </c>
      <c r="D2" s="24">
        <v>1.9927712628694372</v>
      </c>
      <c r="F2" t="s">
        <v>141</v>
      </c>
      <c r="G2" s="13">
        <f>'Dominant lipids_7.5'!I24</f>
        <v>0.49751243781094528</v>
      </c>
      <c r="H2" s="13">
        <f>'10.5'!I24</f>
        <v>0.49751243781094528</v>
      </c>
      <c r="I2" s="13">
        <f>'11'!I24</f>
        <v>1.9607843137254906</v>
      </c>
    </row>
    <row r="3" spans="1:9" x14ac:dyDescent="0.35">
      <c r="A3" t="s">
        <v>11</v>
      </c>
      <c r="B3" s="24">
        <v>0.67825913571844398</v>
      </c>
      <c r="C3" s="24">
        <v>6.9288905558398992E-2</v>
      </c>
      <c r="D3" s="24">
        <v>6.8973483239224115E-2</v>
      </c>
      <c r="F3" t="s">
        <v>142</v>
      </c>
      <c r="G3" s="13">
        <f>SUM('Dominant lipids_7.5'!I17:I23)</f>
        <v>83.624550607644494</v>
      </c>
      <c r="H3" s="13">
        <f>SUM('10.5'!I17:I23)</f>
        <v>49.13722218066836</v>
      </c>
      <c r="I3" s="13">
        <f>SUM('11'!I17:I23)</f>
        <v>56.866848230320173</v>
      </c>
    </row>
    <row r="4" spans="1:9" x14ac:dyDescent="0.35">
      <c r="A4" t="s">
        <v>14</v>
      </c>
      <c r="B4" s="24">
        <v>1.1732998974791897</v>
      </c>
      <c r="C4" s="24">
        <v>0.6756256107316938</v>
      </c>
      <c r="D4" s="24">
        <v>2.2497138308850069</v>
      </c>
      <c r="F4" t="s">
        <v>143</v>
      </c>
      <c r="G4" s="13">
        <f>SUM('Dominant lipids_7.5'!I3:I9)</f>
        <v>13.055203053964217</v>
      </c>
      <c r="H4" s="13">
        <f>SUM('10.5'!I3:I9)</f>
        <v>12.655918375586531</v>
      </c>
      <c r="I4" s="13">
        <f>SUM('11'!I3:I9)</f>
        <v>11.377898888103259</v>
      </c>
    </row>
    <row r="5" spans="1:9" x14ac:dyDescent="0.35">
      <c r="A5" t="s">
        <v>16</v>
      </c>
      <c r="B5" s="24">
        <v>0.87734700018413914</v>
      </c>
      <c r="C5" s="24">
        <v>0.31307403326567412</v>
      </c>
      <c r="D5" s="24">
        <v>9.9779724362267661E-2</v>
      </c>
      <c r="F5" t="s">
        <v>144</v>
      </c>
      <c r="G5" s="13">
        <f>SUM('Dominant lipids_7.5'!I10:I16)</f>
        <v>2.8227339005803471</v>
      </c>
      <c r="H5" s="13">
        <f>SUM('10.5'!I10:I16)</f>
        <v>37.70934700593417</v>
      </c>
      <c r="I5" s="13">
        <f>SUM('11'!I10:I16)</f>
        <v>29.79446856785108</v>
      </c>
    </row>
    <row r="6" spans="1:9" x14ac:dyDescent="0.35">
      <c r="A6" t="s">
        <v>19</v>
      </c>
      <c r="B6" s="24">
        <v>3.2833219174516057</v>
      </c>
      <c r="C6" s="24">
        <v>3.9635624825111515</v>
      </c>
      <c r="D6" s="24">
        <v>3.2621787274239158</v>
      </c>
    </row>
    <row r="7" spans="1:9" x14ac:dyDescent="0.35">
      <c r="A7" t="s">
        <v>22</v>
      </c>
      <c r="B7" s="24">
        <v>2.7258781374753993</v>
      </c>
      <c r="C7" s="24">
        <v>2.7134141961615126</v>
      </c>
      <c r="D7" s="24">
        <v>2.1310747249747335</v>
      </c>
    </row>
    <row r="8" spans="1:9" x14ac:dyDescent="0.35">
      <c r="A8" t="s">
        <v>24</v>
      </c>
      <c r="B8" s="24">
        <v>2.9574075616036541</v>
      </c>
      <c r="C8" s="24">
        <v>3.0442543507813999</v>
      </c>
      <c r="D8" s="24">
        <v>1.8009651121107375</v>
      </c>
    </row>
    <row r="9" spans="1:9" x14ac:dyDescent="0.35">
      <c r="A9" t="s">
        <v>26</v>
      </c>
      <c r="B9" s="24">
        <v>0.46679462262568516</v>
      </c>
      <c r="C9" s="24">
        <v>12.736816772537862</v>
      </c>
      <c r="D9" s="24">
        <v>12.533395881885333</v>
      </c>
    </row>
    <row r="10" spans="1:9" x14ac:dyDescent="0.35">
      <c r="A10" t="s">
        <v>26</v>
      </c>
      <c r="B10" s="24">
        <v>0.15098686886212345</v>
      </c>
      <c r="C10" s="24">
        <v>2.2507886818521077</v>
      </c>
      <c r="D10" s="24">
        <v>3.4537803894643857</v>
      </c>
    </row>
    <row r="11" spans="1:9" x14ac:dyDescent="0.35">
      <c r="A11" t="s">
        <v>26</v>
      </c>
      <c r="B11" s="24">
        <v>0.12224000179502918</v>
      </c>
      <c r="C11" s="24">
        <v>2.4891612116865427</v>
      </c>
      <c r="D11" s="24">
        <v>1.3897007383944624</v>
      </c>
    </row>
    <row r="12" spans="1:9" x14ac:dyDescent="0.35">
      <c r="A12" t="s">
        <v>26</v>
      </c>
      <c r="B12" s="24">
        <v>1.2517073081208001</v>
      </c>
      <c r="C12" s="24">
        <v>15.564302130229917</v>
      </c>
      <c r="D12" s="24">
        <v>9.7955662556637861</v>
      </c>
    </row>
    <row r="13" spans="1:9" x14ac:dyDescent="0.35">
      <c r="A13" t="s">
        <v>26</v>
      </c>
      <c r="B13" s="24">
        <v>0.20388249189675933</v>
      </c>
      <c r="C13" s="24">
        <v>1.1819441589945794</v>
      </c>
      <c r="D13" s="24">
        <v>1.0851242943676187</v>
      </c>
    </row>
    <row r="14" spans="1:9" x14ac:dyDescent="0.35">
      <c r="A14" t="s">
        <v>26</v>
      </c>
      <c r="B14" s="24">
        <v>4.3247727352398999E-2</v>
      </c>
      <c r="C14" s="24">
        <v>0.69358106480722193</v>
      </c>
      <c r="D14" s="24">
        <v>0.22459694096631933</v>
      </c>
    </row>
    <row r="15" spans="1:9" x14ac:dyDescent="0.35">
      <c r="A15" t="s">
        <v>26</v>
      </c>
      <c r="B15" s="24">
        <v>0.59798854943045332</v>
      </c>
      <c r="C15" s="24">
        <v>2.9812997208556018</v>
      </c>
      <c r="D15" s="24">
        <v>1.9081934384661907</v>
      </c>
    </row>
    <row r="16" spans="1:9" x14ac:dyDescent="0.35">
      <c r="A16" t="s">
        <v>44</v>
      </c>
      <c r="B16" s="24">
        <v>9.4136312894656271</v>
      </c>
      <c r="C16" s="24">
        <v>8.5805856243559759</v>
      </c>
      <c r="D16" s="24">
        <v>12.107876955254488</v>
      </c>
    </row>
    <row r="17" spans="1:4" x14ac:dyDescent="0.35">
      <c r="A17" t="s">
        <v>48</v>
      </c>
      <c r="B17" s="24">
        <v>7.232987636623271</v>
      </c>
      <c r="C17" s="24">
        <v>5.893070338924657</v>
      </c>
      <c r="D17" s="24">
        <v>9.1060886589677246</v>
      </c>
    </row>
    <row r="18" spans="1:4" x14ac:dyDescent="0.35">
      <c r="A18" t="s">
        <v>52</v>
      </c>
      <c r="B18" s="24">
        <v>20.356325313161296</v>
      </c>
      <c r="C18" s="24">
        <v>14.533580602189961</v>
      </c>
      <c r="D18" s="24">
        <v>14.711274102475203</v>
      </c>
    </row>
    <row r="19" spans="1:4" x14ac:dyDescent="0.35">
      <c r="A19" t="s">
        <v>56</v>
      </c>
      <c r="B19" s="24">
        <v>11.905021672917542</v>
      </c>
      <c r="C19" s="24">
        <v>7.6951530054514148</v>
      </c>
      <c r="D19" s="24">
        <v>9.1941624057649811</v>
      </c>
    </row>
    <row r="20" spans="1:4" x14ac:dyDescent="0.35">
      <c r="A20" t="s">
        <v>60</v>
      </c>
      <c r="B20" s="24">
        <v>20.995891726163862</v>
      </c>
      <c r="C20" s="24">
        <v>7.2357096482906282</v>
      </c>
      <c r="D20" s="24">
        <v>9.3467610110562465</v>
      </c>
    </row>
    <row r="21" spans="1:4" x14ac:dyDescent="0.35">
      <c r="A21" t="s">
        <v>64</v>
      </c>
      <c r="B21" s="24">
        <v>7.8678631722670698</v>
      </c>
      <c r="C21" s="24">
        <v>3.4960436790929457</v>
      </c>
      <c r="D21" s="24">
        <v>2.2343537996902172</v>
      </c>
    </row>
    <row r="22" spans="1:4" x14ac:dyDescent="0.35">
      <c r="A22" t="s">
        <v>68</v>
      </c>
      <c r="B22" s="24">
        <v>6.2709525500840595</v>
      </c>
      <c r="C22" s="24">
        <v>1.9487653932661202</v>
      </c>
      <c r="D22" s="24">
        <v>1.3036682617177175</v>
      </c>
    </row>
  </sheetData>
  <conditionalFormatting sqref="B2:D22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1"/>
  <sheetViews>
    <sheetView tabSelected="1" topLeftCell="A15" workbookViewId="0">
      <selection activeCell="I24" sqref="I3:I24"/>
    </sheetView>
  </sheetViews>
  <sheetFormatPr defaultRowHeight="14.5" x14ac:dyDescent="0.35"/>
  <cols>
    <col min="1" max="1" width="19" bestFit="1" customWidth="1"/>
    <col min="2" max="2" width="13.1796875" bestFit="1" customWidth="1"/>
    <col min="3" max="3" width="14.54296875" bestFit="1" customWidth="1"/>
    <col min="4" max="4" width="25" bestFit="1" customWidth="1"/>
    <col min="5" max="5" width="6" bestFit="1" customWidth="1"/>
    <col min="6" max="6" width="16.7265625" bestFit="1" customWidth="1"/>
    <col min="7" max="7" width="20.81640625" bestFit="1" customWidth="1"/>
    <col min="8" max="9" width="20.81640625" customWidth="1"/>
    <col min="11" max="11" width="20.453125" bestFit="1" customWidth="1"/>
    <col min="15" max="15" width="11.54296875" bestFit="1" customWidth="1"/>
  </cols>
  <sheetData>
    <row r="1" spans="1:20" s="2" customFormat="1" ht="15" thickBot="1" x14ac:dyDescent="0.4">
      <c r="A1" s="1" t="s">
        <v>0</v>
      </c>
      <c r="F1" s="28" t="s">
        <v>1</v>
      </c>
      <c r="G1" s="28"/>
      <c r="H1" s="28" t="s">
        <v>2</v>
      </c>
      <c r="I1" s="28"/>
      <c r="L1">
        <v>1.0078400000000001</v>
      </c>
      <c r="M1">
        <v>12.010999999999999</v>
      </c>
      <c r="N1">
        <v>14.0067</v>
      </c>
      <c r="O1">
        <v>15.999000000000001</v>
      </c>
      <c r="P1">
        <v>30.973762000000001</v>
      </c>
    </row>
    <row r="2" spans="1:20" s="2" customFormat="1" x14ac:dyDescent="0.35">
      <c r="A2" s="2" t="s">
        <v>3</v>
      </c>
      <c r="C2" s="2" t="s">
        <v>4</v>
      </c>
      <c r="D2" s="2" t="s">
        <v>5</v>
      </c>
      <c r="E2" s="2" t="s">
        <v>6</v>
      </c>
      <c r="F2" s="3">
        <f>SUM(F3:F31)</f>
        <v>1103365555001</v>
      </c>
      <c r="H2" s="3">
        <f>SUM(H3:H24)</f>
        <v>4158.0708931598338</v>
      </c>
      <c r="K2" s="2" t="s">
        <v>7</v>
      </c>
      <c r="L2" s="2" t="s">
        <v>81</v>
      </c>
      <c r="M2" s="2" t="s">
        <v>80</v>
      </c>
      <c r="N2" s="2" t="s">
        <v>82</v>
      </c>
      <c r="O2" s="2" t="s">
        <v>83</v>
      </c>
      <c r="P2" s="2" t="s">
        <v>84</v>
      </c>
      <c r="Q2" s="2" t="s">
        <v>85</v>
      </c>
      <c r="R2" s="2">
        <f>SUM(R3:R23)</f>
        <v>3.3969665692222306</v>
      </c>
    </row>
    <row r="3" spans="1:20" x14ac:dyDescent="0.35">
      <c r="A3" s="4" t="s">
        <v>8</v>
      </c>
      <c r="B3" s="5" t="s">
        <v>9</v>
      </c>
      <c r="C3" s="5">
        <v>706.53912000000003</v>
      </c>
      <c r="D3" s="6" t="s">
        <v>10</v>
      </c>
      <c r="E3" s="5">
        <v>17.21</v>
      </c>
      <c r="F3" s="7">
        <v>75133193754</v>
      </c>
      <c r="G3" s="8">
        <f t="shared" ref="G3:G23" si="0">(F3/F$2)*100</f>
        <v>6.8094561601510115</v>
      </c>
      <c r="H3" s="8">
        <f t="shared" ref="H3:H9" si="1">F3/B$28</f>
        <v>58.956290883984813</v>
      </c>
      <c r="I3" s="8">
        <f t="shared" ref="I3:I23" si="2">(H3/H$2)*100</f>
        <v>1.4178760391259777</v>
      </c>
      <c r="J3" s="5"/>
      <c r="K3" s="9" t="str">
        <f>A3</f>
        <v>C38H77NO8P</v>
      </c>
      <c r="L3">
        <v>77</v>
      </c>
      <c r="M3">
        <v>38</v>
      </c>
      <c r="N3">
        <v>1</v>
      </c>
      <c r="O3">
        <v>8</v>
      </c>
      <c r="P3">
        <v>1</v>
      </c>
      <c r="Q3">
        <f>L3*$L$1+M3*$M$1+N3*$N$1+O3*$O$1+P3*$P$1</f>
        <v>706.9941419999999</v>
      </c>
      <c r="R3">
        <f>H3/Q3</f>
        <v>8.3390069848676085E-2</v>
      </c>
      <c r="S3">
        <f>(R3/$R$2)*200</f>
        <v>4.9096785705353039</v>
      </c>
      <c r="T3">
        <f t="shared" ref="T3:T22" si="3">ROUND(S3,0)</f>
        <v>5</v>
      </c>
    </row>
    <row r="4" spans="1:20" x14ac:dyDescent="0.35">
      <c r="A4" s="10" t="s">
        <v>8</v>
      </c>
      <c r="B4" t="s">
        <v>11</v>
      </c>
      <c r="C4">
        <v>706.53913999999997</v>
      </c>
      <c r="D4" s="11" t="s">
        <v>12</v>
      </c>
      <c r="E4">
        <v>20.66</v>
      </c>
      <c r="F4" s="12">
        <v>35762113500</v>
      </c>
      <c r="G4" s="13">
        <f t="shared" si="0"/>
        <v>3.24118451386382</v>
      </c>
      <c r="H4" s="13">
        <f t="shared" si="1"/>
        <v>28.062184778613002</v>
      </c>
      <c r="I4" s="13">
        <f t="shared" si="2"/>
        <v>0.67488471215765555</v>
      </c>
      <c r="K4" s="14" t="str">
        <f t="shared" ref="K4:K8" si="4">A4</f>
        <v>C38H77NO8P</v>
      </c>
      <c r="L4">
        <v>77</v>
      </c>
      <c r="M4">
        <v>38</v>
      </c>
      <c r="N4">
        <v>1</v>
      </c>
      <c r="O4">
        <v>8</v>
      </c>
      <c r="P4">
        <v>1</v>
      </c>
      <c r="Q4">
        <f t="shared" ref="Q4:Q24" si="5">L4*$L$1+M4*$M$1+N4*$N$1+O4*$O$1+P4*$P$1</f>
        <v>706.9941419999999</v>
      </c>
      <c r="R4">
        <f t="shared" ref="R4:R23" si="6">H4/Q4</f>
        <v>3.9692245114264335E-2</v>
      </c>
      <c r="S4">
        <f t="shared" ref="S4:S23" si="7">(R4/$R$2)*200</f>
        <v>2.3369229166922456</v>
      </c>
      <c r="T4">
        <f t="shared" si="3"/>
        <v>2</v>
      </c>
    </row>
    <row r="5" spans="1:20" x14ac:dyDescent="0.35">
      <c r="A5" s="10" t="s">
        <v>13</v>
      </c>
      <c r="B5" t="s">
        <v>14</v>
      </c>
      <c r="C5">
        <v>720.55489</v>
      </c>
      <c r="D5" s="15" t="s">
        <v>15</v>
      </c>
      <c r="E5">
        <v>18.2</v>
      </c>
      <c r="F5" s="12">
        <v>61863794962</v>
      </c>
      <c r="G5" s="13">
        <f t="shared" si="0"/>
        <v>5.6068267385729591</v>
      </c>
      <c r="H5" s="13">
        <f t="shared" si="1"/>
        <v>48.543921916971492</v>
      </c>
      <c r="I5" s="13">
        <f t="shared" si="2"/>
        <v>1.1674625845564075</v>
      </c>
      <c r="K5" s="14" t="str">
        <f t="shared" si="4"/>
        <v>C39H79NO8P</v>
      </c>
      <c r="L5">
        <v>79</v>
      </c>
      <c r="M5">
        <v>39</v>
      </c>
      <c r="N5">
        <v>1</v>
      </c>
      <c r="O5">
        <v>8</v>
      </c>
      <c r="P5">
        <v>1</v>
      </c>
      <c r="Q5">
        <f t="shared" si="5"/>
        <v>721.02082199999995</v>
      </c>
      <c r="R5">
        <f t="shared" si="6"/>
        <v>6.7326657477544377E-2</v>
      </c>
      <c r="S5">
        <f t="shared" si="7"/>
        <v>3.9639281756581721</v>
      </c>
      <c r="T5">
        <f t="shared" si="3"/>
        <v>4</v>
      </c>
    </row>
    <row r="6" spans="1:20" x14ac:dyDescent="0.35">
      <c r="A6" s="10" t="s">
        <v>13</v>
      </c>
      <c r="B6" t="s">
        <v>16</v>
      </c>
      <c r="C6">
        <v>720.55487000000005</v>
      </c>
      <c r="D6" s="11" t="s">
        <v>17</v>
      </c>
      <c r="E6">
        <v>21.97</v>
      </c>
      <c r="F6" s="12">
        <v>46259285496</v>
      </c>
      <c r="G6" s="13">
        <f t="shared" si="0"/>
        <v>4.1925620467604752</v>
      </c>
      <c r="H6" s="13">
        <f t="shared" si="1"/>
        <v>36.299214175788698</v>
      </c>
      <c r="I6" s="13">
        <f t="shared" si="2"/>
        <v>0.87298208973546187</v>
      </c>
      <c r="K6" s="14" t="str">
        <f t="shared" si="4"/>
        <v>C39H79NO8P</v>
      </c>
      <c r="L6">
        <v>79</v>
      </c>
      <c r="M6">
        <v>39</v>
      </c>
      <c r="N6">
        <v>1</v>
      </c>
      <c r="O6">
        <v>8</v>
      </c>
      <c r="P6">
        <v>1</v>
      </c>
      <c r="Q6">
        <f t="shared" si="5"/>
        <v>721.02082199999995</v>
      </c>
      <c r="R6">
        <f t="shared" si="6"/>
        <v>5.0344196822361256E-2</v>
      </c>
      <c r="S6">
        <f t="shared" si="7"/>
        <v>2.9640678409083114</v>
      </c>
      <c r="T6">
        <f t="shared" si="3"/>
        <v>3</v>
      </c>
    </row>
    <row r="7" spans="1:20" x14ac:dyDescent="0.35">
      <c r="A7" s="10" t="s">
        <v>18</v>
      </c>
      <c r="B7" t="s">
        <v>19</v>
      </c>
      <c r="C7">
        <v>734.57034999999996</v>
      </c>
      <c r="D7" s="15" t="s">
        <v>20</v>
      </c>
      <c r="E7">
        <v>19.23</v>
      </c>
      <c r="F7" s="12">
        <v>173117507580</v>
      </c>
      <c r="G7" s="13">
        <f t="shared" si="0"/>
        <v>15.689950333807829</v>
      </c>
      <c r="H7" s="13">
        <f t="shared" si="1"/>
        <v>135.8436348042712</v>
      </c>
      <c r="I7" s="13">
        <f t="shared" si="2"/>
        <v>3.2669869825389108</v>
      </c>
      <c r="K7" s="14" t="str">
        <f t="shared" si="4"/>
        <v>C40H81NO8P</v>
      </c>
      <c r="L7">
        <v>81</v>
      </c>
      <c r="M7">
        <v>40</v>
      </c>
      <c r="N7">
        <v>1</v>
      </c>
      <c r="O7">
        <v>8</v>
      </c>
      <c r="P7">
        <v>1</v>
      </c>
      <c r="Q7">
        <f t="shared" si="5"/>
        <v>735.04750199999989</v>
      </c>
      <c r="R7">
        <f t="shared" si="6"/>
        <v>0.18480932787969834</v>
      </c>
      <c r="S7">
        <f t="shared" si="7"/>
        <v>10.880844666187709</v>
      </c>
      <c r="T7">
        <f t="shared" si="3"/>
        <v>11</v>
      </c>
    </row>
    <row r="8" spans="1:20" x14ac:dyDescent="0.35">
      <c r="A8" s="10" t="s">
        <v>21</v>
      </c>
      <c r="B8" t="s">
        <v>22</v>
      </c>
      <c r="C8">
        <v>748.58581000000004</v>
      </c>
      <c r="D8" s="15" t="s">
        <v>12</v>
      </c>
      <c r="E8">
        <v>20.49</v>
      </c>
      <c r="F8" s="12">
        <v>143725544126</v>
      </c>
      <c r="G8" s="13">
        <f t="shared" si="0"/>
        <v>13.026103948466087</v>
      </c>
      <c r="H8" s="13">
        <f t="shared" si="1"/>
        <v>112.78004519141489</v>
      </c>
      <c r="I8" s="13">
        <f t="shared" si="2"/>
        <v>2.7123165547018893</v>
      </c>
      <c r="K8" s="14" t="str">
        <f t="shared" si="4"/>
        <v>C42H83NO8P</v>
      </c>
      <c r="L8">
        <v>83</v>
      </c>
      <c r="M8">
        <v>42</v>
      </c>
      <c r="N8">
        <v>1</v>
      </c>
      <c r="O8">
        <v>8</v>
      </c>
      <c r="P8">
        <v>1</v>
      </c>
      <c r="Q8">
        <f t="shared" si="5"/>
        <v>761.08518199999992</v>
      </c>
      <c r="R8">
        <f t="shared" si="6"/>
        <v>0.14818320978874991</v>
      </c>
      <c r="S8">
        <f t="shared" si="7"/>
        <v>8.7244432212753829</v>
      </c>
      <c r="T8">
        <f t="shared" si="3"/>
        <v>9</v>
      </c>
    </row>
    <row r="9" spans="1:20" x14ac:dyDescent="0.35">
      <c r="A9" s="16" t="s">
        <v>23</v>
      </c>
      <c r="B9" s="17" t="s">
        <v>24</v>
      </c>
      <c r="C9" s="17">
        <v>762.60150999999996</v>
      </c>
      <c r="D9" s="18" t="s">
        <v>17</v>
      </c>
      <c r="E9" s="17">
        <v>21.7</v>
      </c>
      <c r="F9" s="19">
        <v>155933240430</v>
      </c>
      <c r="G9" s="20">
        <f t="shared" si="0"/>
        <v>14.132509368561779</v>
      </c>
      <c r="H9" s="20">
        <f t="shared" si="1"/>
        <v>122.35930647875573</v>
      </c>
      <c r="I9" s="20">
        <f t="shared" si="2"/>
        <v>2.942694091147914</v>
      </c>
      <c r="J9" s="17"/>
      <c r="K9" s="21" t="str">
        <f>A9</f>
        <v>C43H85NO8P</v>
      </c>
      <c r="L9">
        <v>85</v>
      </c>
      <c r="M9">
        <v>43</v>
      </c>
      <c r="N9">
        <v>1</v>
      </c>
      <c r="O9">
        <v>8</v>
      </c>
      <c r="P9">
        <v>1</v>
      </c>
      <c r="Q9">
        <f t="shared" si="5"/>
        <v>775.11186199999997</v>
      </c>
      <c r="R9">
        <f t="shared" si="6"/>
        <v>0.15786019086720637</v>
      </c>
      <c r="S9">
        <f t="shared" si="7"/>
        <v>9.2941857183687286</v>
      </c>
      <c r="T9">
        <f t="shared" si="3"/>
        <v>9</v>
      </c>
    </row>
    <row r="10" spans="1:20" x14ac:dyDescent="0.35">
      <c r="A10" s="4" t="s">
        <v>25</v>
      </c>
      <c r="B10" s="5" t="s">
        <v>26</v>
      </c>
      <c r="C10" s="5">
        <v>964.75800000000004</v>
      </c>
      <c r="D10" s="22" t="s">
        <v>27</v>
      </c>
      <c r="E10" s="5">
        <v>28.12</v>
      </c>
      <c r="F10" s="7">
        <v>620059949</v>
      </c>
      <c r="G10" s="8">
        <f t="shared" si="0"/>
        <v>5.6197145741008571E-2</v>
      </c>
      <c r="H10" s="8">
        <f t="shared" ref="H10:H16" si="8">F10/B$27</f>
        <v>19.313085904710348</v>
      </c>
      <c r="I10" s="8">
        <f t="shared" si="2"/>
        <v>0.4644722613190897</v>
      </c>
      <c r="J10" s="5"/>
      <c r="K10" s="9" t="s">
        <v>28</v>
      </c>
      <c r="L10">
        <v>103</v>
      </c>
      <c r="M10">
        <v>53</v>
      </c>
      <c r="N10">
        <v>0</v>
      </c>
      <c r="O10">
        <v>11</v>
      </c>
      <c r="P10">
        <v>1</v>
      </c>
      <c r="Q10">
        <f t="shared" si="5"/>
        <v>947.35328199999992</v>
      </c>
      <c r="R10">
        <f t="shared" si="6"/>
        <v>2.0386360897951004E-2</v>
      </c>
      <c r="S10">
        <f t="shared" si="7"/>
        <v>1.2002685621141491</v>
      </c>
      <c r="T10">
        <f t="shared" si="3"/>
        <v>1</v>
      </c>
    </row>
    <row r="11" spans="1:20" x14ac:dyDescent="0.35">
      <c r="A11" s="10" t="s">
        <v>29</v>
      </c>
      <c r="B11" t="s">
        <v>26</v>
      </c>
      <c r="C11">
        <v>978.774</v>
      </c>
      <c r="D11" s="11" t="s">
        <v>30</v>
      </c>
      <c r="E11">
        <v>29.53</v>
      </c>
      <c r="F11" s="12">
        <v>200561244</v>
      </c>
      <c r="G11" s="13">
        <f t="shared" si="0"/>
        <v>1.817722540738715E-2</v>
      </c>
      <c r="H11" s="13">
        <f t="shared" si="8"/>
        <v>6.2469065140789688</v>
      </c>
      <c r="I11" s="13">
        <f t="shared" si="2"/>
        <v>0.15023569041007309</v>
      </c>
      <c r="K11" s="14" t="s">
        <v>31</v>
      </c>
      <c r="L11">
        <v>105</v>
      </c>
      <c r="M11">
        <v>54</v>
      </c>
      <c r="N11">
        <v>0</v>
      </c>
      <c r="O11">
        <v>11</v>
      </c>
      <c r="P11">
        <v>1</v>
      </c>
      <c r="Q11">
        <f t="shared" si="5"/>
        <v>961.37996199999998</v>
      </c>
      <c r="R11">
        <f t="shared" si="6"/>
        <v>6.4978538777563672E-3</v>
      </c>
      <c r="S11">
        <f t="shared" si="7"/>
        <v>0.38256802034081344</v>
      </c>
      <c r="T11">
        <f t="shared" si="3"/>
        <v>0</v>
      </c>
    </row>
    <row r="12" spans="1:20" x14ac:dyDescent="0.35">
      <c r="A12" s="10" t="s">
        <v>29</v>
      </c>
      <c r="B12" t="s">
        <v>26</v>
      </c>
      <c r="C12">
        <v>978.774</v>
      </c>
      <c r="D12" s="11" t="s">
        <v>32</v>
      </c>
      <c r="E12">
        <v>30.11</v>
      </c>
      <c r="F12" s="12">
        <v>162375755</v>
      </c>
      <c r="G12" s="13">
        <f t="shared" si="0"/>
        <v>1.4716406023736426E-2</v>
      </c>
      <c r="H12" s="13">
        <f t="shared" si="8"/>
        <v>5.0575382432210612</v>
      </c>
      <c r="I12" s="13">
        <f t="shared" si="2"/>
        <v>0.12163184258211859</v>
      </c>
      <c r="K12" s="14" t="s">
        <v>31</v>
      </c>
      <c r="L12">
        <v>105</v>
      </c>
      <c r="M12">
        <v>54</v>
      </c>
      <c r="N12">
        <v>0</v>
      </c>
      <c r="O12">
        <v>11</v>
      </c>
      <c r="P12">
        <v>1</v>
      </c>
      <c r="Q12">
        <f t="shared" si="5"/>
        <v>961.37996199999998</v>
      </c>
      <c r="R12">
        <f t="shared" si="6"/>
        <v>5.2607069453576372E-3</v>
      </c>
      <c r="S12">
        <f t="shared" si="7"/>
        <v>0.30972968606883455</v>
      </c>
      <c r="T12">
        <f t="shared" si="3"/>
        <v>0</v>
      </c>
    </row>
    <row r="13" spans="1:20" x14ac:dyDescent="0.35">
      <c r="A13" s="10" t="s">
        <v>33</v>
      </c>
      <c r="B13" t="s">
        <v>26</v>
      </c>
      <c r="C13">
        <v>992.79</v>
      </c>
      <c r="D13" s="11" t="s">
        <v>34</v>
      </c>
      <c r="E13">
        <v>30.86</v>
      </c>
      <c r="F13" s="12">
        <v>1662687469</v>
      </c>
      <c r="G13" s="13">
        <f t="shared" si="0"/>
        <v>0.1506923486476332</v>
      </c>
      <c r="H13" s="13">
        <f t="shared" si="8"/>
        <v>51.787937558731798</v>
      </c>
      <c r="I13" s="13">
        <f t="shared" si="2"/>
        <v>1.2454799085779102</v>
      </c>
      <c r="K13" s="14" t="s">
        <v>35</v>
      </c>
      <c r="L13">
        <v>107</v>
      </c>
      <c r="M13">
        <v>55</v>
      </c>
      <c r="N13">
        <v>0</v>
      </c>
      <c r="O13">
        <v>11</v>
      </c>
      <c r="P13">
        <v>1</v>
      </c>
      <c r="Q13">
        <f t="shared" si="5"/>
        <v>975.40664199999992</v>
      </c>
      <c r="R13">
        <f t="shared" si="6"/>
        <v>5.309368967648654E-2</v>
      </c>
      <c r="S13">
        <f t="shared" si="7"/>
        <v>3.125947141048425</v>
      </c>
      <c r="T13">
        <f t="shared" si="3"/>
        <v>3</v>
      </c>
    </row>
    <row r="14" spans="1:20" x14ac:dyDescent="0.35">
      <c r="A14" s="10" t="s">
        <v>36</v>
      </c>
      <c r="B14" t="s">
        <v>26</v>
      </c>
      <c r="C14">
        <v>1006.806</v>
      </c>
      <c r="D14" s="11" t="s">
        <v>37</v>
      </c>
      <c r="E14">
        <v>32.270000000000003</v>
      </c>
      <c r="F14" s="12">
        <v>270824387</v>
      </c>
      <c r="G14" s="13">
        <f t="shared" si="0"/>
        <v>2.4545300129452979E-2</v>
      </c>
      <c r="H14" s="13">
        <f t="shared" si="8"/>
        <v>8.435401544087668</v>
      </c>
      <c r="I14" s="13">
        <f t="shared" si="2"/>
        <v>0.20286815114105408</v>
      </c>
      <c r="K14" s="14" t="s">
        <v>38</v>
      </c>
      <c r="L14">
        <v>109</v>
      </c>
      <c r="M14">
        <v>56</v>
      </c>
      <c r="N14">
        <v>0</v>
      </c>
      <c r="O14">
        <v>11</v>
      </c>
      <c r="P14">
        <v>1</v>
      </c>
      <c r="Q14">
        <f t="shared" si="5"/>
        <v>989.43332199999998</v>
      </c>
      <c r="R14">
        <f t="shared" si="6"/>
        <v>8.5254876266312642E-3</v>
      </c>
      <c r="S14">
        <f t="shared" si="7"/>
        <v>0.50194710209251536</v>
      </c>
      <c r="T14">
        <f t="shared" si="3"/>
        <v>1</v>
      </c>
    </row>
    <row r="15" spans="1:20" x14ac:dyDescent="0.35">
      <c r="A15" s="10" t="s">
        <v>36</v>
      </c>
      <c r="B15" t="s">
        <v>26</v>
      </c>
      <c r="C15">
        <v>1006.806</v>
      </c>
      <c r="D15" s="11" t="s">
        <v>39</v>
      </c>
      <c r="E15">
        <v>32.9</v>
      </c>
      <c r="F15" s="12">
        <v>57447499</v>
      </c>
      <c r="G15" s="13">
        <f t="shared" si="0"/>
        <v>5.2065699114513262E-3</v>
      </c>
      <c r="H15" s="13">
        <f t="shared" si="8"/>
        <v>1.7893245402917677</v>
      </c>
      <c r="I15" s="13">
        <f t="shared" si="2"/>
        <v>4.3032564529750239E-2</v>
      </c>
      <c r="K15" s="14" t="s">
        <v>38</v>
      </c>
      <c r="L15">
        <v>109</v>
      </c>
      <c r="M15">
        <v>56</v>
      </c>
      <c r="N15">
        <v>0</v>
      </c>
      <c r="O15">
        <v>11</v>
      </c>
      <c r="P15">
        <v>1</v>
      </c>
      <c r="Q15">
        <f t="shared" si="5"/>
        <v>989.43332199999998</v>
      </c>
      <c r="R15">
        <f t="shared" si="6"/>
        <v>1.8084336766371486E-3</v>
      </c>
      <c r="S15">
        <f t="shared" si="7"/>
        <v>0.10647344563365588</v>
      </c>
      <c r="T15">
        <f t="shared" si="3"/>
        <v>0</v>
      </c>
    </row>
    <row r="16" spans="1:20" x14ac:dyDescent="0.35">
      <c r="A16" s="16" t="s">
        <v>40</v>
      </c>
      <c r="B16" s="17" t="s">
        <v>26</v>
      </c>
      <c r="C16" s="17">
        <v>1020.821</v>
      </c>
      <c r="D16" s="23" t="s">
        <v>41</v>
      </c>
      <c r="E16" s="17">
        <v>33.57</v>
      </c>
      <c r="F16" s="19">
        <v>794329522</v>
      </c>
      <c r="G16" s="20">
        <f t="shared" si="0"/>
        <v>7.1991509830962613E-2</v>
      </c>
      <c r="H16" s="20">
        <f t="shared" si="8"/>
        <v>24.741082406265058</v>
      </c>
      <c r="I16" s="20">
        <f t="shared" si="2"/>
        <v>0.59501348202035154</v>
      </c>
      <c r="J16" s="17"/>
      <c r="K16" s="21" t="s">
        <v>42</v>
      </c>
      <c r="L16">
        <v>111</v>
      </c>
      <c r="M16">
        <v>57</v>
      </c>
      <c r="N16">
        <v>0</v>
      </c>
      <c r="O16">
        <v>11</v>
      </c>
      <c r="P16">
        <v>1</v>
      </c>
      <c r="Q16">
        <f t="shared" si="5"/>
        <v>1003.4600019999999</v>
      </c>
      <c r="R16">
        <f t="shared" si="6"/>
        <v>2.4655773381055061E-2</v>
      </c>
      <c r="S16">
        <f t="shared" si="7"/>
        <v>1.4516347381481736</v>
      </c>
      <c r="T16">
        <f t="shared" si="3"/>
        <v>1</v>
      </c>
    </row>
    <row r="17" spans="1:20" x14ac:dyDescent="0.35">
      <c r="A17" s="4" t="s">
        <v>43</v>
      </c>
      <c r="B17" s="5" t="s">
        <v>44</v>
      </c>
      <c r="C17" s="5">
        <v>1342.9747511</v>
      </c>
      <c r="D17" s="11" t="s">
        <v>45</v>
      </c>
      <c r="E17" s="5">
        <v>36.08</v>
      </c>
      <c r="F17" s="7">
        <v>45678023572</v>
      </c>
      <c r="G17" s="8">
        <f t="shared" si="0"/>
        <v>4.1398812356398604</v>
      </c>
      <c r="H17" s="8">
        <f t="shared" ref="H17:H23" si="9">F17/B$29</f>
        <v>389.47807227528051</v>
      </c>
      <c r="I17" s="8">
        <f t="shared" si="2"/>
        <v>9.3667973029508715</v>
      </c>
      <c r="J17" s="5"/>
      <c r="K17" s="9" t="s">
        <v>46</v>
      </c>
      <c r="L17">
        <v>138</v>
      </c>
      <c r="M17">
        <v>71</v>
      </c>
      <c r="N17">
        <v>0</v>
      </c>
      <c r="O17">
        <v>17</v>
      </c>
      <c r="P17">
        <v>2</v>
      </c>
      <c r="Q17">
        <f t="shared" si="5"/>
        <v>1325.7934439999999</v>
      </c>
      <c r="R17">
        <f t="shared" si="6"/>
        <v>0.29376979803143494</v>
      </c>
      <c r="S17">
        <f t="shared" si="7"/>
        <v>17.29600760237664</v>
      </c>
      <c r="T17">
        <f t="shared" si="3"/>
        <v>17</v>
      </c>
    </row>
    <row r="18" spans="1:20" x14ac:dyDescent="0.35">
      <c r="A18" s="10" t="s">
        <v>47</v>
      </c>
      <c r="B18" t="s">
        <v>48</v>
      </c>
      <c r="C18">
        <v>1356.9904011000001</v>
      </c>
      <c r="D18" s="11" t="s">
        <v>49</v>
      </c>
      <c r="E18">
        <v>37.29</v>
      </c>
      <c r="F18" s="12">
        <v>35096826039</v>
      </c>
      <c r="G18" s="13">
        <f t="shared" si="0"/>
        <v>3.1808883175592868</v>
      </c>
      <c r="H18" s="13">
        <f t="shared" si="9"/>
        <v>299.25647126794189</v>
      </c>
      <c r="I18" s="13">
        <f t="shared" si="2"/>
        <v>7.1970026235057425</v>
      </c>
      <c r="K18" s="14" t="s">
        <v>50</v>
      </c>
      <c r="L18">
        <v>140</v>
      </c>
      <c r="M18">
        <v>72</v>
      </c>
      <c r="N18">
        <v>0</v>
      </c>
      <c r="O18">
        <v>17</v>
      </c>
      <c r="P18">
        <v>2</v>
      </c>
      <c r="Q18">
        <f t="shared" si="5"/>
        <v>1339.8201239999999</v>
      </c>
      <c r="R18">
        <f t="shared" si="6"/>
        <v>0.22335570716352512</v>
      </c>
      <c r="S18">
        <f t="shared" si="7"/>
        <v>13.150303520041096</v>
      </c>
      <c r="T18">
        <f t="shared" si="3"/>
        <v>13</v>
      </c>
    </row>
    <row r="19" spans="1:20" x14ac:dyDescent="0.35">
      <c r="A19" s="10" t="s">
        <v>51</v>
      </c>
      <c r="B19" t="s">
        <v>52</v>
      </c>
      <c r="C19">
        <v>1371.0060512</v>
      </c>
      <c r="D19" s="11" t="s">
        <v>53</v>
      </c>
      <c r="E19">
        <v>38.36</v>
      </c>
      <c r="F19" s="12">
        <v>98775560557</v>
      </c>
      <c r="G19" s="13">
        <f t="shared" si="0"/>
        <v>8.9522062846080477</v>
      </c>
      <c r="H19" s="13">
        <f t="shared" si="9"/>
        <v>842.21934105819616</v>
      </c>
      <c r="I19" s="13">
        <f t="shared" si="2"/>
        <v>20.255050062847058</v>
      </c>
      <c r="K19" s="14" t="s">
        <v>54</v>
      </c>
      <c r="L19">
        <v>142</v>
      </c>
      <c r="M19">
        <v>73</v>
      </c>
      <c r="N19">
        <v>0</v>
      </c>
      <c r="O19">
        <v>17</v>
      </c>
      <c r="P19">
        <v>2</v>
      </c>
      <c r="Q19">
        <f t="shared" si="5"/>
        <v>1353.846804</v>
      </c>
      <c r="R19">
        <f t="shared" si="6"/>
        <v>0.62209353271715973</v>
      </c>
      <c r="S19">
        <f t="shared" si="7"/>
        <v>36.626414775674064</v>
      </c>
      <c r="T19">
        <f t="shared" si="3"/>
        <v>37</v>
      </c>
    </row>
    <row r="20" spans="1:20" x14ac:dyDescent="0.35">
      <c r="A20" s="10" t="s">
        <v>55</v>
      </c>
      <c r="B20" t="s">
        <v>56</v>
      </c>
      <c r="C20">
        <v>1385.0217012000001</v>
      </c>
      <c r="D20" s="11" t="s">
        <v>57</v>
      </c>
      <c r="E20">
        <v>39.58</v>
      </c>
      <c r="F20" s="12">
        <v>57767066064</v>
      </c>
      <c r="G20" s="13">
        <f t="shared" si="0"/>
        <v>5.2355328478554553</v>
      </c>
      <c r="H20" s="13">
        <f t="shared" si="9"/>
        <v>492.55645871239221</v>
      </c>
      <c r="I20" s="13">
        <f t="shared" si="2"/>
        <v>11.845792709370688</v>
      </c>
      <c r="K20" s="14" t="s">
        <v>58</v>
      </c>
      <c r="L20">
        <v>144</v>
      </c>
      <c r="M20">
        <v>74</v>
      </c>
      <c r="N20">
        <v>0</v>
      </c>
      <c r="O20">
        <v>17</v>
      </c>
      <c r="P20">
        <v>2</v>
      </c>
      <c r="Q20">
        <f t="shared" si="5"/>
        <v>1367.8734839999997</v>
      </c>
      <c r="R20">
        <f t="shared" si="6"/>
        <v>0.36008919280461199</v>
      </c>
      <c r="S20">
        <f t="shared" si="7"/>
        <v>21.200632120854696</v>
      </c>
      <c r="T20">
        <f t="shared" si="3"/>
        <v>21</v>
      </c>
    </row>
    <row r="21" spans="1:20" x14ac:dyDescent="0.35">
      <c r="A21" s="10" t="s">
        <v>59</v>
      </c>
      <c r="B21" t="s">
        <v>60</v>
      </c>
      <c r="C21">
        <v>1399.0373513</v>
      </c>
      <c r="D21" s="11" t="s">
        <v>61</v>
      </c>
      <c r="E21">
        <v>41.3</v>
      </c>
      <c r="F21" s="12">
        <v>101878946359</v>
      </c>
      <c r="G21" s="13">
        <f t="shared" si="0"/>
        <v>9.2334717081962623</v>
      </c>
      <c r="H21" s="13">
        <f t="shared" si="9"/>
        <v>868.68065932833156</v>
      </c>
      <c r="I21" s="13">
        <f t="shared" si="2"/>
        <v>20.891434553396877</v>
      </c>
      <c r="K21" s="14" t="s">
        <v>62</v>
      </c>
      <c r="L21">
        <v>146</v>
      </c>
      <c r="M21">
        <v>75</v>
      </c>
      <c r="N21">
        <v>0</v>
      </c>
      <c r="O21">
        <v>17</v>
      </c>
      <c r="P21">
        <v>2</v>
      </c>
      <c r="Q21">
        <f t="shared" si="5"/>
        <v>1381.9001639999999</v>
      </c>
      <c r="R21">
        <f>H21/Q21</f>
        <v>0.62861318202168737</v>
      </c>
      <c r="S21">
        <f t="shared" si="7"/>
        <v>37.010266024820766</v>
      </c>
      <c r="T21">
        <f t="shared" si="3"/>
        <v>37</v>
      </c>
    </row>
    <row r="22" spans="1:20" x14ac:dyDescent="0.35">
      <c r="A22" s="10" t="s">
        <v>63</v>
      </c>
      <c r="B22" t="s">
        <v>64</v>
      </c>
      <c r="C22">
        <v>1413.0530014000001</v>
      </c>
      <c r="D22" s="11" t="s">
        <v>65</v>
      </c>
      <c r="E22">
        <v>42.35</v>
      </c>
      <c r="F22" s="12">
        <v>38177450167</v>
      </c>
      <c r="G22" s="13">
        <f t="shared" si="0"/>
        <v>3.4600908097919914</v>
      </c>
      <c r="H22" s="13">
        <f t="shared" si="9"/>
        <v>325.52370993002882</v>
      </c>
      <c r="I22" s="13">
        <f t="shared" si="2"/>
        <v>7.8287195743950928</v>
      </c>
      <c r="K22" s="14" t="s">
        <v>66</v>
      </c>
      <c r="L22">
        <v>148</v>
      </c>
      <c r="M22">
        <v>76</v>
      </c>
      <c r="N22">
        <v>0</v>
      </c>
      <c r="O22">
        <v>17</v>
      </c>
      <c r="P22">
        <v>2</v>
      </c>
      <c r="Q22">
        <f t="shared" si="5"/>
        <v>1395.9268439999998</v>
      </c>
      <c r="R22">
        <f t="shared" si="6"/>
        <v>0.23319539367639588</v>
      </c>
      <c r="S22">
        <f t="shared" si="7"/>
        <v>13.72962547169184</v>
      </c>
      <c r="T22">
        <f t="shared" si="3"/>
        <v>14</v>
      </c>
    </row>
    <row r="23" spans="1:20" x14ac:dyDescent="0.35">
      <c r="A23" s="16" t="s">
        <v>67</v>
      </c>
      <c r="B23" s="17" t="s">
        <v>68</v>
      </c>
      <c r="C23" s="17">
        <v>1427.0686513999999</v>
      </c>
      <c r="D23" s="23" t="s">
        <v>69</v>
      </c>
      <c r="E23" s="17">
        <v>43.57</v>
      </c>
      <c r="F23" s="19">
        <v>30428716570</v>
      </c>
      <c r="G23" s="20">
        <f t="shared" si="0"/>
        <v>2.7578091804735037</v>
      </c>
      <c r="H23" s="20">
        <f t="shared" si="9"/>
        <v>259.45338578000957</v>
      </c>
      <c r="I23" s="20">
        <f t="shared" si="2"/>
        <v>6.2397537811781687</v>
      </c>
      <c r="J23" s="17"/>
      <c r="K23" s="21" t="s">
        <v>70</v>
      </c>
      <c r="L23">
        <v>150</v>
      </c>
      <c r="M23">
        <v>77</v>
      </c>
      <c r="N23">
        <v>0</v>
      </c>
      <c r="O23">
        <v>17</v>
      </c>
      <c r="P23">
        <v>2</v>
      </c>
      <c r="Q23">
        <f t="shared" si="5"/>
        <v>1409.9535239999998</v>
      </c>
      <c r="R23">
        <f t="shared" si="6"/>
        <v>0.18401555892703994</v>
      </c>
      <c r="S23">
        <f t="shared" si="7"/>
        <v>10.834110679468486</v>
      </c>
      <c r="T23">
        <f>ROUND(S23,0)</f>
        <v>11</v>
      </c>
    </row>
    <row r="24" spans="1:20" x14ac:dyDescent="0.35">
      <c r="A24" s="10" t="s">
        <v>98</v>
      </c>
      <c r="B24" t="s">
        <v>99</v>
      </c>
      <c r="C24" t="s">
        <v>100</v>
      </c>
      <c r="D24" s="11" t="s">
        <v>100</v>
      </c>
      <c r="E24" t="s">
        <v>100</v>
      </c>
      <c r="F24" s="12" t="s">
        <v>100</v>
      </c>
      <c r="G24" s="13" t="s">
        <v>100</v>
      </c>
      <c r="H24" s="13">
        <f>0.005*H25</f>
        <v>20.686919866466834</v>
      </c>
      <c r="I24" s="20">
        <f>(H24/H$2)*100</f>
        <v>0.49751243781094528</v>
      </c>
      <c r="K24" s="14" t="s">
        <v>101</v>
      </c>
      <c r="L24">
        <v>64</v>
      </c>
      <c r="M24">
        <v>64</v>
      </c>
      <c r="N24">
        <v>0</v>
      </c>
      <c r="O24">
        <v>2</v>
      </c>
      <c r="P24">
        <v>0</v>
      </c>
      <c r="Q24">
        <f t="shared" si="5"/>
        <v>865.20375999999999</v>
      </c>
      <c r="R24">
        <f>H24/Q24</f>
        <v>2.3909882068088601E-2</v>
      </c>
      <c r="S24">
        <f>(R24/$R$2)*200</f>
        <v>1.4077195981097339</v>
      </c>
      <c r="T24">
        <f>ROUND(S24,0)</f>
        <v>1</v>
      </c>
    </row>
    <row r="25" spans="1:20" x14ac:dyDescent="0.35">
      <c r="H25" s="13">
        <f>SUM(H3:H23)</f>
        <v>4137.3839732933666</v>
      </c>
      <c r="I25" s="13">
        <f>SUM(I3:I24)</f>
        <v>100</v>
      </c>
      <c r="T25">
        <f>SUM(T3:T24)</f>
        <v>200</v>
      </c>
    </row>
    <row r="26" spans="1:20" x14ac:dyDescent="0.35">
      <c r="A26" s="2" t="s">
        <v>71</v>
      </c>
      <c r="B26" s="2" t="s">
        <v>72</v>
      </c>
    </row>
    <row r="27" spans="1:20" x14ac:dyDescent="0.35">
      <c r="A27" t="s">
        <v>73</v>
      </c>
      <c r="B27">
        <v>32105690</v>
      </c>
      <c r="M27" t="s">
        <v>86</v>
      </c>
      <c r="N27">
        <f>ROUND(SUM(S3,S5,S7,S8,S9),0)</f>
        <v>38</v>
      </c>
      <c r="O27" t="s">
        <v>87</v>
      </c>
      <c r="P27" t="s">
        <v>88</v>
      </c>
    </row>
    <row r="28" spans="1:20" x14ac:dyDescent="0.35">
      <c r="A28" t="s">
        <v>74</v>
      </c>
      <c r="B28">
        <v>1274388070</v>
      </c>
      <c r="M28" t="s">
        <v>89</v>
      </c>
      <c r="N28">
        <f>ROUND(SUM(S4,S6),0)</f>
        <v>5</v>
      </c>
      <c r="O28" t="s">
        <v>90</v>
      </c>
      <c r="P28" t="s">
        <v>88</v>
      </c>
    </row>
    <row r="29" spans="1:20" x14ac:dyDescent="0.35">
      <c r="A29" t="s">
        <v>75</v>
      </c>
      <c r="B29">
        <v>117280090.52</v>
      </c>
      <c r="M29" t="s">
        <v>91</v>
      </c>
      <c r="N29">
        <f>ROUND(SUM(S10:S16),0)</f>
        <v>7</v>
      </c>
      <c r="O29" t="s">
        <v>92</v>
      </c>
      <c r="P29" t="s">
        <v>93</v>
      </c>
    </row>
    <row r="30" spans="1:20" x14ac:dyDescent="0.35">
      <c r="L30" t="s">
        <v>106</v>
      </c>
      <c r="M30" t="s">
        <v>94</v>
      </c>
      <c r="N30">
        <f>ROUND(SUM(S17:S23),0)-1</f>
        <v>149</v>
      </c>
      <c r="O30" t="s">
        <v>95</v>
      </c>
      <c r="P30" t="s">
        <v>96</v>
      </c>
    </row>
    <row r="31" spans="1:20" x14ac:dyDescent="0.35">
      <c r="A31" s="15"/>
      <c r="B31" t="s">
        <v>76</v>
      </c>
      <c r="M31" t="s">
        <v>102</v>
      </c>
      <c r="N31">
        <f>ROUND(S24,0)</f>
        <v>1</v>
      </c>
      <c r="O31" t="s">
        <v>104</v>
      </c>
      <c r="P31" t="s">
        <v>105</v>
      </c>
    </row>
    <row r="32" spans="1:20" x14ac:dyDescent="0.35">
      <c r="A32" s="11"/>
      <c r="B32" t="s">
        <v>77</v>
      </c>
      <c r="M32" t="s">
        <v>97</v>
      </c>
      <c r="N32" t="b">
        <f>IF(SUM(N27:N31)=200,TRUE,FALSE)</f>
        <v>1</v>
      </c>
    </row>
    <row r="34" spans="12:15" x14ac:dyDescent="0.35">
      <c r="L34" s="2" t="s">
        <v>114</v>
      </c>
      <c r="M34" s="2" t="s">
        <v>117</v>
      </c>
      <c r="N34" s="2" t="s">
        <v>126</v>
      </c>
      <c r="O34" s="26">
        <v>8510258174</v>
      </c>
    </row>
    <row r="35" spans="12:15" x14ac:dyDescent="0.35">
      <c r="L35" t="s">
        <v>107</v>
      </c>
      <c r="M35" s="25" t="s">
        <v>108</v>
      </c>
    </row>
    <row r="36" spans="12:15" x14ac:dyDescent="0.35">
      <c r="L36" t="s">
        <v>109</v>
      </c>
      <c r="M36" s="25" t="s">
        <v>118</v>
      </c>
    </row>
    <row r="37" spans="12:15" x14ac:dyDescent="0.35">
      <c r="L37" t="s">
        <v>110</v>
      </c>
      <c r="M37" s="25" t="s">
        <v>113</v>
      </c>
    </row>
    <row r="38" spans="12:15" x14ac:dyDescent="0.35">
      <c r="L38" t="s">
        <v>111</v>
      </c>
      <c r="M38" s="25" t="s">
        <v>112</v>
      </c>
    </row>
    <row r="39" spans="12:15" x14ac:dyDescent="0.35">
      <c r="L39" t="s">
        <v>115</v>
      </c>
      <c r="M39" s="2" t="s">
        <v>116</v>
      </c>
    </row>
    <row r="40" spans="12:15" x14ac:dyDescent="0.35">
      <c r="L40" s="2" t="s">
        <v>125</v>
      </c>
      <c r="M40" s="2" t="s">
        <v>117</v>
      </c>
    </row>
    <row r="41" spans="12:15" x14ac:dyDescent="0.35">
      <c r="L41" t="s">
        <v>119</v>
      </c>
      <c r="M41" s="25" t="s">
        <v>120</v>
      </c>
    </row>
    <row r="42" spans="12:15" x14ac:dyDescent="0.35">
      <c r="L42" t="s">
        <v>121</v>
      </c>
      <c r="M42" s="25" t="s">
        <v>122</v>
      </c>
    </row>
    <row r="43" spans="12:15" x14ac:dyDescent="0.35">
      <c r="L43" t="s">
        <v>123</v>
      </c>
      <c r="M43" s="2" t="s">
        <v>116</v>
      </c>
    </row>
    <row r="44" spans="12:15" x14ac:dyDescent="0.35">
      <c r="L44" s="2" t="s">
        <v>124</v>
      </c>
      <c r="M44" s="2" t="s">
        <v>117</v>
      </c>
    </row>
    <row r="45" spans="12:15" x14ac:dyDescent="0.35">
      <c r="L45" t="s">
        <v>127</v>
      </c>
      <c r="M45" s="27" t="s">
        <v>128</v>
      </c>
    </row>
    <row r="46" spans="12:15" x14ac:dyDescent="0.35">
      <c r="L46" s="2" t="s">
        <v>129</v>
      </c>
      <c r="M46" s="2" t="s">
        <v>117</v>
      </c>
    </row>
    <row r="47" spans="12:15" x14ac:dyDescent="0.35">
      <c r="L47" t="s">
        <v>130</v>
      </c>
      <c r="M47" s="25" t="s">
        <v>131</v>
      </c>
    </row>
    <row r="48" spans="12:15" x14ac:dyDescent="0.35">
      <c r="L48" t="s">
        <v>132</v>
      </c>
      <c r="M48" s="25" t="s">
        <v>133</v>
      </c>
    </row>
    <row r="49" spans="12:13" x14ac:dyDescent="0.35">
      <c r="L49" t="s">
        <v>134</v>
      </c>
      <c r="M49" s="25" t="s">
        <v>135</v>
      </c>
    </row>
    <row r="50" spans="12:13" x14ac:dyDescent="0.35">
      <c r="L50" t="s">
        <v>136</v>
      </c>
      <c r="M50" s="25" t="s">
        <v>137</v>
      </c>
    </row>
    <row r="51" spans="12:13" x14ac:dyDescent="0.35">
      <c r="L51" t="s">
        <v>138</v>
      </c>
      <c r="M51" s="25" t="s">
        <v>139</v>
      </c>
    </row>
  </sheetData>
  <mergeCells count="2">
    <mergeCell ref="F1:G1"/>
    <mergeCell ref="H1:I1"/>
  </mergeCells>
  <conditionalFormatting sqref="G3:G23 I3:I23">
    <cfRule type="colorScale" priority="2">
      <colorScale>
        <cfvo type="min"/>
        <cfvo type="max"/>
        <color rgb="FFFCFCFF"/>
        <color rgb="FFF8696B"/>
      </colorScale>
    </cfRule>
  </conditionalFormatting>
  <conditionalFormatting sqref="G24 I24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1"/>
  <sheetViews>
    <sheetView workbookViewId="0">
      <selection activeCell="G29" sqref="G29"/>
    </sheetView>
  </sheetViews>
  <sheetFormatPr defaultRowHeight="14.5" x14ac:dyDescent="0.35"/>
  <cols>
    <col min="1" max="1" width="19" bestFit="1" customWidth="1"/>
    <col min="2" max="2" width="13.1796875" bestFit="1" customWidth="1"/>
    <col min="3" max="3" width="12" bestFit="1" customWidth="1"/>
    <col min="4" max="4" width="22" bestFit="1" customWidth="1"/>
    <col min="5" max="5" width="6" bestFit="1" customWidth="1"/>
    <col min="6" max="6" width="8.54296875" bestFit="1" customWidth="1"/>
    <col min="7" max="7" width="6.54296875" bestFit="1" customWidth="1"/>
    <col min="8" max="8" width="8.54296875" bestFit="1" customWidth="1"/>
    <col min="9" max="9" width="6.54296875" bestFit="1" customWidth="1"/>
    <col min="11" max="11" width="26.453125" bestFit="1" customWidth="1"/>
    <col min="15" max="15" width="11.54296875" bestFit="1" customWidth="1"/>
  </cols>
  <sheetData>
    <row r="1" spans="1:20" ht="15" thickBot="1" x14ac:dyDescent="0.4">
      <c r="A1" s="1" t="s">
        <v>78</v>
      </c>
      <c r="B1" s="2"/>
      <c r="C1" s="2"/>
      <c r="D1" s="2"/>
      <c r="E1" s="2"/>
      <c r="F1" s="28" t="s">
        <v>1</v>
      </c>
      <c r="G1" s="28"/>
      <c r="H1" s="28" t="s">
        <v>2</v>
      </c>
      <c r="I1" s="28"/>
      <c r="J1" s="2"/>
      <c r="K1" s="2"/>
      <c r="L1">
        <v>1.0078400000000001</v>
      </c>
      <c r="M1">
        <v>12.010999999999999</v>
      </c>
      <c r="N1">
        <v>14.0067</v>
      </c>
      <c r="O1">
        <v>15.999000000000001</v>
      </c>
      <c r="P1">
        <v>30.973762000000001</v>
      </c>
      <c r="Q1" s="2"/>
      <c r="R1" s="2"/>
      <c r="S1" s="2"/>
      <c r="T1" s="2"/>
    </row>
    <row r="2" spans="1:20" x14ac:dyDescent="0.35">
      <c r="A2" s="2" t="s">
        <v>3</v>
      </c>
      <c r="B2" s="2"/>
      <c r="C2" s="2" t="s">
        <v>4</v>
      </c>
      <c r="D2" s="2" t="s">
        <v>5</v>
      </c>
      <c r="E2" s="2" t="s">
        <v>6</v>
      </c>
      <c r="F2" s="3">
        <f>SUM(F3:F31)</f>
        <v>814865852470</v>
      </c>
      <c r="G2" s="2"/>
      <c r="H2" s="3">
        <f>SUM(H3:H24)</f>
        <v>3527.2441891962703</v>
      </c>
      <c r="I2" s="2"/>
      <c r="J2" s="2"/>
      <c r="K2" s="2" t="s">
        <v>7</v>
      </c>
      <c r="L2" t="s">
        <v>80</v>
      </c>
      <c r="M2" t="s">
        <v>81</v>
      </c>
      <c r="N2" s="2" t="s">
        <v>82</v>
      </c>
      <c r="O2" s="2" t="s">
        <v>83</v>
      </c>
      <c r="P2" s="2" t="s">
        <v>84</v>
      </c>
      <c r="Q2" s="2" t="s">
        <v>85</v>
      </c>
      <c r="R2" s="2">
        <f>SUM(R3:R24)</f>
        <v>2.0796564945360876</v>
      </c>
      <c r="S2" s="2"/>
      <c r="T2" s="2"/>
    </row>
    <row r="3" spans="1:20" x14ac:dyDescent="0.35">
      <c r="A3" s="4" t="s">
        <v>8</v>
      </c>
      <c r="B3" s="5" t="s">
        <v>9</v>
      </c>
      <c r="C3" s="5">
        <v>706.53912000000003</v>
      </c>
      <c r="D3" s="6" t="s">
        <v>10</v>
      </c>
      <c r="E3" s="5">
        <v>17.21</v>
      </c>
      <c r="F3" s="7">
        <v>86769691631</v>
      </c>
      <c r="G3" s="8">
        <f t="shared" ref="G3:G23" si="0">(F3/F$2)*100</f>
        <v>10.648340627845183</v>
      </c>
      <c r="H3" s="8">
        <f t="shared" ref="H3:H9" si="1">F3/B$28</f>
        <v>68.087338286994481</v>
      </c>
      <c r="I3" s="8">
        <f>(H3/H$2)*100</f>
        <v>1.9303267546812257</v>
      </c>
      <c r="J3" s="5"/>
      <c r="K3" s="9" t="str">
        <f>A3</f>
        <v>C38H77NO8P</v>
      </c>
      <c r="L3">
        <v>38</v>
      </c>
      <c r="M3">
        <v>77</v>
      </c>
      <c r="N3">
        <v>1</v>
      </c>
      <c r="O3">
        <v>8</v>
      </c>
      <c r="P3">
        <v>1</v>
      </c>
      <c r="Q3">
        <f>L3*$L$1+M3*$M$1+N3*$N$1+O3*$O$1+P3*$P$1</f>
        <v>1136.1173820000001</v>
      </c>
      <c r="R3">
        <f>H3/Q3</f>
        <v>5.9929844720036568E-2</v>
      </c>
      <c r="S3">
        <f>(R3/$R$2)*200</f>
        <v>5.7634368827247329</v>
      </c>
      <c r="T3">
        <f t="shared" ref="T3:T22" si="2">ROUND(S3,0)</f>
        <v>6</v>
      </c>
    </row>
    <row r="4" spans="1:20" x14ac:dyDescent="0.35">
      <c r="A4" s="10" t="s">
        <v>8</v>
      </c>
      <c r="B4" t="s">
        <v>11</v>
      </c>
      <c r="C4">
        <v>706.53913999999997</v>
      </c>
      <c r="D4" s="11" t="s">
        <v>12</v>
      </c>
      <c r="E4">
        <v>20.66</v>
      </c>
      <c r="F4" s="12">
        <v>3099094817</v>
      </c>
      <c r="G4" s="13">
        <f t="shared" si="0"/>
        <v>0.38031963268630109</v>
      </c>
      <c r="H4" s="13">
        <f t="shared" si="1"/>
        <v>2.4318297463346465</v>
      </c>
      <c r="I4" s="13">
        <f t="shared" ref="I4:I23" si="3">(H4/H$2)*100</f>
        <v>6.8944184635222866E-2</v>
      </c>
      <c r="K4" s="14" t="str">
        <f t="shared" ref="K4:K8" si="4">A4</f>
        <v>C38H77NO8P</v>
      </c>
      <c r="L4">
        <v>38</v>
      </c>
      <c r="M4">
        <v>77</v>
      </c>
      <c r="N4">
        <v>1</v>
      </c>
      <c r="O4">
        <v>8</v>
      </c>
      <c r="P4">
        <v>1</v>
      </c>
      <c r="Q4">
        <f t="shared" ref="Q4:Q24" si="5">L4*$L$1+M4*$M$1+N4*$N$1+O4*$O$1+P4*$P$1</f>
        <v>1136.1173820000001</v>
      </c>
      <c r="R4">
        <f t="shared" ref="R4:R23" si="6">H4/Q4</f>
        <v>2.1404740257152813E-3</v>
      </c>
      <c r="S4">
        <f t="shared" ref="S4:S23" si="7">(R4/$R$2)*200</f>
        <v>0.20584880544830172</v>
      </c>
      <c r="T4">
        <f t="shared" si="2"/>
        <v>0</v>
      </c>
    </row>
    <row r="5" spans="1:20" x14ac:dyDescent="0.35">
      <c r="A5" s="10" t="s">
        <v>13</v>
      </c>
      <c r="B5" t="s">
        <v>14</v>
      </c>
      <c r="C5">
        <v>720.55489</v>
      </c>
      <c r="D5" s="15" t="s">
        <v>15</v>
      </c>
      <c r="E5">
        <v>18.2</v>
      </c>
      <c r="F5" s="12">
        <v>30218803596</v>
      </c>
      <c r="G5" s="13">
        <f t="shared" si="0"/>
        <v>3.7084390644670595</v>
      </c>
      <c r="H5" s="13">
        <f t="shared" si="1"/>
        <v>23.712403079856202</v>
      </c>
      <c r="I5" s="13">
        <f t="shared" si="3"/>
        <v>0.67226428928526749</v>
      </c>
      <c r="K5" s="14" t="str">
        <f t="shared" si="4"/>
        <v>C39H79NO8P</v>
      </c>
      <c r="L5">
        <v>39</v>
      </c>
      <c r="M5">
        <v>79</v>
      </c>
      <c r="N5">
        <v>1</v>
      </c>
      <c r="O5">
        <v>8</v>
      </c>
      <c r="P5">
        <v>1</v>
      </c>
      <c r="Q5">
        <f t="shared" si="5"/>
        <v>1161.1472220000001</v>
      </c>
      <c r="R5">
        <f t="shared" si="6"/>
        <v>2.0421530216481198E-2</v>
      </c>
      <c r="S5">
        <f t="shared" si="7"/>
        <v>1.9639330120272254</v>
      </c>
      <c r="T5">
        <f t="shared" si="2"/>
        <v>2</v>
      </c>
    </row>
    <row r="6" spans="1:20" x14ac:dyDescent="0.35">
      <c r="A6" s="10" t="s">
        <v>13</v>
      </c>
      <c r="B6" t="s">
        <v>16</v>
      </c>
      <c r="C6">
        <v>720.55487000000005</v>
      </c>
      <c r="D6" s="11" t="s">
        <v>17</v>
      </c>
      <c r="E6">
        <v>21.97</v>
      </c>
      <c r="F6" s="12">
        <v>14002907190</v>
      </c>
      <c r="G6" s="13">
        <f t="shared" si="0"/>
        <v>1.7184309721109008</v>
      </c>
      <c r="H6" s="13">
        <f t="shared" si="1"/>
        <v>10.987945916662575</v>
      </c>
      <c r="I6" s="13">
        <f t="shared" si="3"/>
        <v>0.31151645101062098</v>
      </c>
      <c r="K6" s="14" t="str">
        <f t="shared" si="4"/>
        <v>C39H79NO8P</v>
      </c>
      <c r="L6">
        <v>39</v>
      </c>
      <c r="M6">
        <v>79</v>
      </c>
      <c r="N6">
        <v>1</v>
      </c>
      <c r="O6">
        <v>8</v>
      </c>
      <c r="P6">
        <v>1</v>
      </c>
      <c r="Q6">
        <f t="shared" si="5"/>
        <v>1161.1472220000001</v>
      </c>
      <c r="R6">
        <f t="shared" si="6"/>
        <v>9.4630084010678319E-3</v>
      </c>
      <c r="S6">
        <f t="shared" si="7"/>
        <v>0.91005494666356046</v>
      </c>
      <c r="T6">
        <f t="shared" si="2"/>
        <v>1</v>
      </c>
    </row>
    <row r="7" spans="1:20" x14ac:dyDescent="0.35">
      <c r="A7" s="10" t="s">
        <v>18</v>
      </c>
      <c r="B7" t="s">
        <v>19</v>
      </c>
      <c r="C7">
        <v>734.57034999999996</v>
      </c>
      <c r="D7" s="15" t="s">
        <v>20</v>
      </c>
      <c r="E7">
        <v>19.23</v>
      </c>
      <c r="F7" s="12">
        <v>177278827648</v>
      </c>
      <c r="G7" s="13">
        <f t="shared" si="0"/>
        <v>21.755584322331963</v>
      </c>
      <c r="H7" s="13">
        <f t="shared" si="1"/>
        <v>139.10898243735127</v>
      </c>
      <c r="I7" s="13">
        <f t="shared" si="3"/>
        <v>3.9438432661802505</v>
      </c>
      <c r="K7" s="14" t="str">
        <f t="shared" si="4"/>
        <v>C40H81NO8P</v>
      </c>
      <c r="L7">
        <v>40</v>
      </c>
      <c r="M7">
        <v>81</v>
      </c>
      <c r="N7">
        <v>1</v>
      </c>
      <c r="O7">
        <v>8</v>
      </c>
      <c r="P7">
        <v>1</v>
      </c>
      <c r="Q7">
        <f t="shared" si="5"/>
        <v>1186.177062</v>
      </c>
      <c r="R7">
        <f t="shared" si="6"/>
        <v>0.1172750568981676</v>
      </c>
      <c r="S7">
        <f t="shared" si="7"/>
        <v>11.278310356184889</v>
      </c>
      <c r="T7">
        <f t="shared" si="2"/>
        <v>11</v>
      </c>
    </row>
    <row r="8" spans="1:20" x14ac:dyDescent="0.35">
      <c r="A8" s="10" t="s">
        <v>21</v>
      </c>
      <c r="B8" t="s">
        <v>22</v>
      </c>
      <c r="C8">
        <v>748.58581000000004</v>
      </c>
      <c r="D8" s="15" t="s">
        <v>12</v>
      </c>
      <c r="E8">
        <v>20.49</v>
      </c>
      <c r="F8" s="12">
        <v>121363265936</v>
      </c>
      <c r="G8" s="13">
        <f>(F8/F$2)*100</f>
        <v>14.893649742240008</v>
      </c>
      <c r="H8" s="13">
        <f t="shared" si="1"/>
        <v>95.232581654660336</v>
      </c>
      <c r="I8" s="13">
        <f t="shared" si="3"/>
        <v>2.6999146230462809</v>
      </c>
      <c r="K8" s="14" t="str">
        <f t="shared" si="4"/>
        <v>C42H83NO8P</v>
      </c>
      <c r="L8">
        <v>42</v>
      </c>
      <c r="M8">
        <v>83</v>
      </c>
      <c r="N8">
        <v>1</v>
      </c>
      <c r="O8">
        <v>8</v>
      </c>
      <c r="P8">
        <v>1</v>
      </c>
      <c r="Q8">
        <f t="shared" si="5"/>
        <v>1212.2147419999999</v>
      </c>
      <c r="R8">
        <f t="shared" si="6"/>
        <v>7.856081794347651E-2</v>
      </c>
      <c r="S8">
        <f t="shared" si="7"/>
        <v>7.5551725152572562</v>
      </c>
      <c r="T8">
        <f t="shared" si="2"/>
        <v>8</v>
      </c>
    </row>
    <row r="9" spans="1:20" x14ac:dyDescent="0.35">
      <c r="A9" s="16" t="s">
        <v>23</v>
      </c>
      <c r="B9" s="17" t="s">
        <v>24</v>
      </c>
      <c r="C9" s="17">
        <v>762.60150999999996</v>
      </c>
      <c r="D9" s="18" t="s">
        <v>17</v>
      </c>
      <c r="E9" s="17">
        <v>21.7</v>
      </c>
      <c r="F9" s="19">
        <v>136160800984</v>
      </c>
      <c r="G9" s="20">
        <f t="shared" si="0"/>
        <v>16.709597116049586</v>
      </c>
      <c r="H9" s="20">
        <f t="shared" si="1"/>
        <v>106.84406437043937</v>
      </c>
      <c r="I9" s="20">
        <f t="shared" si="3"/>
        <v>3.0291088067476615</v>
      </c>
      <c r="J9" s="17"/>
      <c r="K9" s="21" t="str">
        <f>A9</f>
        <v>C43H85NO8P</v>
      </c>
      <c r="L9">
        <v>43</v>
      </c>
      <c r="M9">
        <v>85</v>
      </c>
      <c r="N9">
        <v>1</v>
      </c>
      <c r="O9">
        <v>8</v>
      </c>
      <c r="P9">
        <v>1</v>
      </c>
      <c r="Q9">
        <f t="shared" si="5"/>
        <v>1237.2445819999998</v>
      </c>
      <c r="R9">
        <f t="shared" si="6"/>
        <v>8.635646170923332E-2</v>
      </c>
      <c r="S9">
        <f t="shared" si="7"/>
        <v>8.3048774579954845</v>
      </c>
      <c r="T9">
        <f t="shared" si="2"/>
        <v>8</v>
      </c>
    </row>
    <row r="10" spans="1:20" x14ac:dyDescent="0.35">
      <c r="A10" s="4" t="s">
        <v>25</v>
      </c>
      <c r="B10" s="5" t="s">
        <v>26</v>
      </c>
      <c r="C10" s="5">
        <v>964.75800000000004</v>
      </c>
      <c r="D10" s="22" t="s">
        <v>27</v>
      </c>
      <c r="E10" s="5">
        <v>28.12</v>
      </c>
      <c r="F10" s="7">
        <v>14351998297</v>
      </c>
      <c r="G10" s="8">
        <f t="shared" si="0"/>
        <v>1.7612712882122374</v>
      </c>
      <c r="H10" s="8">
        <f t="shared" ref="H10:H16" si="8">F10/B$27</f>
        <v>447.02351193822653</v>
      </c>
      <c r="I10" s="8">
        <f t="shared" si="3"/>
        <v>12.673449524913295</v>
      </c>
      <c r="J10" s="5"/>
      <c r="K10" s="9" t="s">
        <v>28</v>
      </c>
      <c r="L10">
        <v>53</v>
      </c>
      <c r="M10">
        <v>103</v>
      </c>
      <c r="N10">
        <v>0</v>
      </c>
      <c r="O10">
        <v>11</v>
      </c>
      <c r="P10">
        <v>1</v>
      </c>
      <c r="Q10">
        <f t="shared" si="5"/>
        <v>1497.5112819999999</v>
      </c>
      <c r="R10">
        <f t="shared" si="6"/>
        <v>0.29851094767126207</v>
      </c>
      <c r="S10">
        <f t="shared" si="7"/>
        <v>28.707716726829101</v>
      </c>
      <c r="T10">
        <f t="shared" si="2"/>
        <v>29</v>
      </c>
    </row>
    <row r="11" spans="1:20" x14ac:dyDescent="0.35">
      <c r="A11" s="10" t="s">
        <v>29</v>
      </c>
      <c r="B11" t="s">
        <v>26</v>
      </c>
      <c r="C11">
        <v>978.774</v>
      </c>
      <c r="D11" s="11" t="s">
        <v>30</v>
      </c>
      <c r="E11">
        <v>29.53</v>
      </c>
      <c r="F11" s="12">
        <v>2536215752</v>
      </c>
      <c r="G11" s="13">
        <f t="shared" si="0"/>
        <v>0.3112433469033325</v>
      </c>
      <c r="H11" s="13">
        <f t="shared" si="8"/>
        <v>78.995833822602791</v>
      </c>
      <c r="I11" s="13">
        <f t="shared" si="3"/>
        <v>2.2395907282110525</v>
      </c>
      <c r="K11" s="14" t="s">
        <v>31</v>
      </c>
      <c r="L11">
        <v>54</v>
      </c>
      <c r="M11">
        <v>105</v>
      </c>
      <c r="N11">
        <v>0</v>
      </c>
      <c r="O11">
        <v>11</v>
      </c>
      <c r="P11">
        <v>1</v>
      </c>
      <c r="Q11">
        <f t="shared" si="5"/>
        <v>1522.5411220000001</v>
      </c>
      <c r="R11">
        <f t="shared" si="6"/>
        <v>5.1884203770361473E-2</v>
      </c>
      <c r="S11">
        <f t="shared" si="7"/>
        <v>4.9896897787377492</v>
      </c>
      <c r="T11">
        <f t="shared" si="2"/>
        <v>5</v>
      </c>
    </row>
    <row r="12" spans="1:20" x14ac:dyDescent="0.35">
      <c r="A12" s="10" t="s">
        <v>29</v>
      </c>
      <c r="B12" t="s">
        <v>26</v>
      </c>
      <c r="C12">
        <v>978.774</v>
      </c>
      <c r="D12" s="11" t="s">
        <v>32</v>
      </c>
      <c r="E12">
        <v>30.11</v>
      </c>
      <c r="F12" s="12">
        <v>2804816785</v>
      </c>
      <c r="G12" s="13">
        <f t="shared" si="0"/>
        <v>0.34420595445227126</v>
      </c>
      <c r="H12" s="13">
        <f t="shared" si="8"/>
        <v>87.36198427755329</v>
      </c>
      <c r="I12" s="13">
        <f t="shared" si="3"/>
        <v>2.4767773250612368</v>
      </c>
      <c r="K12" s="14" t="s">
        <v>31</v>
      </c>
      <c r="L12">
        <v>54</v>
      </c>
      <c r="M12">
        <v>105</v>
      </c>
      <c r="N12">
        <v>0</v>
      </c>
      <c r="O12">
        <v>11</v>
      </c>
      <c r="P12">
        <v>1</v>
      </c>
      <c r="Q12">
        <f t="shared" si="5"/>
        <v>1522.5411220000001</v>
      </c>
      <c r="R12">
        <f t="shared" si="6"/>
        <v>5.7379063865805581E-2</v>
      </c>
      <c r="S12">
        <f t="shared" si="7"/>
        <v>5.5181289810657139</v>
      </c>
      <c r="T12">
        <f t="shared" si="2"/>
        <v>6</v>
      </c>
    </row>
    <row r="13" spans="1:20" x14ac:dyDescent="0.35">
      <c r="A13" s="10" t="s">
        <v>33</v>
      </c>
      <c r="B13" t="s">
        <v>26</v>
      </c>
      <c r="C13">
        <v>992.79</v>
      </c>
      <c r="D13" s="11" t="s">
        <v>34</v>
      </c>
      <c r="E13">
        <v>30.86</v>
      </c>
      <c r="F13" s="12">
        <v>17538042798</v>
      </c>
      <c r="G13" s="13">
        <f t="shared" si="0"/>
        <v>2.1522613501153769</v>
      </c>
      <c r="H13" s="13">
        <f t="shared" si="8"/>
        <v>546.25964425620509</v>
      </c>
      <c r="I13" s="13">
        <f t="shared" si="3"/>
        <v>15.48686779127355</v>
      </c>
      <c r="K13" s="14" t="s">
        <v>35</v>
      </c>
      <c r="L13">
        <v>55</v>
      </c>
      <c r="M13">
        <v>107</v>
      </c>
      <c r="N13">
        <v>0</v>
      </c>
      <c r="O13">
        <v>11</v>
      </c>
      <c r="P13">
        <v>1</v>
      </c>
      <c r="Q13">
        <f t="shared" si="5"/>
        <v>1547.570962</v>
      </c>
      <c r="R13">
        <f t="shared" si="6"/>
        <v>0.35297873743395108</v>
      </c>
      <c r="S13">
        <f t="shared" si="7"/>
        <v>33.945869268442877</v>
      </c>
      <c r="T13">
        <f t="shared" si="2"/>
        <v>34</v>
      </c>
    </row>
    <row r="14" spans="1:20" x14ac:dyDescent="0.35">
      <c r="A14" s="10" t="s">
        <v>36</v>
      </c>
      <c r="B14" t="s">
        <v>26</v>
      </c>
      <c r="C14">
        <v>1006.806</v>
      </c>
      <c r="D14" s="11" t="s">
        <v>37</v>
      </c>
      <c r="E14">
        <v>32.270000000000003</v>
      </c>
      <c r="F14" s="12">
        <v>1331828891</v>
      </c>
      <c r="G14" s="13">
        <f t="shared" si="0"/>
        <v>0.16344149002722291</v>
      </c>
      <c r="H14" s="13">
        <f t="shared" si="8"/>
        <v>41.482643450428881</v>
      </c>
      <c r="I14" s="13">
        <f t="shared" si="3"/>
        <v>1.1760638397956014</v>
      </c>
      <c r="K14" s="14" t="s">
        <v>38</v>
      </c>
      <c r="L14">
        <v>56</v>
      </c>
      <c r="M14">
        <v>109</v>
      </c>
      <c r="N14">
        <v>0</v>
      </c>
      <c r="O14">
        <v>11</v>
      </c>
      <c r="P14">
        <v>1</v>
      </c>
      <c r="Q14">
        <f t="shared" si="5"/>
        <v>1572.6008019999999</v>
      </c>
      <c r="R14">
        <f t="shared" si="6"/>
        <v>2.6378368494834891E-2</v>
      </c>
      <c r="S14">
        <f t="shared" si="7"/>
        <v>2.5368005306779433</v>
      </c>
      <c r="T14">
        <f t="shared" si="2"/>
        <v>3</v>
      </c>
    </row>
    <row r="15" spans="1:20" x14ac:dyDescent="0.35">
      <c r="A15" s="10" t="s">
        <v>36</v>
      </c>
      <c r="B15" t="s">
        <v>26</v>
      </c>
      <c r="C15">
        <v>1006.806</v>
      </c>
      <c r="D15" s="11" t="s">
        <v>39</v>
      </c>
      <c r="E15">
        <v>32.9</v>
      </c>
      <c r="F15" s="12">
        <v>781535484</v>
      </c>
      <c r="G15" s="13">
        <f t="shared" si="0"/>
        <v>9.5909710982615137E-2</v>
      </c>
      <c r="H15" s="13">
        <f t="shared" si="8"/>
        <v>24.342584881371494</v>
      </c>
      <c r="I15" s="13">
        <f t="shared" si="3"/>
        <v>0.69013041274350428</v>
      </c>
      <c r="K15" s="14" t="s">
        <v>38</v>
      </c>
      <c r="L15">
        <v>56</v>
      </c>
      <c r="M15">
        <v>109</v>
      </c>
      <c r="N15">
        <v>0</v>
      </c>
      <c r="O15">
        <v>11</v>
      </c>
      <c r="P15">
        <v>1</v>
      </c>
      <c r="Q15">
        <f t="shared" si="5"/>
        <v>1572.6008019999999</v>
      </c>
      <c r="R15">
        <f t="shared" si="6"/>
        <v>1.5479188901858067E-2</v>
      </c>
      <c r="S15">
        <f t="shared" si="7"/>
        <v>1.4886293907216668</v>
      </c>
      <c r="T15">
        <f t="shared" si="2"/>
        <v>1</v>
      </c>
    </row>
    <row r="16" spans="1:20" x14ac:dyDescent="0.35">
      <c r="A16" s="16" t="s">
        <v>40</v>
      </c>
      <c r="B16" s="17" t="s">
        <v>26</v>
      </c>
      <c r="C16" s="17">
        <v>1020.821</v>
      </c>
      <c r="D16" s="23" t="s">
        <v>41</v>
      </c>
      <c r="E16" s="17">
        <v>33.57</v>
      </c>
      <c r="F16" s="19">
        <v>3359364375</v>
      </c>
      <c r="G16" s="20">
        <f t="shared" si="0"/>
        <v>0.41225980507309062</v>
      </c>
      <c r="H16" s="20">
        <f t="shared" si="8"/>
        <v>104.63454842428243</v>
      </c>
      <c r="I16" s="20">
        <f t="shared" si="3"/>
        <v>2.9664673839359219</v>
      </c>
      <c r="J16" s="17"/>
      <c r="K16" s="21" t="s">
        <v>42</v>
      </c>
      <c r="L16">
        <v>57</v>
      </c>
      <c r="M16">
        <v>111</v>
      </c>
      <c r="N16">
        <v>0</v>
      </c>
      <c r="O16">
        <v>11</v>
      </c>
      <c r="P16">
        <v>1</v>
      </c>
      <c r="Q16">
        <f t="shared" si="5"/>
        <v>1597.6306420000001</v>
      </c>
      <c r="R16">
        <f t="shared" si="6"/>
        <v>6.54935788495489E-2</v>
      </c>
      <c r="S16">
        <f t="shared" si="7"/>
        <v>6.298499682194743</v>
      </c>
      <c r="T16">
        <f t="shared" si="2"/>
        <v>6</v>
      </c>
    </row>
    <row r="17" spans="1:20" x14ac:dyDescent="0.35">
      <c r="A17" s="4" t="s">
        <v>43</v>
      </c>
      <c r="B17" s="5" t="s">
        <v>44</v>
      </c>
      <c r="C17" s="5">
        <v>1342.9747511</v>
      </c>
      <c r="D17" s="11" t="s">
        <v>45</v>
      </c>
      <c r="E17" s="5">
        <v>36.08</v>
      </c>
      <c r="F17" s="7">
        <v>35319186081</v>
      </c>
      <c r="G17" s="8">
        <f t="shared" si="0"/>
        <v>4.3343558910882578</v>
      </c>
      <c r="H17" s="8">
        <f t="shared" ref="H17:H23" si="9">F17/B$29</f>
        <v>301.1524456060763</v>
      </c>
      <c r="I17" s="8">
        <f t="shared" si="3"/>
        <v>8.537896143637786</v>
      </c>
      <c r="J17" s="5"/>
      <c r="K17" s="9" t="s">
        <v>46</v>
      </c>
      <c r="L17">
        <v>71</v>
      </c>
      <c r="M17">
        <v>138</v>
      </c>
      <c r="N17">
        <v>0</v>
      </c>
      <c r="O17">
        <v>17</v>
      </c>
      <c r="P17">
        <v>2</v>
      </c>
      <c r="Q17">
        <f t="shared" si="5"/>
        <v>2063.0051639999997</v>
      </c>
      <c r="R17">
        <f t="shared" si="6"/>
        <v>0.14597755297042792</v>
      </c>
      <c r="S17">
        <f t="shared" si="7"/>
        <v>14.038621604477171</v>
      </c>
      <c r="T17">
        <f t="shared" si="2"/>
        <v>14</v>
      </c>
    </row>
    <row r="18" spans="1:20" x14ac:dyDescent="0.35">
      <c r="A18" s="10" t="s">
        <v>47</v>
      </c>
      <c r="B18" t="s">
        <v>48</v>
      </c>
      <c r="C18">
        <v>1356.9904011000001</v>
      </c>
      <c r="D18" s="11" t="s">
        <v>49</v>
      </c>
      <c r="E18">
        <v>37.29</v>
      </c>
      <c r="F18" s="12">
        <v>24256904715</v>
      </c>
      <c r="G18" s="13">
        <f t="shared" si="0"/>
        <v>2.9767973024606573</v>
      </c>
      <c r="H18" s="13">
        <f t="shared" si="9"/>
        <v>206.82883691041681</v>
      </c>
      <c r="I18" s="13">
        <f t="shared" si="3"/>
        <v>5.8637515810195584</v>
      </c>
      <c r="K18" s="14" t="s">
        <v>50</v>
      </c>
      <c r="L18">
        <v>72</v>
      </c>
      <c r="M18">
        <v>140</v>
      </c>
      <c r="N18">
        <v>0</v>
      </c>
      <c r="O18">
        <v>17</v>
      </c>
      <c r="P18">
        <v>2</v>
      </c>
      <c r="Q18">
        <f t="shared" si="5"/>
        <v>2088.0350039999998</v>
      </c>
      <c r="R18">
        <f t="shared" si="6"/>
        <v>9.9054295792072283E-2</v>
      </c>
      <c r="S18">
        <f t="shared" si="7"/>
        <v>9.5260247115154932</v>
      </c>
      <c r="T18">
        <f t="shared" si="2"/>
        <v>10</v>
      </c>
    </row>
    <row r="19" spans="1:20" x14ac:dyDescent="0.35">
      <c r="A19" s="10" t="s">
        <v>51</v>
      </c>
      <c r="B19" t="s">
        <v>52</v>
      </c>
      <c r="C19">
        <v>1371.0060512</v>
      </c>
      <c r="D19" s="11" t="s">
        <v>53</v>
      </c>
      <c r="E19">
        <v>38.36</v>
      </c>
      <c r="F19" s="12">
        <v>59822751055</v>
      </c>
      <c r="G19" s="13">
        <f t="shared" si="0"/>
        <v>7.3414232383976872</v>
      </c>
      <c r="H19" s="13">
        <f t="shared" si="9"/>
        <v>510.08445499791213</v>
      </c>
      <c r="I19" s="13">
        <f t="shared" si="3"/>
        <v>14.461274231034787</v>
      </c>
      <c r="K19" s="14" t="s">
        <v>54</v>
      </c>
      <c r="L19">
        <v>73</v>
      </c>
      <c r="M19">
        <v>142</v>
      </c>
      <c r="N19">
        <v>0</v>
      </c>
      <c r="O19">
        <v>17</v>
      </c>
      <c r="P19">
        <v>2</v>
      </c>
      <c r="Q19">
        <f t="shared" si="5"/>
        <v>2113.064844</v>
      </c>
      <c r="R19">
        <f t="shared" si="6"/>
        <v>0.24139555226915324</v>
      </c>
      <c r="S19">
        <f t="shared" si="7"/>
        <v>23.214944670273706</v>
      </c>
      <c r="T19">
        <f t="shared" si="2"/>
        <v>23</v>
      </c>
    </row>
    <row r="20" spans="1:20" x14ac:dyDescent="0.35">
      <c r="A20" s="10" t="s">
        <v>55</v>
      </c>
      <c r="B20" t="s">
        <v>56</v>
      </c>
      <c r="C20">
        <v>1385.0217012000001</v>
      </c>
      <c r="D20" s="11" t="s">
        <v>57</v>
      </c>
      <c r="E20">
        <v>39.58</v>
      </c>
      <c r="F20" s="12">
        <v>31674591085</v>
      </c>
      <c r="G20" s="13">
        <f t="shared" si="0"/>
        <v>3.8870927023127564</v>
      </c>
      <c r="H20" s="13">
        <f t="shared" si="9"/>
        <v>270.07645495974845</v>
      </c>
      <c r="I20" s="13">
        <f t="shared" si="3"/>
        <v>7.6568686621407114</v>
      </c>
      <c r="K20" s="14" t="s">
        <v>58</v>
      </c>
      <c r="L20">
        <v>74</v>
      </c>
      <c r="M20">
        <v>144</v>
      </c>
      <c r="N20">
        <v>0</v>
      </c>
      <c r="O20">
        <v>17</v>
      </c>
      <c r="P20">
        <v>2</v>
      </c>
      <c r="Q20">
        <f t="shared" si="5"/>
        <v>2138.0946840000001</v>
      </c>
      <c r="R20">
        <f t="shared" si="6"/>
        <v>0.12631641478780667</v>
      </c>
      <c r="S20">
        <f t="shared" si="7"/>
        <v>12.147815287734263</v>
      </c>
      <c r="T20">
        <f t="shared" si="2"/>
        <v>12</v>
      </c>
    </row>
    <row r="21" spans="1:20" x14ac:dyDescent="0.35">
      <c r="A21" s="10" t="s">
        <v>59</v>
      </c>
      <c r="B21" t="s">
        <v>60</v>
      </c>
      <c r="C21">
        <v>1399.0373513</v>
      </c>
      <c r="D21" s="11" t="s">
        <v>61</v>
      </c>
      <c r="E21">
        <v>41.3</v>
      </c>
      <c r="F21" s="12">
        <v>29783442143</v>
      </c>
      <c r="G21" s="13">
        <f t="shared" si="0"/>
        <v>3.6550116872269478</v>
      </c>
      <c r="H21" s="13">
        <f t="shared" si="9"/>
        <v>253.95139116064183</v>
      </c>
      <c r="I21" s="13">
        <f t="shared" si="3"/>
        <v>7.1997110928264956</v>
      </c>
      <c r="K21" s="14" t="s">
        <v>62</v>
      </c>
      <c r="L21">
        <v>75</v>
      </c>
      <c r="M21">
        <v>146</v>
      </c>
      <c r="N21">
        <v>0</v>
      </c>
      <c r="O21">
        <v>17</v>
      </c>
      <c r="P21">
        <v>2</v>
      </c>
      <c r="Q21">
        <f t="shared" si="5"/>
        <v>2163.1245240000003</v>
      </c>
      <c r="R21">
        <f>H21/Q21</f>
        <v>0.11740026445220118</v>
      </c>
      <c r="S21">
        <f t="shared" si="7"/>
        <v>11.290351532635187</v>
      </c>
      <c r="T21">
        <f t="shared" si="2"/>
        <v>11</v>
      </c>
    </row>
    <row r="22" spans="1:20" x14ac:dyDescent="0.35">
      <c r="A22" s="10" t="s">
        <v>63</v>
      </c>
      <c r="B22" t="s">
        <v>64</v>
      </c>
      <c r="C22">
        <v>1413.0530014000001</v>
      </c>
      <c r="D22" s="11" t="s">
        <v>65</v>
      </c>
      <c r="E22">
        <v>42.35</v>
      </c>
      <c r="F22" s="12">
        <v>14390325166</v>
      </c>
      <c r="G22" s="13">
        <f t="shared" si="0"/>
        <v>1.7659747457057409</v>
      </c>
      <c r="H22" s="13">
        <f t="shared" si="9"/>
        <v>122.70049504733278</v>
      </c>
      <c r="I22" s="13">
        <f t="shared" si="3"/>
        <v>3.4786504269581555</v>
      </c>
      <c r="K22" s="14" t="s">
        <v>66</v>
      </c>
      <c r="L22">
        <v>76</v>
      </c>
      <c r="M22">
        <v>148</v>
      </c>
      <c r="N22">
        <v>0</v>
      </c>
      <c r="O22">
        <v>17</v>
      </c>
      <c r="P22">
        <v>2</v>
      </c>
      <c r="Q22">
        <f t="shared" si="5"/>
        <v>2188.154364</v>
      </c>
      <c r="R22">
        <f t="shared" si="6"/>
        <v>5.6074880760712535E-2</v>
      </c>
      <c r="S22">
        <f t="shared" si="7"/>
        <v>5.392706046218585</v>
      </c>
      <c r="T22">
        <f t="shared" si="2"/>
        <v>5</v>
      </c>
    </row>
    <row r="23" spans="1:20" x14ac:dyDescent="0.35">
      <c r="A23" s="16" t="s">
        <v>67</v>
      </c>
      <c r="B23" s="17" t="s">
        <v>68</v>
      </c>
      <c r="C23" s="17">
        <v>1427.0686513999999</v>
      </c>
      <c r="D23" s="23" t="s">
        <v>69</v>
      </c>
      <c r="E23" s="17">
        <v>43.57</v>
      </c>
      <c r="F23" s="19">
        <v>8021458041</v>
      </c>
      <c r="G23" s="20">
        <f t="shared" si="0"/>
        <v>0.98439000931080467</v>
      </c>
      <c r="H23" s="20">
        <f t="shared" si="9"/>
        <v>68.395735417957283</v>
      </c>
      <c r="I23" s="20">
        <f t="shared" si="3"/>
        <v>1.9390700430508656</v>
      </c>
      <c r="J23" s="17"/>
      <c r="K23" s="21" t="s">
        <v>70</v>
      </c>
      <c r="L23">
        <v>77</v>
      </c>
      <c r="M23">
        <v>150</v>
      </c>
      <c r="N23">
        <v>0</v>
      </c>
      <c r="O23">
        <v>17</v>
      </c>
      <c r="P23">
        <v>2</v>
      </c>
      <c r="Q23">
        <f t="shared" si="5"/>
        <v>2213.1842040000001</v>
      </c>
      <c r="R23">
        <f t="shared" si="6"/>
        <v>3.0903769914109362E-2</v>
      </c>
      <c r="S23">
        <f t="shared" si="7"/>
        <v>2.9720071555377823</v>
      </c>
      <c r="T23">
        <f>ROUND(S23,0)</f>
        <v>3</v>
      </c>
    </row>
    <row r="24" spans="1:20" x14ac:dyDescent="0.35">
      <c r="A24" s="10" t="s">
        <v>98</v>
      </c>
      <c r="B24" t="s">
        <v>99</v>
      </c>
      <c r="C24" t="s">
        <v>100</v>
      </c>
      <c r="D24" s="11" t="s">
        <v>100</v>
      </c>
      <c r="E24" t="s">
        <v>100</v>
      </c>
      <c r="F24" s="12" t="s">
        <v>100</v>
      </c>
      <c r="G24" s="13" t="s">
        <v>100</v>
      </c>
      <c r="H24" s="13">
        <f>0.005*H25</f>
        <v>17.548478553215276</v>
      </c>
      <c r="I24" s="20">
        <f>(H24/H$2)*100</f>
        <v>0.49751243781094528</v>
      </c>
      <c r="K24" s="14" t="s">
        <v>101</v>
      </c>
      <c r="L24">
        <v>64</v>
      </c>
      <c r="M24">
        <v>64</v>
      </c>
      <c r="N24">
        <v>0</v>
      </c>
      <c r="O24">
        <v>2</v>
      </c>
      <c r="P24">
        <v>0</v>
      </c>
      <c r="Q24">
        <f t="shared" si="5"/>
        <v>865.20375999999999</v>
      </c>
      <c r="R24">
        <f>H24/Q24</f>
        <v>2.0282480687803847E-2</v>
      </c>
      <c r="S24">
        <f>(R24/$R$2)*200</f>
        <v>1.9505606566365463</v>
      </c>
      <c r="T24">
        <f>ROUND(S24,0)</f>
        <v>2</v>
      </c>
    </row>
    <row r="25" spans="1:20" x14ac:dyDescent="0.35">
      <c r="H25" s="13">
        <f>SUM(H3:H23)</f>
        <v>3509.695710643055</v>
      </c>
      <c r="I25" s="13">
        <f>SUM(I3:I24)</f>
        <v>99.999999999999986</v>
      </c>
      <c r="T25">
        <f>SUM(T3:T24)</f>
        <v>200</v>
      </c>
    </row>
    <row r="26" spans="1:20" x14ac:dyDescent="0.35">
      <c r="A26" s="2" t="s">
        <v>71</v>
      </c>
      <c r="B26" s="2" t="s">
        <v>72</v>
      </c>
    </row>
    <row r="27" spans="1:20" x14ac:dyDescent="0.35">
      <c r="A27" t="s">
        <v>73</v>
      </c>
      <c r="B27">
        <v>32105690</v>
      </c>
      <c r="M27" t="s">
        <v>86</v>
      </c>
      <c r="N27">
        <f>ROUND(SUM(S3,S5,S7,S8,S9),0)</f>
        <v>35</v>
      </c>
      <c r="O27" t="s">
        <v>87</v>
      </c>
      <c r="P27" t="s">
        <v>88</v>
      </c>
    </row>
    <row r="28" spans="1:20" x14ac:dyDescent="0.35">
      <c r="A28" t="s">
        <v>74</v>
      </c>
      <c r="B28">
        <v>1274388070</v>
      </c>
      <c r="M28" t="s">
        <v>89</v>
      </c>
      <c r="N28">
        <f>ROUND(SUM(S4,S6),0)</f>
        <v>1</v>
      </c>
      <c r="O28" t="s">
        <v>90</v>
      </c>
      <c r="P28" t="s">
        <v>88</v>
      </c>
    </row>
    <row r="29" spans="1:20" x14ac:dyDescent="0.35">
      <c r="A29" t="s">
        <v>75</v>
      </c>
      <c r="B29">
        <v>117280090.52</v>
      </c>
      <c r="M29" t="s">
        <v>91</v>
      </c>
      <c r="N29">
        <f>ROUND(SUM(S10:S16),0)</f>
        <v>83</v>
      </c>
      <c r="O29" t="s">
        <v>92</v>
      </c>
      <c r="P29" t="s">
        <v>93</v>
      </c>
    </row>
    <row r="30" spans="1:20" x14ac:dyDescent="0.35">
      <c r="M30" t="s">
        <v>94</v>
      </c>
      <c r="N30">
        <f>ROUND(SUM(S17:S23),0)</f>
        <v>79</v>
      </c>
      <c r="O30" t="s">
        <v>95</v>
      </c>
      <c r="P30" t="s">
        <v>96</v>
      </c>
    </row>
    <row r="31" spans="1:20" x14ac:dyDescent="0.35">
      <c r="A31" s="15"/>
      <c r="B31" t="s">
        <v>76</v>
      </c>
      <c r="M31" t="s">
        <v>102</v>
      </c>
      <c r="N31">
        <f>ROUND(S24,0)</f>
        <v>2</v>
      </c>
      <c r="O31" t="s">
        <v>104</v>
      </c>
      <c r="P31" t="s">
        <v>105</v>
      </c>
    </row>
    <row r="32" spans="1:20" x14ac:dyDescent="0.35">
      <c r="A32" s="11"/>
      <c r="B32" t="s">
        <v>77</v>
      </c>
      <c r="M32" t="s">
        <v>97</v>
      </c>
      <c r="N32" t="b">
        <f>IF(SUM(N27:N31)=200,TRUE,FALSE)</f>
        <v>1</v>
      </c>
    </row>
    <row r="33" spans="12:15" x14ac:dyDescent="0.35">
      <c r="N33">
        <f>SUM(N27:N31)</f>
        <v>200</v>
      </c>
    </row>
    <row r="34" spans="12:15" x14ac:dyDescent="0.35">
      <c r="L34" s="2" t="s">
        <v>114</v>
      </c>
      <c r="M34" s="2" t="s">
        <v>117</v>
      </c>
      <c r="N34" s="2" t="s">
        <v>126</v>
      </c>
      <c r="O34" s="26">
        <v>8511069629</v>
      </c>
    </row>
    <row r="35" spans="12:15" x14ac:dyDescent="0.35">
      <c r="L35" t="s">
        <v>107</v>
      </c>
      <c r="M35" s="25" t="s">
        <v>108</v>
      </c>
    </row>
    <row r="36" spans="12:15" x14ac:dyDescent="0.35">
      <c r="L36" t="s">
        <v>109</v>
      </c>
      <c r="M36" s="25" t="s">
        <v>118</v>
      </c>
    </row>
    <row r="37" spans="12:15" x14ac:dyDescent="0.35">
      <c r="L37" t="s">
        <v>110</v>
      </c>
      <c r="M37" s="25" t="s">
        <v>113</v>
      </c>
    </row>
    <row r="38" spans="12:15" x14ac:dyDescent="0.35">
      <c r="L38" t="s">
        <v>111</v>
      </c>
      <c r="M38" s="25" t="s">
        <v>112</v>
      </c>
    </row>
    <row r="39" spans="12:15" x14ac:dyDescent="0.35">
      <c r="L39" t="s">
        <v>115</v>
      </c>
      <c r="M39" s="2" t="s">
        <v>116</v>
      </c>
    </row>
    <row r="40" spans="12:15" x14ac:dyDescent="0.35">
      <c r="L40" s="2" t="s">
        <v>125</v>
      </c>
      <c r="M40" s="2" t="s">
        <v>117</v>
      </c>
    </row>
    <row r="41" spans="12:15" x14ac:dyDescent="0.35">
      <c r="L41" t="s">
        <v>119</v>
      </c>
      <c r="M41" s="25" t="s">
        <v>120</v>
      </c>
    </row>
    <row r="42" spans="12:15" x14ac:dyDescent="0.35">
      <c r="L42" t="s">
        <v>121</v>
      </c>
      <c r="M42" s="25" t="s">
        <v>122</v>
      </c>
    </row>
    <row r="43" spans="12:15" x14ac:dyDescent="0.35">
      <c r="L43" t="s">
        <v>123</v>
      </c>
      <c r="M43" s="2" t="s">
        <v>116</v>
      </c>
    </row>
    <row r="44" spans="12:15" x14ac:dyDescent="0.35">
      <c r="L44" s="2" t="s">
        <v>124</v>
      </c>
      <c r="M44" s="2" t="s">
        <v>117</v>
      </c>
    </row>
    <row r="45" spans="12:15" x14ac:dyDescent="0.35">
      <c r="L45" t="s">
        <v>127</v>
      </c>
      <c r="M45" s="27" t="s">
        <v>128</v>
      </c>
    </row>
    <row r="46" spans="12:15" x14ac:dyDescent="0.35">
      <c r="L46" s="2" t="s">
        <v>129</v>
      </c>
      <c r="M46" s="2" t="s">
        <v>117</v>
      </c>
    </row>
    <row r="47" spans="12:15" x14ac:dyDescent="0.35">
      <c r="L47" t="s">
        <v>130</v>
      </c>
      <c r="M47" s="25" t="s">
        <v>131</v>
      </c>
    </row>
    <row r="48" spans="12:15" x14ac:dyDescent="0.35">
      <c r="L48" t="s">
        <v>132</v>
      </c>
      <c r="M48" s="25" t="s">
        <v>133</v>
      </c>
    </row>
    <row r="49" spans="12:13" x14ac:dyDescent="0.35">
      <c r="L49" t="s">
        <v>134</v>
      </c>
      <c r="M49" s="25" t="s">
        <v>135</v>
      </c>
    </row>
    <row r="50" spans="12:13" x14ac:dyDescent="0.35">
      <c r="L50" t="s">
        <v>136</v>
      </c>
      <c r="M50" s="25" t="s">
        <v>137</v>
      </c>
    </row>
    <row r="51" spans="12:13" x14ac:dyDescent="0.35">
      <c r="L51" t="s">
        <v>138</v>
      </c>
      <c r="M51" s="25" t="s">
        <v>139</v>
      </c>
    </row>
  </sheetData>
  <mergeCells count="2">
    <mergeCell ref="F1:G1"/>
    <mergeCell ref="H1:I1"/>
  </mergeCells>
  <conditionalFormatting sqref="G3:G23 I3:I23">
    <cfRule type="colorScale" priority="2">
      <colorScale>
        <cfvo type="min"/>
        <cfvo type="max"/>
        <color rgb="FFFCFCFF"/>
        <color rgb="FFF8696B"/>
      </colorScale>
    </cfRule>
  </conditionalFormatting>
  <conditionalFormatting sqref="G24 I24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1"/>
  <sheetViews>
    <sheetView topLeftCell="E1" workbookViewId="0">
      <selection activeCell="U37" sqref="U37"/>
    </sheetView>
  </sheetViews>
  <sheetFormatPr defaultRowHeight="14.5" x14ac:dyDescent="0.35"/>
  <cols>
    <col min="2" max="2" width="13.1796875" bestFit="1" customWidth="1"/>
    <col min="4" max="4" width="22" bestFit="1" customWidth="1"/>
    <col min="11" max="11" width="7.90625" customWidth="1"/>
    <col min="15" max="15" width="11.54296875" bestFit="1" customWidth="1"/>
  </cols>
  <sheetData>
    <row r="1" spans="1:20" ht="15" thickBot="1" x14ac:dyDescent="0.4">
      <c r="A1" s="1" t="s">
        <v>79</v>
      </c>
      <c r="B1" s="2"/>
      <c r="C1" s="2"/>
      <c r="D1" s="2"/>
      <c r="E1" s="2"/>
      <c r="F1" s="28" t="s">
        <v>1</v>
      </c>
      <c r="G1" s="28"/>
      <c r="H1" s="28" t="s">
        <v>2</v>
      </c>
      <c r="I1" s="28"/>
      <c r="J1" s="2"/>
      <c r="K1" s="2"/>
      <c r="L1">
        <v>1.0078400000000001</v>
      </c>
      <c r="M1">
        <v>12.010999999999999</v>
      </c>
      <c r="N1">
        <v>14.0067</v>
      </c>
      <c r="O1">
        <v>15.999000000000001</v>
      </c>
      <c r="P1">
        <v>30.973762000000001</v>
      </c>
      <c r="Q1" s="2"/>
      <c r="R1" s="2"/>
      <c r="S1" s="2"/>
      <c r="T1" s="2"/>
    </row>
    <row r="2" spans="1:20" x14ac:dyDescent="0.35">
      <c r="A2" s="2" t="s">
        <v>3</v>
      </c>
      <c r="B2" s="2"/>
      <c r="C2" s="2" t="s">
        <v>4</v>
      </c>
      <c r="D2" s="2" t="s">
        <v>5</v>
      </c>
      <c r="E2" s="2" t="s">
        <v>6</v>
      </c>
      <c r="F2" s="3">
        <f>SUM(F3:F31)</f>
        <v>842676732786</v>
      </c>
      <c r="G2" s="2"/>
      <c r="H2" s="3">
        <f>SUM(H3:H24)</f>
        <v>3808.5741827463603</v>
      </c>
      <c r="I2" s="2"/>
      <c r="J2" s="2"/>
      <c r="K2" s="2" t="s">
        <v>7</v>
      </c>
      <c r="L2" t="s">
        <v>80</v>
      </c>
      <c r="M2" t="s">
        <v>81</v>
      </c>
      <c r="N2" s="2" t="s">
        <v>82</v>
      </c>
      <c r="O2" s="2" t="s">
        <v>83</v>
      </c>
      <c r="P2" s="2" t="s">
        <v>84</v>
      </c>
      <c r="Q2" s="2" t="s">
        <v>85</v>
      </c>
      <c r="R2" s="2">
        <f>SUM(R3:R24)</f>
        <v>2.2195971595688007</v>
      </c>
      <c r="S2" s="2"/>
      <c r="T2" s="2"/>
    </row>
    <row r="3" spans="1:20" x14ac:dyDescent="0.35">
      <c r="A3" s="4" t="s">
        <v>8</v>
      </c>
      <c r="B3" s="5" t="s">
        <v>9</v>
      </c>
      <c r="C3" s="5">
        <v>706.53912000000003</v>
      </c>
      <c r="D3" s="6" t="s">
        <v>10</v>
      </c>
      <c r="E3" s="5">
        <v>17.21</v>
      </c>
      <c r="F3" s="7">
        <v>94824682304</v>
      </c>
      <c r="G3" s="8">
        <f t="shared" ref="G3:G23" si="0">(F3/F$2)*100</f>
        <v>11.252794650031115</v>
      </c>
      <c r="H3" s="8">
        <f t="shared" ref="H3:H9" si="1">F3/B$28</f>
        <v>74.408011606699986</v>
      </c>
      <c r="I3" s="8">
        <f t="shared" ref="I3:I22" si="2">(H3/H$2)*100</f>
        <v>1.9536973165386637</v>
      </c>
      <c r="J3" s="5"/>
      <c r="K3" s="9" t="str">
        <f>A3</f>
        <v>C38H77NO8P</v>
      </c>
      <c r="L3">
        <v>38</v>
      </c>
      <c r="M3">
        <v>77</v>
      </c>
      <c r="N3">
        <v>1</v>
      </c>
      <c r="O3">
        <v>8</v>
      </c>
      <c r="P3">
        <v>1</v>
      </c>
      <c r="Q3">
        <f>L3*$L$1+M3*$M$1+N3*$N$1+O3*$O$1+P3*$P$1</f>
        <v>1136.1173820000001</v>
      </c>
      <c r="R3">
        <f>H3/Q3</f>
        <v>6.5493242851115865E-2</v>
      </c>
      <c r="S3">
        <f>(R3/$R$2)*200</f>
        <v>5.9013630080369346</v>
      </c>
      <c r="T3">
        <f t="shared" ref="T3:T22" si="3">ROUND(S3,0)</f>
        <v>6</v>
      </c>
    </row>
    <row r="4" spans="1:20" x14ac:dyDescent="0.35">
      <c r="A4" s="10" t="s">
        <v>8</v>
      </c>
      <c r="B4" t="s">
        <v>11</v>
      </c>
      <c r="C4">
        <v>706.53913999999997</v>
      </c>
      <c r="D4" s="11" t="s">
        <v>12</v>
      </c>
      <c r="E4">
        <v>20.66</v>
      </c>
      <c r="F4" s="12">
        <v>3282056881</v>
      </c>
      <c r="G4" s="13">
        <f t="shared" si="0"/>
        <v>0.38947994566660082</v>
      </c>
      <c r="H4" s="13">
        <f t="shared" si="1"/>
        <v>2.575398309401939</v>
      </c>
      <c r="I4" s="13">
        <f t="shared" si="2"/>
        <v>6.762106199923934E-2</v>
      </c>
      <c r="K4" s="14" t="str">
        <f t="shared" ref="K4:K8" si="4">A4</f>
        <v>C38H77NO8P</v>
      </c>
      <c r="L4">
        <v>38</v>
      </c>
      <c r="M4">
        <v>77</v>
      </c>
      <c r="N4">
        <v>1</v>
      </c>
      <c r="O4">
        <v>8</v>
      </c>
      <c r="P4">
        <v>1</v>
      </c>
      <c r="Q4">
        <f t="shared" ref="Q4:Q24" si="5">L4*$L$1+M4*$M$1+N4*$N$1+O4*$O$1+P4*$P$1</f>
        <v>1136.1173820000001</v>
      </c>
      <c r="R4">
        <f t="shared" ref="R4:R23" si="6">H4/Q4</f>
        <v>2.2668417455846464E-3</v>
      </c>
      <c r="S4">
        <f t="shared" ref="S4:S23" si="7">(R4/$R$2)*200</f>
        <v>0.20425704149171142</v>
      </c>
      <c r="T4">
        <f t="shared" si="3"/>
        <v>0</v>
      </c>
    </row>
    <row r="5" spans="1:20" x14ac:dyDescent="0.35">
      <c r="A5" s="10" t="s">
        <v>13</v>
      </c>
      <c r="B5" t="s">
        <v>14</v>
      </c>
      <c r="C5">
        <v>720.55489</v>
      </c>
      <c r="D5" s="15" t="s">
        <v>15</v>
      </c>
      <c r="E5">
        <v>18.2</v>
      </c>
      <c r="F5" s="12">
        <v>107051121854</v>
      </c>
      <c r="G5" s="13">
        <f t="shared" si="0"/>
        <v>12.70369973312007</v>
      </c>
      <c r="H5" s="13">
        <f t="shared" si="1"/>
        <v>84.001980538000481</v>
      </c>
      <c r="I5" s="13">
        <f t="shared" si="2"/>
        <v>2.2056017949853008</v>
      </c>
      <c r="K5" s="14" t="str">
        <f t="shared" si="4"/>
        <v>C39H79NO8P</v>
      </c>
      <c r="L5">
        <v>39</v>
      </c>
      <c r="M5">
        <v>79</v>
      </c>
      <c r="N5">
        <v>1</v>
      </c>
      <c r="O5">
        <v>8</v>
      </c>
      <c r="P5">
        <v>1</v>
      </c>
      <c r="Q5">
        <f t="shared" si="5"/>
        <v>1161.1472220000001</v>
      </c>
      <c r="R5">
        <f t="shared" si="6"/>
        <v>7.2343953416443244E-2</v>
      </c>
      <c r="S5">
        <f t="shared" si="7"/>
        <v>6.5186561538488759</v>
      </c>
      <c r="T5">
        <f t="shared" si="3"/>
        <v>7</v>
      </c>
    </row>
    <row r="6" spans="1:20" x14ac:dyDescent="0.35">
      <c r="A6" s="10" t="s">
        <v>13</v>
      </c>
      <c r="B6" t="s">
        <v>16</v>
      </c>
      <c r="C6">
        <v>720.55487000000005</v>
      </c>
      <c r="D6" s="11" t="s">
        <v>17</v>
      </c>
      <c r="E6">
        <v>21.97</v>
      </c>
      <c r="F6" s="12">
        <v>4747951177</v>
      </c>
      <c r="G6" s="13">
        <f t="shared" si="0"/>
        <v>0.56343684265526706</v>
      </c>
      <c r="H6" s="13">
        <f t="shared" si="1"/>
        <v>3.7256713938007908</v>
      </c>
      <c r="I6" s="13">
        <f t="shared" si="2"/>
        <v>9.7823259178693792E-2</v>
      </c>
      <c r="K6" s="14" t="str">
        <f t="shared" si="4"/>
        <v>C39H79NO8P</v>
      </c>
      <c r="L6">
        <v>39</v>
      </c>
      <c r="M6">
        <v>79</v>
      </c>
      <c r="N6">
        <v>1</v>
      </c>
      <c r="O6">
        <v>8</v>
      </c>
      <c r="P6">
        <v>1</v>
      </c>
      <c r="Q6">
        <f t="shared" si="5"/>
        <v>1161.1472220000001</v>
      </c>
      <c r="R6">
        <f t="shared" si="6"/>
        <v>3.2086124164200005E-3</v>
      </c>
      <c r="S6">
        <f t="shared" si="7"/>
        <v>0.28911664466567755</v>
      </c>
      <c r="T6">
        <f t="shared" si="3"/>
        <v>0</v>
      </c>
    </row>
    <row r="7" spans="1:20" x14ac:dyDescent="0.35">
      <c r="A7" s="10" t="s">
        <v>18</v>
      </c>
      <c r="B7" t="s">
        <v>19</v>
      </c>
      <c r="C7">
        <v>734.57034999999996</v>
      </c>
      <c r="D7" s="15" t="s">
        <v>20</v>
      </c>
      <c r="E7">
        <v>19.23</v>
      </c>
      <c r="F7" s="12">
        <v>155228584038</v>
      </c>
      <c r="G7" s="13">
        <f t="shared" si="0"/>
        <v>18.420893564343935</v>
      </c>
      <c r="H7" s="13">
        <f t="shared" si="1"/>
        <v>121.80636941932453</v>
      </c>
      <c r="I7" s="13">
        <f t="shared" si="2"/>
        <v>3.1982144386508975</v>
      </c>
      <c r="K7" s="14" t="str">
        <f t="shared" si="4"/>
        <v>C40H81NO8P</v>
      </c>
      <c r="L7">
        <v>40</v>
      </c>
      <c r="M7">
        <v>81</v>
      </c>
      <c r="N7">
        <v>1</v>
      </c>
      <c r="O7">
        <v>8</v>
      </c>
      <c r="P7">
        <v>1</v>
      </c>
      <c r="Q7">
        <f t="shared" si="5"/>
        <v>1186.177062</v>
      </c>
      <c r="R7">
        <f t="shared" si="6"/>
        <v>0.10268818485998048</v>
      </c>
      <c r="S7">
        <f t="shared" si="7"/>
        <v>9.2528668472372377</v>
      </c>
      <c r="T7">
        <f t="shared" si="3"/>
        <v>9</v>
      </c>
    </row>
    <row r="8" spans="1:20" x14ac:dyDescent="0.35">
      <c r="A8" s="10" t="s">
        <v>21</v>
      </c>
      <c r="B8" t="s">
        <v>22</v>
      </c>
      <c r="C8">
        <v>748.58581000000004</v>
      </c>
      <c r="D8" s="15" t="s">
        <v>12</v>
      </c>
      <c r="E8">
        <v>20.49</v>
      </c>
      <c r="F8" s="12">
        <v>101405759671</v>
      </c>
      <c r="G8" s="13">
        <f t="shared" si="0"/>
        <v>12.033767603353571</v>
      </c>
      <c r="H8" s="13">
        <f t="shared" si="1"/>
        <v>79.572119402373247</v>
      </c>
      <c r="I8" s="13">
        <f t="shared" si="2"/>
        <v>2.0892889460536606</v>
      </c>
      <c r="K8" s="14" t="str">
        <f t="shared" si="4"/>
        <v>C42H83NO8P</v>
      </c>
      <c r="L8">
        <v>42</v>
      </c>
      <c r="M8">
        <v>83</v>
      </c>
      <c r="N8">
        <v>1</v>
      </c>
      <c r="O8">
        <v>8</v>
      </c>
      <c r="P8">
        <v>1</v>
      </c>
      <c r="Q8">
        <f t="shared" si="5"/>
        <v>1212.2147419999999</v>
      </c>
      <c r="R8">
        <f t="shared" si="6"/>
        <v>6.5641933434243988E-2</v>
      </c>
      <c r="S8">
        <f t="shared" si="7"/>
        <v>5.9147609872591644</v>
      </c>
      <c r="T8">
        <f t="shared" si="3"/>
        <v>6</v>
      </c>
    </row>
    <row r="9" spans="1:20" x14ac:dyDescent="0.35">
      <c r="A9" s="16" t="s">
        <v>23</v>
      </c>
      <c r="B9" s="17" t="s">
        <v>24</v>
      </c>
      <c r="C9" s="17">
        <v>762.60150999999996</v>
      </c>
      <c r="D9" s="18" t="s">
        <v>17</v>
      </c>
      <c r="E9" s="17">
        <v>21.7</v>
      </c>
      <c r="F9" s="19">
        <v>85697715427</v>
      </c>
      <c r="G9" s="20">
        <f t="shared" si="0"/>
        <v>10.169702341688264</v>
      </c>
      <c r="H9" s="20">
        <f t="shared" si="1"/>
        <v>67.246168921684898</v>
      </c>
      <c r="I9" s="20">
        <f t="shared" si="2"/>
        <v>1.7656520706968017</v>
      </c>
      <c r="J9" s="17"/>
      <c r="K9" s="21" t="str">
        <f>A9</f>
        <v>C43H85NO8P</v>
      </c>
      <c r="L9">
        <v>43</v>
      </c>
      <c r="M9">
        <v>85</v>
      </c>
      <c r="N9">
        <v>1</v>
      </c>
      <c r="O9">
        <v>8</v>
      </c>
      <c r="P9">
        <v>1</v>
      </c>
      <c r="Q9">
        <f t="shared" si="5"/>
        <v>1237.2445819999998</v>
      </c>
      <c r="R9">
        <f t="shared" si="6"/>
        <v>5.4351556596014178E-2</v>
      </c>
      <c r="S9">
        <f t="shared" si="7"/>
        <v>4.8974253153732645</v>
      </c>
      <c r="T9">
        <f t="shared" si="3"/>
        <v>5</v>
      </c>
    </row>
    <row r="10" spans="1:20" x14ac:dyDescent="0.35">
      <c r="A10" s="4" t="s">
        <v>25</v>
      </c>
      <c r="B10" s="5" t="s">
        <v>26</v>
      </c>
      <c r="C10" s="5">
        <v>964.75800000000004</v>
      </c>
      <c r="D10" s="22" t="s">
        <v>27</v>
      </c>
      <c r="E10" s="5">
        <v>28.12</v>
      </c>
      <c r="F10" s="7">
        <v>15024949222</v>
      </c>
      <c r="G10" s="8">
        <f t="shared" si="0"/>
        <v>1.7830027384671634</v>
      </c>
      <c r="H10" s="8">
        <f t="shared" ref="H10:H16" si="8">F10/B$27</f>
        <v>467.98399978321601</v>
      </c>
      <c r="I10" s="8">
        <f t="shared" si="2"/>
        <v>12.28764302145621</v>
      </c>
      <c r="J10" s="5"/>
      <c r="K10" s="9" t="s">
        <v>28</v>
      </c>
      <c r="L10">
        <v>53</v>
      </c>
      <c r="M10">
        <v>103</v>
      </c>
      <c r="N10">
        <v>0</v>
      </c>
      <c r="O10">
        <v>11</v>
      </c>
      <c r="P10">
        <v>1</v>
      </c>
      <c r="Q10">
        <f t="shared" si="5"/>
        <v>1497.5112819999999</v>
      </c>
      <c r="R10">
        <f t="shared" si="6"/>
        <v>0.3125078290950839</v>
      </c>
      <c r="S10">
        <f t="shared" si="7"/>
        <v>28.158968193651368</v>
      </c>
      <c r="T10">
        <f t="shared" si="3"/>
        <v>28</v>
      </c>
    </row>
    <row r="11" spans="1:20" x14ac:dyDescent="0.35">
      <c r="A11" s="10" t="s">
        <v>29</v>
      </c>
      <c r="B11" t="s">
        <v>26</v>
      </c>
      <c r="C11">
        <v>978.774</v>
      </c>
      <c r="D11" s="11" t="s">
        <v>30</v>
      </c>
      <c r="E11">
        <v>29.53</v>
      </c>
      <c r="F11" s="12">
        <v>4140368298</v>
      </c>
      <c r="G11" s="13">
        <f t="shared" si="0"/>
        <v>0.49133530533249664</v>
      </c>
      <c r="H11" s="13">
        <f t="shared" si="8"/>
        <v>128.96057670774246</v>
      </c>
      <c r="I11" s="13">
        <f t="shared" si="2"/>
        <v>3.3860592053572414</v>
      </c>
      <c r="K11" s="14" t="s">
        <v>31</v>
      </c>
      <c r="L11">
        <v>54</v>
      </c>
      <c r="M11">
        <v>105</v>
      </c>
      <c r="N11">
        <v>0</v>
      </c>
      <c r="O11">
        <v>11</v>
      </c>
      <c r="P11">
        <v>1</v>
      </c>
      <c r="Q11">
        <f t="shared" si="5"/>
        <v>1522.5411220000001</v>
      </c>
      <c r="R11">
        <f t="shared" si="6"/>
        <v>8.4700882520887644E-2</v>
      </c>
      <c r="S11">
        <f t="shared" si="7"/>
        <v>7.6320950543424209</v>
      </c>
      <c r="T11">
        <f t="shared" si="3"/>
        <v>8</v>
      </c>
    </row>
    <row r="12" spans="1:20" x14ac:dyDescent="0.35">
      <c r="A12" s="10" t="s">
        <v>29</v>
      </c>
      <c r="B12" t="s">
        <v>26</v>
      </c>
      <c r="C12">
        <v>978.774</v>
      </c>
      <c r="D12" s="11" t="s">
        <v>32</v>
      </c>
      <c r="E12">
        <v>30.11</v>
      </c>
      <c r="F12" s="12">
        <v>1665963736</v>
      </c>
      <c r="G12" s="13">
        <f t="shared" si="0"/>
        <v>0.19769903109726369</v>
      </c>
      <c r="H12" s="13">
        <f t="shared" si="8"/>
        <v>51.88998386267356</v>
      </c>
      <c r="I12" s="13">
        <f t="shared" si="2"/>
        <v>1.3624517043082964</v>
      </c>
      <c r="K12" s="14" t="s">
        <v>31</v>
      </c>
      <c r="L12">
        <v>54</v>
      </c>
      <c r="M12">
        <v>105</v>
      </c>
      <c r="N12">
        <v>0</v>
      </c>
      <c r="O12">
        <v>11</v>
      </c>
      <c r="P12">
        <v>1</v>
      </c>
      <c r="Q12">
        <f t="shared" si="5"/>
        <v>1522.5411220000001</v>
      </c>
      <c r="R12">
        <f t="shared" si="6"/>
        <v>3.4081170690819319E-2</v>
      </c>
      <c r="S12">
        <f t="shared" si="7"/>
        <v>3.0709329883482317</v>
      </c>
      <c r="T12">
        <f t="shared" si="3"/>
        <v>3</v>
      </c>
    </row>
    <row r="13" spans="1:20" x14ac:dyDescent="0.35">
      <c r="A13" s="10" t="s">
        <v>33</v>
      </c>
      <c r="B13" t="s">
        <v>26</v>
      </c>
      <c r="C13">
        <v>992.79</v>
      </c>
      <c r="D13" s="11" t="s">
        <v>34</v>
      </c>
      <c r="E13">
        <v>30.86</v>
      </c>
      <c r="F13" s="12">
        <v>11742857800</v>
      </c>
      <c r="G13" s="13">
        <f t="shared" si="0"/>
        <v>1.393518693838451</v>
      </c>
      <c r="H13" s="13">
        <f t="shared" si="8"/>
        <v>365.75628183041698</v>
      </c>
      <c r="I13" s="13">
        <f t="shared" si="2"/>
        <v>9.6034963290821445</v>
      </c>
      <c r="K13" s="14" t="s">
        <v>35</v>
      </c>
      <c r="L13">
        <v>55</v>
      </c>
      <c r="M13">
        <v>107</v>
      </c>
      <c r="N13">
        <v>0</v>
      </c>
      <c r="O13">
        <v>11</v>
      </c>
      <c r="P13">
        <v>1</v>
      </c>
      <c r="Q13">
        <f t="shared" si="5"/>
        <v>1547.570962</v>
      </c>
      <c r="R13">
        <f t="shared" si="6"/>
        <v>0.23634217157818252</v>
      </c>
      <c r="S13">
        <f t="shared" si="7"/>
        <v>21.29595188562023</v>
      </c>
      <c r="T13">
        <f t="shared" si="3"/>
        <v>21</v>
      </c>
    </row>
    <row r="14" spans="1:20" x14ac:dyDescent="0.35">
      <c r="A14" s="10" t="s">
        <v>36</v>
      </c>
      <c r="B14" t="s">
        <v>26</v>
      </c>
      <c r="C14">
        <v>1006.806</v>
      </c>
      <c r="D14" s="11" t="s">
        <v>37</v>
      </c>
      <c r="E14">
        <v>32.270000000000003</v>
      </c>
      <c r="F14" s="12">
        <v>1300839579</v>
      </c>
      <c r="G14" s="13">
        <f t="shared" si="0"/>
        <v>0.15436994144827679</v>
      </c>
      <c r="H14" s="13">
        <f t="shared" si="8"/>
        <v>40.517415417640926</v>
      </c>
      <c r="I14" s="13">
        <f t="shared" si="2"/>
        <v>1.063847347419234</v>
      </c>
      <c r="K14" s="14" t="s">
        <v>38</v>
      </c>
      <c r="L14">
        <v>56</v>
      </c>
      <c r="M14">
        <v>109</v>
      </c>
      <c r="N14">
        <v>0</v>
      </c>
      <c r="O14">
        <v>11</v>
      </c>
      <c r="P14">
        <v>1</v>
      </c>
      <c r="Q14">
        <f t="shared" si="5"/>
        <v>1572.6008019999999</v>
      </c>
      <c r="R14">
        <f t="shared" si="6"/>
        <v>2.5764590330942059E-2</v>
      </c>
      <c r="S14">
        <f t="shared" si="7"/>
        <v>2.3215555327118298</v>
      </c>
      <c r="T14">
        <f t="shared" si="3"/>
        <v>2</v>
      </c>
    </row>
    <row r="15" spans="1:20" x14ac:dyDescent="0.35">
      <c r="A15" s="10" t="s">
        <v>36</v>
      </c>
      <c r="B15" t="s">
        <v>26</v>
      </c>
      <c r="C15">
        <v>1006.806</v>
      </c>
      <c r="D15" s="11" t="s">
        <v>39</v>
      </c>
      <c r="E15">
        <v>32.9</v>
      </c>
      <c r="F15" s="12">
        <v>269245276</v>
      </c>
      <c r="G15" s="13">
        <f t="shared" si="0"/>
        <v>3.1951193800004392E-2</v>
      </c>
      <c r="H15" s="13">
        <f t="shared" si="8"/>
        <v>8.3862167734130608</v>
      </c>
      <c r="I15" s="13">
        <f t="shared" si="2"/>
        <v>0.22019307937874447</v>
      </c>
      <c r="K15" s="14" t="s">
        <v>38</v>
      </c>
      <c r="L15">
        <v>56</v>
      </c>
      <c r="M15">
        <v>109</v>
      </c>
      <c r="N15">
        <v>0</v>
      </c>
      <c r="O15">
        <v>11</v>
      </c>
      <c r="P15">
        <v>1</v>
      </c>
      <c r="Q15">
        <f t="shared" si="5"/>
        <v>1572.6008019999999</v>
      </c>
      <c r="R15">
        <f t="shared" si="6"/>
        <v>5.3327053901712695E-3</v>
      </c>
      <c r="S15">
        <f t="shared" si="7"/>
        <v>0.48051110240267647</v>
      </c>
      <c r="T15">
        <f t="shared" si="3"/>
        <v>0</v>
      </c>
    </row>
    <row r="16" spans="1:20" x14ac:dyDescent="0.35">
      <c r="A16" s="16" t="s">
        <v>40</v>
      </c>
      <c r="B16" s="17" t="s">
        <v>26</v>
      </c>
      <c r="C16" s="17">
        <v>1020.821</v>
      </c>
      <c r="D16" s="23" t="s">
        <v>41</v>
      </c>
      <c r="E16" s="17">
        <v>33.57</v>
      </c>
      <c r="F16" s="19">
        <v>2287529237</v>
      </c>
      <c r="G16" s="20">
        <f t="shared" si="0"/>
        <v>0.27145987874105981</v>
      </c>
      <c r="H16" s="20">
        <f t="shared" si="8"/>
        <v>71.249963386552352</v>
      </c>
      <c r="I16" s="20">
        <f t="shared" si="2"/>
        <v>1.8707778808492066</v>
      </c>
      <c r="J16" s="17"/>
      <c r="K16" s="21" t="s">
        <v>42</v>
      </c>
      <c r="L16">
        <v>57</v>
      </c>
      <c r="M16">
        <v>111</v>
      </c>
      <c r="N16">
        <v>0</v>
      </c>
      <c r="O16">
        <v>11</v>
      </c>
      <c r="P16">
        <v>1</v>
      </c>
      <c r="Q16">
        <f t="shared" si="5"/>
        <v>1597.6306420000001</v>
      </c>
      <c r="R16">
        <f t="shared" si="6"/>
        <v>4.4597268926538494E-2</v>
      </c>
      <c r="S16">
        <f t="shared" si="7"/>
        <v>4.0185011711947194</v>
      </c>
      <c r="T16">
        <f t="shared" si="3"/>
        <v>4</v>
      </c>
    </row>
    <row r="17" spans="1:20" x14ac:dyDescent="0.35">
      <c r="A17" s="4" t="s">
        <v>43</v>
      </c>
      <c r="B17" s="5" t="s">
        <v>44</v>
      </c>
      <c r="C17" s="5">
        <v>1342.9747511</v>
      </c>
      <c r="D17" s="11" t="s">
        <v>45</v>
      </c>
      <c r="E17" s="5">
        <v>36.08</v>
      </c>
      <c r="F17" s="7">
        <v>53021808729</v>
      </c>
      <c r="G17" s="8">
        <f t="shared" si="0"/>
        <v>6.2920698609658929</v>
      </c>
      <c r="H17" s="8">
        <f t="shared" ref="H17:H23" si="9">F17/B$29</f>
        <v>452.0955645063907</v>
      </c>
      <c r="I17" s="8">
        <f t="shared" si="2"/>
        <v>11.870467603190676</v>
      </c>
      <c r="J17" s="5"/>
      <c r="K17" s="9" t="s">
        <v>46</v>
      </c>
      <c r="L17">
        <v>71</v>
      </c>
      <c r="M17">
        <v>138</v>
      </c>
      <c r="N17">
        <v>0</v>
      </c>
      <c r="O17">
        <v>17</v>
      </c>
      <c r="P17">
        <v>2</v>
      </c>
      <c r="Q17">
        <f t="shared" si="5"/>
        <v>2063.0051639999997</v>
      </c>
      <c r="R17">
        <f t="shared" si="6"/>
        <v>0.21914417491317087</v>
      </c>
      <c r="S17">
        <f t="shared" si="7"/>
        <v>19.746301617699295</v>
      </c>
      <c r="T17">
        <f t="shared" si="3"/>
        <v>20</v>
      </c>
    </row>
    <row r="18" spans="1:20" x14ac:dyDescent="0.35">
      <c r="A18" s="10" t="s">
        <v>47</v>
      </c>
      <c r="B18" t="s">
        <v>48</v>
      </c>
      <c r="C18">
        <v>1356.9904011000001</v>
      </c>
      <c r="D18" s="11" t="s">
        <v>49</v>
      </c>
      <c r="E18">
        <v>37.29</v>
      </c>
      <c r="F18" s="12">
        <v>39876626838</v>
      </c>
      <c r="G18" s="13">
        <f t="shared" si="0"/>
        <v>4.7321381125787862</v>
      </c>
      <c r="H18" s="13">
        <f t="shared" si="9"/>
        <v>340.01190365043044</v>
      </c>
      <c r="I18" s="13">
        <f t="shared" si="2"/>
        <v>8.9275379009487512</v>
      </c>
      <c r="K18" s="14" t="s">
        <v>50</v>
      </c>
      <c r="L18">
        <v>72</v>
      </c>
      <c r="M18">
        <v>140</v>
      </c>
      <c r="N18">
        <v>0</v>
      </c>
      <c r="O18">
        <v>17</v>
      </c>
      <c r="P18">
        <v>2</v>
      </c>
      <c r="Q18">
        <f t="shared" si="5"/>
        <v>2088.0350039999998</v>
      </c>
      <c r="R18">
        <f t="shared" si="6"/>
        <v>0.16283822014433549</v>
      </c>
      <c r="S18">
        <f t="shared" si="7"/>
        <v>14.672772439118631</v>
      </c>
      <c r="T18">
        <f t="shared" si="3"/>
        <v>15</v>
      </c>
    </row>
    <row r="19" spans="1:20" x14ac:dyDescent="0.35">
      <c r="A19" s="10" t="s">
        <v>51</v>
      </c>
      <c r="B19" t="s">
        <v>52</v>
      </c>
      <c r="C19">
        <v>1371.0060512</v>
      </c>
      <c r="D19" s="11" t="s">
        <v>53</v>
      </c>
      <c r="E19">
        <v>38.36</v>
      </c>
      <c r="F19" s="12">
        <v>64422389202</v>
      </c>
      <c r="G19" s="13">
        <f t="shared" si="0"/>
        <v>7.6449706863284481</v>
      </c>
      <c r="H19" s="13">
        <f t="shared" si="9"/>
        <v>549.30371315678622</v>
      </c>
      <c r="I19" s="13">
        <f t="shared" si="2"/>
        <v>14.422817747524711</v>
      </c>
      <c r="K19" s="14" t="s">
        <v>54</v>
      </c>
      <c r="L19">
        <v>73</v>
      </c>
      <c r="M19">
        <v>142</v>
      </c>
      <c r="N19">
        <v>0</v>
      </c>
      <c r="O19">
        <v>17</v>
      </c>
      <c r="P19">
        <v>2</v>
      </c>
      <c r="Q19">
        <f t="shared" si="5"/>
        <v>2113.064844</v>
      </c>
      <c r="R19">
        <f t="shared" si="6"/>
        <v>0.25995591887135966</v>
      </c>
      <c r="S19">
        <f t="shared" si="7"/>
        <v>23.423702607536324</v>
      </c>
      <c r="T19">
        <f t="shared" si="3"/>
        <v>23</v>
      </c>
    </row>
    <row r="20" spans="1:20" x14ac:dyDescent="0.35">
      <c r="A20" s="10" t="s">
        <v>55</v>
      </c>
      <c r="B20" t="s">
        <v>56</v>
      </c>
      <c r="C20">
        <v>1385.0217012000001</v>
      </c>
      <c r="D20" s="11" t="s">
        <v>57</v>
      </c>
      <c r="E20">
        <v>39.58</v>
      </c>
      <c r="F20" s="12">
        <v>40262312072</v>
      </c>
      <c r="G20" s="13">
        <f t="shared" si="0"/>
        <v>4.7779071743072228</v>
      </c>
      <c r="H20" s="13">
        <f t="shared" si="9"/>
        <v>343.30048598601644</v>
      </c>
      <c r="I20" s="13">
        <f t="shared" si="2"/>
        <v>9.0138847115342973</v>
      </c>
      <c r="K20" s="14" t="s">
        <v>58</v>
      </c>
      <c r="L20">
        <v>74</v>
      </c>
      <c r="M20">
        <v>144</v>
      </c>
      <c r="N20">
        <v>0</v>
      </c>
      <c r="O20">
        <v>17</v>
      </c>
      <c r="P20">
        <v>2</v>
      </c>
      <c r="Q20">
        <f t="shared" si="5"/>
        <v>2138.0946840000001</v>
      </c>
      <c r="R20">
        <f t="shared" si="6"/>
        <v>0.16056374329679424</v>
      </c>
      <c r="S20">
        <f t="shared" si="7"/>
        <v>14.467827425764668</v>
      </c>
      <c r="T20">
        <f t="shared" si="3"/>
        <v>14</v>
      </c>
    </row>
    <row r="21" spans="1:20" x14ac:dyDescent="0.35">
      <c r="A21" s="10" t="s">
        <v>59</v>
      </c>
      <c r="B21" t="s">
        <v>60</v>
      </c>
      <c r="C21">
        <v>1399.0373513</v>
      </c>
      <c r="D21" s="11" t="s">
        <v>61</v>
      </c>
      <c r="E21">
        <v>41.3</v>
      </c>
      <c r="F21" s="12">
        <v>40930559205</v>
      </c>
      <c r="G21" s="13">
        <f t="shared" si="0"/>
        <v>4.8572077064093362</v>
      </c>
      <c r="H21" s="13">
        <f t="shared" si="9"/>
        <v>348.99835959812833</v>
      </c>
      <c r="I21" s="13">
        <f t="shared" si="2"/>
        <v>9.1634911873100471</v>
      </c>
      <c r="K21" s="14" t="s">
        <v>62</v>
      </c>
      <c r="L21">
        <v>75</v>
      </c>
      <c r="M21">
        <v>146</v>
      </c>
      <c r="N21">
        <v>0</v>
      </c>
      <c r="O21">
        <v>17</v>
      </c>
      <c r="P21">
        <v>2</v>
      </c>
      <c r="Q21">
        <f t="shared" si="5"/>
        <v>2163.1245240000003</v>
      </c>
      <c r="R21">
        <f>H21/Q21</f>
        <v>0.16133993014547704</v>
      </c>
      <c r="S21">
        <f t="shared" si="7"/>
        <v>14.537766860074772</v>
      </c>
      <c r="T21">
        <f t="shared" si="3"/>
        <v>15</v>
      </c>
    </row>
    <row r="22" spans="1:20" x14ac:dyDescent="0.35">
      <c r="A22" s="10" t="s">
        <v>63</v>
      </c>
      <c r="B22" t="s">
        <v>64</v>
      </c>
      <c r="C22">
        <v>1413.0530014000001</v>
      </c>
      <c r="D22" s="11" t="s">
        <v>65</v>
      </c>
      <c r="E22">
        <v>42.35</v>
      </c>
      <c r="F22" s="12">
        <v>9784496509</v>
      </c>
      <c r="G22" s="13">
        <f t="shared" si="0"/>
        <v>1.1611210002976073</v>
      </c>
      <c r="H22" s="13">
        <f t="shared" si="9"/>
        <v>83.42845290805289</v>
      </c>
      <c r="I22" s="13">
        <f t="shared" si="2"/>
        <v>2.1905429408727621</v>
      </c>
      <c r="K22" s="14" t="s">
        <v>66</v>
      </c>
      <c r="L22">
        <v>76</v>
      </c>
      <c r="M22">
        <v>148</v>
      </c>
      <c r="N22">
        <v>0</v>
      </c>
      <c r="O22">
        <v>17</v>
      </c>
      <c r="P22">
        <v>2</v>
      </c>
      <c r="Q22">
        <f t="shared" si="5"/>
        <v>2188.154364</v>
      </c>
      <c r="R22">
        <f t="shared" si="6"/>
        <v>3.8127316006876057E-2</v>
      </c>
      <c r="S22">
        <f t="shared" si="7"/>
        <v>3.4355167416309924</v>
      </c>
      <c r="T22">
        <f t="shared" si="3"/>
        <v>3</v>
      </c>
    </row>
    <row r="23" spans="1:20" x14ac:dyDescent="0.35">
      <c r="A23" s="16" t="s">
        <v>67</v>
      </c>
      <c r="B23" s="17" t="s">
        <v>68</v>
      </c>
      <c r="C23" s="17">
        <v>1427.0686513999999</v>
      </c>
      <c r="D23" s="23" t="s">
        <v>69</v>
      </c>
      <c r="E23" s="17">
        <v>43.57</v>
      </c>
      <c r="F23" s="19">
        <v>5708915731</v>
      </c>
      <c r="G23" s="20">
        <f t="shared" si="0"/>
        <v>0.6774739955291722</v>
      </c>
      <c r="H23" s="20">
        <f t="shared" si="9"/>
        <v>48.677620435724748</v>
      </c>
      <c r="I23" s="20">
        <f>(H23/H$2)*100</f>
        <v>1.2781061389389388</v>
      </c>
      <c r="J23" s="17"/>
      <c r="K23" s="21" t="s">
        <v>70</v>
      </c>
      <c r="L23">
        <v>77</v>
      </c>
      <c r="M23">
        <v>150</v>
      </c>
      <c r="N23">
        <v>0</v>
      </c>
      <c r="O23">
        <v>17</v>
      </c>
      <c r="P23">
        <v>2</v>
      </c>
      <c r="Q23">
        <f t="shared" si="5"/>
        <v>2213.1842040000001</v>
      </c>
      <c r="R23">
        <f t="shared" si="6"/>
        <v>2.1994382730433019E-2</v>
      </c>
      <c r="S23">
        <f t="shared" si="7"/>
        <v>1.9818355448522784</v>
      </c>
      <c r="T23">
        <f>ROUND(S23,0)</f>
        <v>2</v>
      </c>
    </row>
    <row r="24" spans="1:20" x14ac:dyDescent="0.35">
      <c r="A24" s="10" t="s">
        <v>98</v>
      </c>
      <c r="B24" t="s">
        <v>99</v>
      </c>
      <c r="C24" t="s">
        <v>100</v>
      </c>
      <c r="D24" s="11" t="s">
        <v>100</v>
      </c>
      <c r="E24" t="s">
        <v>100</v>
      </c>
      <c r="F24" s="12" t="s">
        <v>100</v>
      </c>
      <c r="G24" s="13" t="s">
        <v>100</v>
      </c>
      <c r="H24" s="13">
        <f>0.02*H25</f>
        <v>74.677925151889426</v>
      </c>
      <c r="I24" s="20">
        <f>(H24/H$2)*100</f>
        <v>1.9607843137254906</v>
      </c>
      <c r="K24" s="14" t="s">
        <v>101</v>
      </c>
      <c r="L24">
        <v>64</v>
      </c>
      <c r="M24">
        <v>64</v>
      </c>
      <c r="N24">
        <v>0</v>
      </c>
      <c r="O24">
        <v>2</v>
      </c>
      <c r="P24">
        <v>0</v>
      </c>
      <c r="Q24">
        <f t="shared" si="5"/>
        <v>865.20375999999999</v>
      </c>
      <c r="R24">
        <f>H24/Q24</f>
        <v>8.6312529607926611E-2</v>
      </c>
      <c r="S24">
        <f>(R24/$R$2)*200</f>
        <v>7.7773148371386878</v>
      </c>
      <c r="T24">
        <f>ROUND(S24,0)</f>
        <v>8</v>
      </c>
    </row>
    <row r="25" spans="1:20" x14ac:dyDescent="0.35">
      <c r="H25" s="13">
        <f>SUM(H3:H23)</f>
        <v>3733.8962575944711</v>
      </c>
      <c r="I25" s="13">
        <f>SUM(I3:I24)</f>
        <v>100.00000000000001</v>
      </c>
      <c r="T25">
        <f>SUM(T3:T24)</f>
        <v>199</v>
      </c>
    </row>
    <row r="26" spans="1:20" x14ac:dyDescent="0.35">
      <c r="A26" s="2" t="s">
        <v>71</v>
      </c>
      <c r="B26" s="2" t="s">
        <v>72</v>
      </c>
    </row>
    <row r="27" spans="1:20" x14ac:dyDescent="0.35">
      <c r="A27" t="s">
        <v>73</v>
      </c>
      <c r="B27">
        <v>32105690</v>
      </c>
      <c r="M27" t="s">
        <v>86</v>
      </c>
      <c r="N27">
        <f>ROUND(SUM(S3,S5,S7,S8,S9),0)</f>
        <v>32</v>
      </c>
      <c r="O27" t="s">
        <v>87</v>
      </c>
      <c r="P27" t="s">
        <v>88</v>
      </c>
    </row>
    <row r="28" spans="1:20" x14ac:dyDescent="0.35">
      <c r="A28" t="s">
        <v>74</v>
      </c>
      <c r="B28">
        <v>1274388070</v>
      </c>
      <c r="M28" t="s">
        <v>89</v>
      </c>
      <c r="N28">
        <f>ROUND(SUM(S4,S6),0)</f>
        <v>0</v>
      </c>
      <c r="O28" t="s">
        <v>90</v>
      </c>
      <c r="P28" t="s">
        <v>88</v>
      </c>
    </row>
    <row r="29" spans="1:20" x14ac:dyDescent="0.35">
      <c r="A29" t="s">
        <v>75</v>
      </c>
      <c r="B29">
        <v>117280090.52</v>
      </c>
      <c r="L29" t="s">
        <v>103</v>
      </c>
      <c r="M29" t="s">
        <v>91</v>
      </c>
      <c r="N29">
        <f>ROUND(SUM(S10:S16),0)+1</f>
        <v>68</v>
      </c>
      <c r="O29" t="s">
        <v>92</v>
      </c>
      <c r="P29" t="s">
        <v>93</v>
      </c>
    </row>
    <row r="30" spans="1:20" x14ac:dyDescent="0.35">
      <c r="M30" t="s">
        <v>94</v>
      </c>
      <c r="N30">
        <f>ROUND(SUM(S17:S23),0)</f>
        <v>92</v>
      </c>
      <c r="O30" t="s">
        <v>95</v>
      </c>
      <c r="P30" t="s">
        <v>96</v>
      </c>
    </row>
    <row r="31" spans="1:20" x14ac:dyDescent="0.35">
      <c r="A31" s="15"/>
      <c r="B31" t="s">
        <v>76</v>
      </c>
      <c r="M31" t="s">
        <v>102</v>
      </c>
      <c r="N31">
        <f>ROUND(S24,0)</f>
        <v>8</v>
      </c>
      <c r="O31" t="s">
        <v>104</v>
      </c>
      <c r="P31" t="s">
        <v>105</v>
      </c>
    </row>
    <row r="32" spans="1:20" x14ac:dyDescent="0.35">
      <c r="A32" s="11"/>
      <c r="B32" t="s">
        <v>77</v>
      </c>
      <c r="M32" t="s">
        <v>97</v>
      </c>
      <c r="N32" t="b">
        <f>IF(SUM(N27:N31)=200,TRUE,FALSE)</f>
        <v>1</v>
      </c>
    </row>
    <row r="33" spans="12:15" x14ac:dyDescent="0.35">
      <c r="N33">
        <f>SUM(N27:N31)</f>
        <v>200</v>
      </c>
    </row>
    <row r="34" spans="12:15" x14ac:dyDescent="0.35">
      <c r="L34" s="2" t="s">
        <v>114</v>
      </c>
      <c r="M34" s="2" t="s">
        <v>117</v>
      </c>
      <c r="N34" s="2" t="s">
        <v>126</v>
      </c>
      <c r="O34" s="26" t="s">
        <v>140</v>
      </c>
    </row>
    <row r="35" spans="12:15" x14ac:dyDescent="0.35">
      <c r="L35" t="s">
        <v>107</v>
      </c>
      <c r="M35" s="25" t="s">
        <v>108</v>
      </c>
    </row>
    <row r="36" spans="12:15" x14ac:dyDescent="0.35">
      <c r="L36" t="s">
        <v>109</v>
      </c>
      <c r="M36" s="25" t="s">
        <v>118</v>
      </c>
    </row>
    <row r="37" spans="12:15" x14ac:dyDescent="0.35">
      <c r="L37" t="s">
        <v>110</v>
      </c>
      <c r="M37" s="25" t="s">
        <v>113</v>
      </c>
    </row>
    <row r="38" spans="12:15" x14ac:dyDescent="0.35">
      <c r="L38" t="s">
        <v>111</v>
      </c>
      <c r="M38" s="25" t="s">
        <v>112</v>
      </c>
    </row>
    <row r="39" spans="12:15" x14ac:dyDescent="0.35">
      <c r="L39" t="s">
        <v>115</v>
      </c>
      <c r="M39" s="2" t="s">
        <v>116</v>
      </c>
    </row>
    <row r="40" spans="12:15" x14ac:dyDescent="0.35">
      <c r="L40" s="2" t="s">
        <v>125</v>
      </c>
      <c r="M40" s="2" t="s">
        <v>117</v>
      </c>
    </row>
    <row r="41" spans="12:15" x14ac:dyDescent="0.35">
      <c r="L41" t="s">
        <v>119</v>
      </c>
      <c r="M41" s="25" t="s">
        <v>120</v>
      </c>
    </row>
    <row r="42" spans="12:15" x14ac:dyDescent="0.35">
      <c r="L42" t="s">
        <v>121</v>
      </c>
      <c r="M42" s="25" t="s">
        <v>122</v>
      </c>
    </row>
    <row r="43" spans="12:15" x14ac:dyDescent="0.35">
      <c r="L43" t="s">
        <v>123</v>
      </c>
      <c r="M43" s="2" t="s">
        <v>116</v>
      </c>
    </row>
    <row r="44" spans="12:15" x14ac:dyDescent="0.35">
      <c r="L44" s="2" t="s">
        <v>124</v>
      </c>
      <c r="M44" s="2" t="s">
        <v>117</v>
      </c>
    </row>
    <row r="45" spans="12:15" x14ac:dyDescent="0.35">
      <c r="L45" t="s">
        <v>127</v>
      </c>
      <c r="M45" s="27" t="s">
        <v>128</v>
      </c>
    </row>
    <row r="46" spans="12:15" x14ac:dyDescent="0.35">
      <c r="L46" s="2" t="s">
        <v>129</v>
      </c>
      <c r="M46" s="2" t="s">
        <v>117</v>
      </c>
    </row>
    <row r="47" spans="12:15" x14ac:dyDescent="0.35">
      <c r="L47" t="s">
        <v>130</v>
      </c>
      <c r="M47" s="25" t="s">
        <v>131</v>
      </c>
    </row>
    <row r="48" spans="12:15" x14ac:dyDescent="0.35">
      <c r="L48" t="s">
        <v>132</v>
      </c>
      <c r="M48" s="25" t="s">
        <v>133</v>
      </c>
    </row>
    <row r="49" spans="12:13" x14ac:dyDescent="0.35">
      <c r="L49" t="s">
        <v>134</v>
      </c>
      <c r="M49" s="25" t="s">
        <v>135</v>
      </c>
    </row>
    <row r="50" spans="12:13" x14ac:dyDescent="0.35">
      <c r="L50" t="s">
        <v>136</v>
      </c>
      <c r="M50" s="25" t="s">
        <v>137</v>
      </c>
    </row>
    <row r="51" spans="12:13" x14ac:dyDescent="0.35">
      <c r="L51" t="s">
        <v>138</v>
      </c>
      <c r="M51" s="25" t="s">
        <v>139</v>
      </c>
    </row>
  </sheetData>
  <mergeCells count="2">
    <mergeCell ref="F1:G1"/>
    <mergeCell ref="H1:I1"/>
  </mergeCells>
  <conditionalFormatting sqref="G3:G24 I3:I24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</vt:lpstr>
      <vt:lpstr>Dominant lipids_7.5</vt:lpstr>
      <vt:lpstr>10.5</vt:lpstr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Bale</dc:creator>
  <cp:lastModifiedBy>Sam de Jong - TNW</cp:lastModifiedBy>
  <dcterms:created xsi:type="dcterms:W3CDTF">2023-04-25T08:29:05Z</dcterms:created>
  <dcterms:modified xsi:type="dcterms:W3CDTF">2023-09-27T11:56:18Z</dcterms:modified>
</cp:coreProperties>
</file>