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19420" windowHeight="11020"/>
  </bookViews>
  <sheets>
    <sheet name="risk assessment" sheetId="9" r:id="rId1"/>
    <sheet name="sensitivity analysis" sheetId="10" r:id="rId2"/>
  </sheets>
  <calcPr calcId="145621"/>
</workbook>
</file>

<file path=xl/calcChain.xml><?xml version="1.0" encoding="utf-8"?>
<calcChain xmlns="http://schemas.openxmlformats.org/spreadsheetml/2006/main">
  <c r="G27" i="9" l="1"/>
  <c r="C29" i="9" s="1"/>
  <c r="F29" i="9" l="1"/>
  <c r="D29" i="9"/>
  <c r="B29" i="9"/>
  <c r="E29" i="9"/>
  <c r="O37" i="9"/>
  <c r="P37" i="9"/>
  <c r="Q37" i="9"/>
  <c r="R37" i="9"/>
  <c r="O33" i="9"/>
  <c r="P33" i="9"/>
  <c r="Q33" i="9"/>
  <c r="R33" i="9"/>
  <c r="P32" i="9"/>
  <c r="O32" i="9"/>
  <c r="R32" i="9"/>
  <c r="Q32" i="9"/>
  <c r="M37" i="9" l="1"/>
  <c r="M32" i="9"/>
  <c r="N32" i="9"/>
  <c r="N33" i="9"/>
  <c r="N37" i="9"/>
  <c r="M33" i="9"/>
  <c r="S4" i="9"/>
  <c r="S5" i="9"/>
  <c r="S6" i="9"/>
  <c r="S7" i="9"/>
  <c r="S8" i="9"/>
  <c r="S9" i="9"/>
  <c r="S10" i="9"/>
  <c r="S11" i="9"/>
  <c r="S12" i="9"/>
  <c r="S13" i="9"/>
  <c r="S14" i="9"/>
  <c r="S15" i="9"/>
  <c r="S16" i="9"/>
  <c r="S17" i="9"/>
  <c r="S18" i="9"/>
  <c r="S19" i="9"/>
  <c r="S20" i="9"/>
  <c r="S21" i="9"/>
  <c r="S3" i="9"/>
  <c r="L19" i="9"/>
  <c r="L21" i="9"/>
  <c r="G18" i="9"/>
  <c r="G14" i="9"/>
  <c r="J8" i="9"/>
  <c r="I5" i="9"/>
  <c r="E23" i="9"/>
  <c r="J6" i="9" s="1"/>
  <c r="D23" i="9"/>
  <c r="I20" i="9" s="1"/>
  <c r="C23" i="9"/>
  <c r="H8" i="9" s="1"/>
  <c r="B23" i="9"/>
  <c r="G16" i="9" s="1"/>
  <c r="A23" i="9"/>
  <c r="F18" i="9" s="1"/>
  <c r="H5" i="9" l="1"/>
  <c r="H9" i="9"/>
  <c r="I9" i="9"/>
  <c r="G3" i="9"/>
  <c r="L3" i="9" s="1"/>
  <c r="N3" i="9" s="1"/>
  <c r="F7" i="9"/>
  <c r="H10" i="9"/>
  <c r="I14" i="9"/>
  <c r="I18" i="9"/>
  <c r="H15" i="9"/>
  <c r="H17" i="9"/>
  <c r="H14" i="9"/>
  <c r="H3" i="9"/>
  <c r="J20" i="9"/>
  <c r="I3" i="9"/>
  <c r="I7" i="9"/>
  <c r="L7" i="9" s="1"/>
  <c r="P7" i="9" s="1"/>
  <c r="H12" i="9"/>
  <c r="H16" i="9"/>
  <c r="H13" i="9"/>
  <c r="H18" i="9"/>
  <c r="H11" i="9"/>
  <c r="J3" i="9"/>
  <c r="J7" i="9"/>
  <c r="I12" i="9"/>
  <c r="I16" i="9"/>
  <c r="L16" i="9" s="1"/>
  <c r="J5" i="9"/>
  <c r="H7" i="9"/>
  <c r="F5" i="9"/>
  <c r="I8" i="9"/>
  <c r="J12" i="9"/>
  <c r="J16" i="9"/>
  <c r="G5" i="9"/>
  <c r="G7" i="9"/>
  <c r="G10" i="9"/>
  <c r="F11" i="9"/>
  <c r="P21" i="9"/>
  <c r="O21" i="9"/>
  <c r="N21" i="9"/>
  <c r="R21" i="9"/>
  <c r="G9" i="9"/>
  <c r="G11" i="9"/>
  <c r="G13" i="9"/>
  <c r="G15" i="9"/>
  <c r="G17" i="9"/>
  <c r="J18" i="9"/>
  <c r="H6" i="9"/>
  <c r="F8" i="9"/>
  <c r="J9" i="9"/>
  <c r="I11" i="9"/>
  <c r="I13" i="9"/>
  <c r="I15" i="9"/>
  <c r="I17" i="9"/>
  <c r="G20" i="9"/>
  <c r="Q21" i="9"/>
  <c r="G4" i="9"/>
  <c r="Q19" i="9"/>
  <c r="P19" i="9"/>
  <c r="N19" i="9"/>
  <c r="R19" i="9"/>
  <c r="H4" i="9"/>
  <c r="I4" i="9"/>
  <c r="I6" i="9"/>
  <c r="G8" i="9"/>
  <c r="J10" i="9"/>
  <c r="J11" i="9"/>
  <c r="J13" i="9"/>
  <c r="J15" i="9"/>
  <c r="J17" i="9"/>
  <c r="H20" i="9"/>
  <c r="O19" i="9"/>
  <c r="F20" i="9"/>
  <c r="J4" i="9"/>
  <c r="I10" i="9"/>
  <c r="G12" i="9"/>
  <c r="F14" i="9"/>
  <c r="N16" i="9" l="1"/>
  <c r="P16" i="9"/>
  <c r="P48" i="9"/>
  <c r="V7" i="9"/>
  <c r="L14" i="9"/>
  <c r="N62" i="9"/>
  <c r="T21" i="9"/>
  <c r="O16" i="9"/>
  <c r="L12" i="9"/>
  <c r="O60" i="9"/>
  <c r="U19" i="9"/>
  <c r="Q13" i="9"/>
  <c r="P57" i="9"/>
  <c r="V16" i="9"/>
  <c r="Q7" i="9"/>
  <c r="O62" i="9"/>
  <c r="U21" i="9"/>
  <c r="N44" i="9"/>
  <c r="T3" i="9"/>
  <c r="P3" i="9"/>
  <c r="N57" i="9"/>
  <c r="T16" i="9"/>
  <c r="P20" i="9"/>
  <c r="L4" i="9"/>
  <c r="N4" i="9" s="1"/>
  <c r="P62" i="9"/>
  <c r="V21" i="9"/>
  <c r="Q16" i="9"/>
  <c r="N7" i="9"/>
  <c r="R18" i="9"/>
  <c r="R3" i="9"/>
  <c r="L20" i="9"/>
  <c r="R60" i="9"/>
  <c r="X19" i="9"/>
  <c r="L8" i="9"/>
  <c r="N8" i="9" s="1"/>
  <c r="L17" i="9"/>
  <c r="O17" i="9" s="1"/>
  <c r="L9" i="9"/>
  <c r="R9" i="9" s="1"/>
  <c r="O9" i="9"/>
  <c r="R16" i="9"/>
  <c r="L18" i="9"/>
  <c r="R13" i="9"/>
  <c r="N60" i="9"/>
  <c r="T19" i="9"/>
  <c r="Q62" i="9"/>
  <c r="W21" i="9"/>
  <c r="L6" i="9"/>
  <c r="Q6" i="9" s="1"/>
  <c r="L15" i="9"/>
  <c r="O15" i="9" s="1"/>
  <c r="Q3" i="9"/>
  <c r="L10" i="9"/>
  <c r="R10" i="9" s="1"/>
  <c r="O3" i="9"/>
  <c r="R7" i="9"/>
  <c r="R11" i="9"/>
  <c r="P60" i="9"/>
  <c r="V19" i="9"/>
  <c r="L13" i="9"/>
  <c r="L11" i="9"/>
  <c r="P11" i="9" s="1"/>
  <c r="Q60" i="9"/>
  <c r="W19" i="9"/>
  <c r="Q17" i="9"/>
  <c r="R62" i="9"/>
  <c r="X21" i="9"/>
  <c r="O7" i="9"/>
  <c r="L5" i="9"/>
  <c r="S62" i="9" l="1"/>
  <c r="P4" i="9"/>
  <c r="Q11" i="9"/>
  <c r="Q52" i="9" s="1"/>
  <c r="Q47" i="9"/>
  <c r="W6" i="9"/>
  <c r="O58" i="9"/>
  <c r="U17" i="9"/>
  <c r="N15" i="9"/>
  <c r="P15" i="9"/>
  <c r="R54" i="9"/>
  <c r="X13" i="9"/>
  <c r="R8" i="9"/>
  <c r="P8" i="9"/>
  <c r="Q8" i="9"/>
  <c r="R44" i="9"/>
  <c r="X3" i="9"/>
  <c r="P44" i="9"/>
  <c r="V3" i="9"/>
  <c r="Q54" i="9"/>
  <c r="W13" i="9"/>
  <c r="Y21" i="9"/>
  <c r="AG21" i="9" s="1"/>
  <c r="AL21" i="9"/>
  <c r="O56" i="9"/>
  <c r="U15" i="9"/>
  <c r="P45" i="9"/>
  <c r="V4" i="9"/>
  <c r="N49" i="9"/>
  <c r="T8" i="9"/>
  <c r="R59" i="9"/>
  <c r="X18" i="9"/>
  <c r="N45" i="9"/>
  <c r="T4" i="9"/>
  <c r="P5" i="9"/>
  <c r="Q5" i="9"/>
  <c r="N5" i="9"/>
  <c r="R5" i="9"/>
  <c r="R51" i="9"/>
  <c r="X10" i="9"/>
  <c r="R52" i="9"/>
  <c r="X11" i="9"/>
  <c r="N6" i="9"/>
  <c r="O6" i="9"/>
  <c r="R6" i="9"/>
  <c r="O18" i="9"/>
  <c r="N18" i="9"/>
  <c r="Q18" i="9"/>
  <c r="P18" i="9"/>
  <c r="R50" i="9"/>
  <c r="X9" i="9"/>
  <c r="O4" i="9"/>
  <c r="Q15" i="9"/>
  <c r="O48" i="9"/>
  <c r="U7" i="9"/>
  <c r="P52" i="9"/>
  <c r="V11" i="9"/>
  <c r="R48" i="9"/>
  <c r="X7" i="9"/>
  <c r="P6" i="9"/>
  <c r="R57" i="9"/>
  <c r="X16" i="9"/>
  <c r="R4" i="9"/>
  <c r="Q4" i="9"/>
  <c r="O8" i="9"/>
  <c r="BF21" i="9"/>
  <c r="N11" i="9"/>
  <c r="O44" i="9"/>
  <c r="U3" i="9"/>
  <c r="O50" i="9"/>
  <c r="U9" i="9"/>
  <c r="R15" i="9"/>
  <c r="N48" i="9"/>
  <c r="T7" i="9"/>
  <c r="P61" i="9"/>
  <c r="V20" i="9"/>
  <c r="N12" i="9"/>
  <c r="R12" i="9"/>
  <c r="Q12" i="9"/>
  <c r="P12" i="9"/>
  <c r="R14" i="9"/>
  <c r="Q14" i="9"/>
  <c r="O14" i="9"/>
  <c r="P14" i="9"/>
  <c r="N13" i="9"/>
  <c r="P13" i="9"/>
  <c r="N10" i="9"/>
  <c r="P10" i="9"/>
  <c r="N9" i="9"/>
  <c r="Q9" i="9"/>
  <c r="P9" i="9"/>
  <c r="R20" i="9"/>
  <c r="Q20" i="9"/>
  <c r="Q57" i="9"/>
  <c r="W16" i="9"/>
  <c r="Q10" i="9"/>
  <c r="Q48" i="9"/>
  <c r="W7" i="9"/>
  <c r="O12" i="9"/>
  <c r="N14" i="9"/>
  <c r="O11" i="9"/>
  <c r="O13" i="9"/>
  <c r="O10" i="9"/>
  <c r="Y19" i="9"/>
  <c r="AR19" i="9" s="1"/>
  <c r="N20" i="9"/>
  <c r="O57" i="9"/>
  <c r="S57" i="9" s="1"/>
  <c r="U16" i="9"/>
  <c r="Y16" i="9" s="1"/>
  <c r="AV21" i="9"/>
  <c r="Q58" i="9"/>
  <c r="W17" i="9"/>
  <c r="O20" i="9"/>
  <c r="Q44" i="9"/>
  <c r="W3" i="9"/>
  <c r="S60" i="9"/>
  <c r="N17" i="9"/>
  <c r="P17" i="9"/>
  <c r="R17" i="9"/>
  <c r="O5" i="9"/>
  <c r="BB21" i="9" l="1"/>
  <c r="AR21" i="9"/>
  <c r="AB21" i="9"/>
  <c r="AE21" i="9"/>
  <c r="BD21" i="9"/>
  <c r="AX21" i="9"/>
  <c r="AT21" i="9"/>
  <c r="AH21" i="9"/>
  <c r="W11" i="9"/>
  <c r="AN19" i="9"/>
  <c r="BB19" i="9"/>
  <c r="S44" i="9"/>
  <c r="BG7" i="9"/>
  <c r="AN7" i="9"/>
  <c r="BA7" i="9"/>
  <c r="Q50" i="9"/>
  <c r="W9" i="9"/>
  <c r="O55" i="9"/>
  <c r="U14" i="9"/>
  <c r="AS3" i="9"/>
  <c r="AY3" i="9"/>
  <c r="BI7" i="9"/>
  <c r="AZ7" i="9"/>
  <c r="BD7" i="9"/>
  <c r="O45" i="9"/>
  <c r="U4" i="9"/>
  <c r="O47" i="9"/>
  <c r="U6" i="9"/>
  <c r="Q46" i="9"/>
  <c r="W5" i="9"/>
  <c r="P56" i="9"/>
  <c r="V15" i="9"/>
  <c r="AP16" i="9"/>
  <c r="AC16" i="9"/>
  <c r="AA16" i="9"/>
  <c r="AT16" i="9"/>
  <c r="AJ16" i="9"/>
  <c r="AK16" i="9"/>
  <c r="AM16" i="9"/>
  <c r="AG16" i="9"/>
  <c r="BE16" i="9"/>
  <c r="AI16" i="9"/>
  <c r="BB16" i="9"/>
  <c r="N50" i="9"/>
  <c r="T9" i="9"/>
  <c r="Q55" i="9"/>
  <c r="W14" i="9"/>
  <c r="Y7" i="9"/>
  <c r="AW7" i="9" s="1"/>
  <c r="AI7" i="9"/>
  <c r="AP7" i="9"/>
  <c r="AF7" i="9"/>
  <c r="AM7" i="9"/>
  <c r="AO7" i="9"/>
  <c r="AL7" i="9"/>
  <c r="AJ7" i="9"/>
  <c r="N47" i="9"/>
  <c r="T6" i="9"/>
  <c r="P46" i="9"/>
  <c r="V5" i="9"/>
  <c r="AE3" i="9"/>
  <c r="AO3" i="9"/>
  <c r="AZ3" i="9"/>
  <c r="BF3" i="9"/>
  <c r="N56" i="9"/>
  <c r="T15" i="9"/>
  <c r="O46" i="9"/>
  <c r="U5" i="9"/>
  <c r="Q51" i="9"/>
  <c r="W10" i="9"/>
  <c r="P51" i="9"/>
  <c r="V10" i="9"/>
  <c r="R55" i="9"/>
  <c r="X14" i="9"/>
  <c r="S48" i="9"/>
  <c r="N52" i="9"/>
  <c r="T11" i="9"/>
  <c r="Y3" i="9"/>
  <c r="AH3" i="9" s="1"/>
  <c r="BG21" i="9"/>
  <c r="BE21" i="9"/>
  <c r="AY21" i="9"/>
  <c r="BA21" i="9"/>
  <c r="BH21" i="9"/>
  <c r="AD21" i="9"/>
  <c r="AK21" i="9"/>
  <c r="AO21" i="9"/>
  <c r="AQ21" i="9"/>
  <c r="AJ21" i="9"/>
  <c r="AU21" i="9"/>
  <c r="AM21" i="9"/>
  <c r="AZ21" i="9"/>
  <c r="AW21" i="9"/>
  <c r="O51" i="9"/>
  <c r="U10" i="9"/>
  <c r="AD16" i="9"/>
  <c r="BG16" i="9"/>
  <c r="BA16" i="9"/>
  <c r="AW16" i="9"/>
  <c r="BC16" i="9"/>
  <c r="AN16" i="9"/>
  <c r="BH16" i="9"/>
  <c r="AL16" i="9"/>
  <c r="N51" i="9"/>
  <c r="T10" i="9"/>
  <c r="P53" i="9"/>
  <c r="V12" i="9"/>
  <c r="R56" i="9"/>
  <c r="X15" i="9"/>
  <c r="Q45" i="9"/>
  <c r="S45" i="9" s="1"/>
  <c r="W4" i="9"/>
  <c r="P59" i="9"/>
  <c r="V18" i="9"/>
  <c r="Q49" i="9"/>
  <c r="W8" i="9"/>
  <c r="O61" i="9"/>
  <c r="U20" i="9"/>
  <c r="R58" i="9"/>
  <c r="X17" i="9"/>
  <c r="P54" i="9"/>
  <c r="V13" i="9"/>
  <c r="Q53" i="9"/>
  <c r="W12" i="9"/>
  <c r="R45" i="9"/>
  <c r="X4" i="9"/>
  <c r="AU7" i="9"/>
  <c r="AY7" i="9"/>
  <c r="AH7" i="9"/>
  <c r="AB7" i="9"/>
  <c r="AV7" i="9"/>
  <c r="AS7" i="9"/>
  <c r="AR7" i="9"/>
  <c r="AX7" i="9"/>
  <c r="Q59" i="9"/>
  <c r="W18" i="9"/>
  <c r="P49" i="9"/>
  <c r="V8" i="9"/>
  <c r="AD19" i="9"/>
  <c r="AD3" i="9"/>
  <c r="BH3" i="9"/>
  <c r="BC3" i="9"/>
  <c r="BG3" i="9"/>
  <c r="AW3" i="9"/>
  <c r="AN3" i="9"/>
  <c r="O52" i="9"/>
  <c r="U11" i="9"/>
  <c r="P58" i="9"/>
  <c r="V17" i="9"/>
  <c r="AC21" i="9"/>
  <c r="Q61" i="9"/>
  <c r="W20" i="9"/>
  <c r="N54" i="9"/>
  <c r="T13" i="9"/>
  <c r="R53" i="9"/>
  <c r="X12" i="9"/>
  <c r="BI21" i="9"/>
  <c r="AO16" i="9"/>
  <c r="BI16" i="9"/>
  <c r="BF16" i="9"/>
  <c r="BD16" i="9"/>
  <c r="AE16" i="9"/>
  <c r="AZ16" i="9"/>
  <c r="AQ16" i="9"/>
  <c r="N59" i="9"/>
  <c r="T18" i="9"/>
  <c r="AA21" i="9"/>
  <c r="BE3" i="9"/>
  <c r="BD3" i="9"/>
  <c r="BB3" i="9"/>
  <c r="AI3" i="9"/>
  <c r="AC3" i="9"/>
  <c r="AT3" i="9"/>
  <c r="AK3" i="9"/>
  <c r="BA3" i="9"/>
  <c r="R49" i="9"/>
  <c r="X8" i="9"/>
  <c r="BD19" i="9"/>
  <c r="O54" i="9"/>
  <c r="U13" i="9"/>
  <c r="N58" i="9"/>
  <c r="S58" i="9" s="1"/>
  <c r="T17" i="9"/>
  <c r="AS21" i="9"/>
  <c r="N61" i="9"/>
  <c r="T20" i="9"/>
  <c r="N55" i="9"/>
  <c r="T14" i="9"/>
  <c r="R61" i="9"/>
  <c r="X20" i="9"/>
  <c r="AI21" i="9"/>
  <c r="N53" i="9"/>
  <c r="T12" i="9"/>
  <c r="AN21" i="9"/>
  <c r="Q56" i="9"/>
  <c r="W15" i="9"/>
  <c r="O59" i="9"/>
  <c r="U18" i="9"/>
  <c r="R46" i="9"/>
  <c r="X5" i="9"/>
  <c r="AP21" i="9"/>
  <c r="AX16" i="9"/>
  <c r="AY16" i="9"/>
  <c r="AU16" i="9"/>
  <c r="AR16" i="9"/>
  <c r="AH16" i="9"/>
  <c r="AF16" i="9"/>
  <c r="AB16" i="9"/>
  <c r="AV16" i="9"/>
  <c r="AS16" i="9"/>
  <c r="AP19" i="9"/>
  <c r="AA19" i="9"/>
  <c r="BF19" i="9"/>
  <c r="AF19" i="9"/>
  <c r="AZ19" i="9"/>
  <c r="AM19" i="9"/>
  <c r="AS19" i="9"/>
  <c r="AX19" i="9"/>
  <c r="AV19" i="9"/>
  <c r="AG19" i="9"/>
  <c r="BI19" i="9"/>
  <c r="AH19" i="9"/>
  <c r="BG19" i="9"/>
  <c r="BE19" i="9"/>
  <c r="AC19" i="9"/>
  <c r="AE19" i="9"/>
  <c r="AQ19" i="9"/>
  <c r="BA19" i="9"/>
  <c r="BC19" i="9"/>
  <c r="AT19" i="9"/>
  <c r="AI19" i="9"/>
  <c r="AW19" i="9"/>
  <c r="AK19" i="9"/>
  <c r="AY19" i="9"/>
  <c r="AO19" i="9"/>
  <c r="AJ19" i="9"/>
  <c r="BH19" i="9"/>
  <c r="AB19" i="9"/>
  <c r="AU19" i="9"/>
  <c r="AL19" i="9"/>
  <c r="O53" i="9"/>
  <c r="U12" i="9"/>
  <c r="P50" i="9"/>
  <c r="V9" i="9"/>
  <c r="P55" i="9"/>
  <c r="V14" i="9"/>
  <c r="BC21" i="9"/>
  <c r="O49" i="9"/>
  <c r="U8" i="9"/>
  <c r="P47" i="9"/>
  <c r="V6" i="9"/>
  <c r="R47" i="9"/>
  <c r="S47" i="9" s="1"/>
  <c r="X6" i="9"/>
  <c r="N46" i="9"/>
  <c r="T5" i="9"/>
  <c r="AF21" i="9"/>
  <c r="S46" i="9" l="1"/>
  <c r="Y8" i="9"/>
  <c r="AG8" i="9" s="1"/>
  <c r="AQ7" i="9"/>
  <c r="S49" i="9"/>
  <c r="BI3" i="9"/>
  <c r="AG7" i="9"/>
  <c r="BF7" i="9"/>
  <c r="AP8" i="9"/>
  <c r="AL8" i="9"/>
  <c r="AM8" i="9"/>
  <c r="AJ8" i="9"/>
  <c r="AI8" i="9"/>
  <c r="AA8" i="9"/>
  <c r="AF8" i="9"/>
  <c r="Y13" i="9"/>
  <c r="AG13" i="9" s="1"/>
  <c r="BE8" i="9"/>
  <c r="BB8" i="9"/>
  <c r="BD8" i="9"/>
  <c r="AC8" i="9"/>
  <c r="BA8" i="9"/>
  <c r="AT8" i="9"/>
  <c r="S54" i="9"/>
  <c r="Y9" i="9"/>
  <c r="AO9" i="9" s="1"/>
  <c r="AP9" i="9"/>
  <c r="Y14" i="9"/>
  <c r="AG14" i="9" s="1"/>
  <c r="AF14" i="9"/>
  <c r="AO14" i="9"/>
  <c r="AH20" i="9"/>
  <c r="AS20" i="9"/>
  <c r="AV20" i="9"/>
  <c r="Y11" i="9"/>
  <c r="AA11" i="9" s="1"/>
  <c r="S50" i="9"/>
  <c r="AV3" i="9"/>
  <c r="S52" i="9"/>
  <c r="AU3" i="9"/>
  <c r="Y20" i="9"/>
  <c r="AN20" i="9" s="1"/>
  <c r="AG20" i="9"/>
  <c r="AI20" i="9"/>
  <c r="AO20" i="9"/>
  <c r="AA20" i="9"/>
  <c r="AP20" i="9"/>
  <c r="AJ20" i="9"/>
  <c r="AQ8" i="9"/>
  <c r="BI8" i="9"/>
  <c r="BF8" i="9"/>
  <c r="AZ8" i="9"/>
  <c r="AE8" i="9"/>
  <c r="Y18" i="9"/>
  <c r="AV18" i="9" s="1"/>
  <c r="AP18" i="9"/>
  <c r="AA18" i="9"/>
  <c r="AI18" i="9"/>
  <c r="AJ18" i="9"/>
  <c r="AL18" i="9"/>
  <c r="AM18" i="9"/>
  <c r="AO18" i="9"/>
  <c r="BC8" i="9"/>
  <c r="BH8" i="9"/>
  <c r="AD8" i="9"/>
  <c r="BG8" i="9"/>
  <c r="AW8" i="9"/>
  <c r="AN8" i="9"/>
  <c r="Y4" i="9"/>
  <c r="BD4" i="9" s="1"/>
  <c r="Y5" i="9"/>
  <c r="BC5" i="9" s="1"/>
  <c r="Y12" i="9"/>
  <c r="AC12" i="9" s="1"/>
  <c r="S61" i="9"/>
  <c r="S59" i="9"/>
  <c r="AC18" i="9"/>
  <c r="BD18" i="9"/>
  <c r="AK18" i="9"/>
  <c r="AT18" i="9"/>
  <c r="BA18" i="9"/>
  <c r="BB18" i="9"/>
  <c r="Y10" i="9"/>
  <c r="BG10" i="9" s="1"/>
  <c r="AJ10" i="9"/>
  <c r="AF10" i="9"/>
  <c r="AM10" i="9"/>
  <c r="AR10" i="9"/>
  <c r="AV10" i="9"/>
  <c r="AX10" i="9"/>
  <c r="AL3" i="9"/>
  <c r="AA3" i="9"/>
  <c r="AG3" i="9"/>
  <c r="AP3" i="9"/>
  <c r="AJ3" i="9"/>
  <c r="AM3" i="9"/>
  <c r="AQ14" i="9"/>
  <c r="BI14" i="9"/>
  <c r="Y15" i="9"/>
  <c r="BI15" i="9" s="1"/>
  <c r="AA15" i="9"/>
  <c r="AI15" i="9"/>
  <c r="AG15" i="9"/>
  <c r="AO15" i="9"/>
  <c r="AY4" i="9"/>
  <c r="AF3" i="9"/>
  <c r="AB3" i="9"/>
  <c r="AU12" i="9"/>
  <c r="AX8" i="9"/>
  <c r="AB8" i="9"/>
  <c r="AV8" i="9"/>
  <c r="AS8" i="9"/>
  <c r="AY8" i="9"/>
  <c r="AU8" i="9"/>
  <c r="AR8" i="9"/>
  <c r="AH8" i="9"/>
  <c r="AO8" i="9"/>
  <c r="S53" i="9"/>
  <c r="BB13" i="9"/>
  <c r="S51" i="9"/>
  <c r="AR17" i="9"/>
  <c r="S55" i="9"/>
  <c r="S56" i="9"/>
  <c r="Y6" i="9"/>
  <c r="AU6" i="9" s="1"/>
  <c r="AA6" i="9"/>
  <c r="AP6" i="9"/>
  <c r="AL6" i="9"/>
  <c r="AG6" i="9"/>
  <c r="AF6" i="9"/>
  <c r="BH7" i="9"/>
  <c r="AC7" i="9"/>
  <c r="BB7" i="9"/>
  <c r="AK7" i="9"/>
  <c r="AT7" i="9"/>
  <c r="BE7" i="9"/>
  <c r="BD15" i="9"/>
  <c r="AK15" i="9"/>
  <c r="AT15" i="9"/>
  <c r="BE15" i="9"/>
  <c r="BB15" i="9"/>
  <c r="BA15" i="9"/>
  <c r="AR3" i="9"/>
  <c r="AU14" i="9"/>
  <c r="AV14" i="9"/>
  <c r="AR14" i="9"/>
  <c r="AS14" i="9"/>
  <c r="AX14" i="9"/>
  <c r="AY14" i="9"/>
  <c r="BC7" i="9"/>
  <c r="BD6" i="9"/>
  <c r="BB6" i="9"/>
  <c r="BA6" i="9"/>
  <c r="AC6" i="9"/>
  <c r="AT6" i="9"/>
  <c r="AK6" i="9"/>
  <c r="AT14" i="9"/>
  <c r="AC14" i="9"/>
  <c r="AK14" i="9"/>
  <c r="BD14" i="9"/>
  <c r="BE14" i="9"/>
  <c r="BF5" i="9"/>
  <c r="AQ5" i="9"/>
  <c r="AZ6" i="9"/>
  <c r="AE6" i="9"/>
  <c r="AQ6" i="9"/>
  <c r="BI6" i="9"/>
  <c r="BF6" i="9"/>
  <c r="BA9" i="9"/>
  <c r="AC9" i="9"/>
  <c r="BE9" i="9"/>
  <c r="BD9" i="9"/>
  <c r="BB9" i="9"/>
  <c r="AT9" i="9"/>
  <c r="Y17" i="9"/>
  <c r="AZ17" i="9" s="1"/>
  <c r="AJ17" i="9"/>
  <c r="AL17" i="9"/>
  <c r="AO17" i="9"/>
  <c r="AI17" i="9"/>
  <c r="AB11" i="9"/>
  <c r="AU15" i="9"/>
  <c r="AN4" i="9"/>
  <c r="BH4" i="9"/>
  <c r="BC4" i="9"/>
  <c r="AD4" i="9"/>
  <c r="BG4" i="9"/>
  <c r="AW4" i="9"/>
  <c r="BB10" i="9"/>
  <c r="AK10" i="9"/>
  <c r="BE10" i="9"/>
  <c r="AC10" i="9"/>
  <c r="AT10" i="9"/>
  <c r="BA10" i="9"/>
  <c r="BD10" i="9"/>
  <c r="AQ3" i="9"/>
  <c r="AA7" i="9"/>
  <c r="AN14" i="9"/>
  <c r="BG14" i="9"/>
  <c r="BH14" i="9"/>
  <c r="BC14" i="9"/>
  <c r="AD14" i="9"/>
  <c r="AW14" i="9"/>
  <c r="AE7" i="9"/>
  <c r="AX3" i="9"/>
  <c r="AD7" i="9"/>
  <c r="AF12" i="9" l="1"/>
  <c r="AV11" i="9"/>
  <c r="BE13" i="9"/>
  <c r="AS12" i="9"/>
  <c r="AA12" i="9"/>
  <c r="AA5" i="9"/>
  <c r="BB12" i="9"/>
  <c r="BD13" i="9"/>
  <c r="AM12" i="9"/>
  <c r="BG12" i="9"/>
  <c r="AT12" i="9"/>
  <c r="AH11" i="9"/>
  <c r="BI12" i="9"/>
  <c r="AB12" i="9"/>
  <c r="AL12" i="9"/>
  <c r="BC12" i="9"/>
  <c r="AK12" i="9"/>
  <c r="AL9" i="9"/>
  <c r="AU13" i="9"/>
  <c r="AU11" i="9"/>
  <c r="AG17" i="9"/>
  <c r="AE5" i="9"/>
  <c r="BA13" i="9"/>
  <c r="AZ12" i="9"/>
  <c r="AX12" i="9"/>
  <c r="AV4" i="9"/>
  <c r="AO12" i="9"/>
  <c r="AN12" i="9"/>
  <c r="AL20" i="9"/>
  <c r="AY20" i="9"/>
  <c r="AM9" i="9"/>
  <c r="AX13" i="9"/>
  <c r="AZ5" i="9"/>
  <c r="AT13" i="9"/>
  <c r="AE12" i="9"/>
  <c r="AV12" i="9"/>
  <c r="AE14" i="9"/>
  <c r="AG12" i="9"/>
  <c r="BH12" i="9"/>
  <c r="BG20" i="9"/>
  <c r="AI9" i="9"/>
  <c r="BH9" i="9"/>
  <c r="AR12" i="9"/>
  <c r="AX11" i="9"/>
  <c r="AS11" i="9"/>
  <c r="AY11" i="9"/>
  <c r="AH14" i="9"/>
  <c r="AK13" i="9"/>
  <c r="AQ12" i="9"/>
  <c r="AY12" i="9"/>
  <c r="AH4" i="9"/>
  <c r="AZ14" i="9"/>
  <c r="AI12" i="9"/>
  <c r="AF20" i="9"/>
  <c r="BD20" i="9"/>
  <c r="AO11" i="9"/>
  <c r="AW20" i="9"/>
  <c r="AA9" i="9"/>
  <c r="BG9" i="9"/>
  <c r="AF13" i="9"/>
  <c r="BB14" i="9"/>
  <c r="AR11" i="9"/>
  <c r="AF17" i="9"/>
  <c r="AK9" i="9"/>
  <c r="BA14" i="9"/>
  <c r="AB14" i="9"/>
  <c r="AC15" i="9"/>
  <c r="AC13" i="9"/>
  <c r="BF12" i="9"/>
  <c r="AH12" i="9"/>
  <c r="AP15" i="9"/>
  <c r="BF14" i="9"/>
  <c r="BE18" i="9"/>
  <c r="AJ12" i="9"/>
  <c r="AF18" i="9"/>
  <c r="AM20" i="9"/>
  <c r="AG11" i="9"/>
  <c r="BC20" i="9"/>
  <c r="AK8" i="9"/>
  <c r="AT17" i="9"/>
  <c r="AX6" i="9"/>
  <c r="AX5" i="9"/>
  <c r="BH5" i="9"/>
  <c r="AN10" i="9"/>
  <c r="BF15" i="9"/>
  <c r="AE17" i="9"/>
  <c r="BG13" i="9"/>
  <c r="BH13" i="9"/>
  <c r="AW13" i="9"/>
  <c r="BI13" i="9"/>
  <c r="AQ13" i="9"/>
  <c r="BC13" i="9"/>
  <c r="AE13" i="9"/>
  <c r="AN13" i="9"/>
  <c r="BF13" i="9"/>
  <c r="AD13" i="9"/>
  <c r="AZ13" i="9"/>
  <c r="AH18" i="9"/>
  <c r="AC17" i="9"/>
  <c r="AG5" i="9"/>
  <c r="AT5" i="9"/>
  <c r="AM4" i="9"/>
  <c r="BE4" i="9"/>
  <c r="AL4" i="9"/>
  <c r="AT4" i="9"/>
  <c r="AA4" i="9"/>
  <c r="AP4" i="9"/>
  <c r="AK4" i="9"/>
  <c r="AI4" i="9"/>
  <c r="AG4" i="9"/>
  <c r="BB4" i="9"/>
  <c r="AF4" i="9"/>
  <c r="AC4" i="9"/>
  <c r="AJ4" i="9"/>
  <c r="BA4" i="9"/>
  <c r="AY6" i="9"/>
  <c r="AR5" i="9"/>
  <c r="BH11" i="9"/>
  <c r="BE11" i="9"/>
  <c r="BF11" i="9"/>
  <c r="BC11" i="9"/>
  <c r="BG11" i="9"/>
  <c r="AT11" i="9"/>
  <c r="AQ11" i="9"/>
  <c r="AN11" i="9"/>
  <c r="AK11" i="9"/>
  <c r="BD11" i="9"/>
  <c r="AW11" i="9"/>
  <c r="BB11" i="9"/>
  <c r="AZ11" i="9"/>
  <c r="AC11" i="9"/>
  <c r="BI11" i="9"/>
  <c r="AD11" i="9"/>
  <c r="BA11" i="9"/>
  <c r="AE11" i="9"/>
  <c r="BG15" i="9"/>
  <c r="AW5" i="9"/>
  <c r="BF17" i="9"/>
  <c r="AR18" i="9"/>
  <c r="AO10" i="9"/>
  <c r="AQ10" i="9"/>
  <c r="AZ10" i="9"/>
  <c r="BF10" i="9"/>
  <c r="AE10" i="9"/>
  <c r="BI10" i="9"/>
  <c r="AJ5" i="9"/>
  <c r="AK5" i="9"/>
  <c r="AH6" i="9"/>
  <c r="AH5" i="9"/>
  <c r="AL11" i="9"/>
  <c r="BG17" i="9"/>
  <c r="AA14" i="9"/>
  <c r="AN15" i="9"/>
  <c r="BG5" i="9"/>
  <c r="AD10" i="9"/>
  <c r="AH13" i="9"/>
  <c r="AD18" i="9"/>
  <c r="AI13" i="9"/>
  <c r="AZ20" i="9"/>
  <c r="AX18" i="9"/>
  <c r="AR4" i="9"/>
  <c r="Y22" i="9"/>
  <c r="AB10" i="9"/>
  <c r="AA10" i="9"/>
  <c r="AK17" i="9"/>
  <c r="AI5" i="9"/>
  <c r="BA5" i="9"/>
  <c r="AS6" i="9"/>
  <c r="AB5" i="9"/>
  <c r="AF11" i="9"/>
  <c r="AQ4" i="9"/>
  <c r="AJ14" i="9"/>
  <c r="AW15" i="9"/>
  <c r="AD5" i="9"/>
  <c r="BH10" i="9"/>
  <c r="AV13" i="9"/>
  <c r="BH18" i="9"/>
  <c r="AP13" i="9"/>
  <c r="AQ20" i="9"/>
  <c r="AB18" i="9"/>
  <c r="AA17" i="9"/>
  <c r="AM6" i="9"/>
  <c r="AS4" i="9"/>
  <c r="AF15" i="9"/>
  <c r="AJ15" i="9"/>
  <c r="AU10" i="9"/>
  <c r="AI10" i="9"/>
  <c r="BE17" i="9"/>
  <c r="AP5" i="9"/>
  <c r="AC5" i="9"/>
  <c r="AD12" i="9"/>
  <c r="AU5" i="9"/>
  <c r="BD12" i="9"/>
  <c r="AM11" i="9"/>
  <c r="AX20" i="9"/>
  <c r="BI4" i="9"/>
  <c r="AD20" i="9"/>
  <c r="AM14" i="9"/>
  <c r="AD15" i="9"/>
  <c r="AF9" i="9"/>
  <c r="AH9" i="9"/>
  <c r="AU9" i="9"/>
  <c r="AX9" i="9"/>
  <c r="AQ9" i="9"/>
  <c r="AV9" i="9"/>
  <c r="BF9" i="9"/>
  <c r="AS9" i="9"/>
  <c r="AE9" i="9"/>
  <c r="AY9" i="9"/>
  <c r="BI9" i="9"/>
  <c r="AR9" i="9"/>
  <c r="AZ9" i="9"/>
  <c r="AB9" i="9"/>
  <c r="AR13" i="9"/>
  <c r="AR22" i="9" s="1"/>
  <c r="AD9" i="9"/>
  <c r="AX17" i="9"/>
  <c r="BG18" i="9"/>
  <c r="AL13" i="9"/>
  <c r="BF20" i="9"/>
  <c r="AS18" i="9"/>
  <c r="AJ6" i="9"/>
  <c r="BC6" i="9"/>
  <c r="AN6" i="9"/>
  <c r="AD6" i="9"/>
  <c r="AW6" i="9"/>
  <c r="BH6" i="9"/>
  <c r="BG6" i="9"/>
  <c r="AB4" i="9"/>
  <c r="BH15" i="9"/>
  <c r="AB15" i="9"/>
  <c r="AY15" i="9"/>
  <c r="AS15" i="9"/>
  <c r="AH15" i="9"/>
  <c r="AV15" i="9"/>
  <c r="AR15" i="9"/>
  <c r="AX15" i="9"/>
  <c r="AH10" i="9"/>
  <c r="AL10" i="9"/>
  <c r="BA17" i="9"/>
  <c r="AL5" i="9"/>
  <c r="AL22" i="9" s="1"/>
  <c r="BB5" i="9"/>
  <c r="AW12" i="9"/>
  <c r="AB6" i="9"/>
  <c r="AY5" i="9"/>
  <c r="BE12" i="9"/>
  <c r="AJ11" i="9"/>
  <c r="AB20" i="9"/>
  <c r="BF4" i="9"/>
  <c r="BH20" i="9"/>
  <c r="AP14" i="9"/>
  <c r="BC15" i="9"/>
  <c r="AQ15" i="9"/>
  <c r="AQ22" i="9" s="1"/>
  <c r="AS13" i="9"/>
  <c r="BC9" i="9"/>
  <c r="AN18" i="9"/>
  <c r="AM13" i="9"/>
  <c r="AE20" i="9"/>
  <c r="AY18" i="9"/>
  <c r="AM17" i="9"/>
  <c r="AV17" i="9"/>
  <c r="AD17" i="9"/>
  <c r="AH17" i="9"/>
  <c r="AU17" i="9"/>
  <c r="BH17" i="9"/>
  <c r="AY17" i="9"/>
  <c r="AN17" i="9"/>
  <c r="AS17" i="9"/>
  <c r="AB17" i="9"/>
  <c r="AW17" i="9"/>
  <c r="BC17" i="9"/>
  <c r="AI6" i="9"/>
  <c r="AX4" i="9"/>
  <c r="AX22" i="9" s="1"/>
  <c r="AM15" i="9"/>
  <c r="AS10" i="9"/>
  <c r="AP10" i="9"/>
  <c r="BB17" i="9"/>
  <c r="AM5" i="9"/>
  <c r="BD5" i="9"/>
  <c r="AR6" i="9"/>
  <c r="AS5" i="9"/>
  <c r="BA12" i="9"/>
  <c r="AP11" i="9"/>
  <c r="AU20" i="9"/>
  <c r="AZ4" i="9"/>
  <c r="AL14" i="9"/>
  <c r="AJ9" i="9"/>
  <c r="AW10" i="9"/>
  <c r="AE15" i="9"/>
  <c r="AY13" i="9"/>
  <c r="AN9" i="9"/>
  <c r="AQ17" i="9"/>
  <c r="AW18" i="9"/>
  <c r="AA13" i="9"/>
  <c r="AO4" i="9"/>
  <c r="AP17" i="9"/>
  <c r="BI5" i="9"/>
  <c r="BE6" i="9"/>
  <c r="AO6" i="9"/>
  <c r="AU4" i="9"/>
  <c r="AL15" i="9"/>
  <c r="AY10" i="9"/>
  <c r="AG10" i="9"/>
  <c r="BD17" i="9"/>
  <c r="AP12" i="9"/>
  <c r="AO5" i="9"/>
  <c r="AF5" i="9"/>
  <c r="BE5" i="9"/>
  <c r="AG18" i="9"/>
  <c r="AE18" i="9"/>
  <c r="BI18" i="9"/>
  <c r="AZ18" i="9"/>
  <c r="AQ18" i="9"/>
  <c r="BF18" i="9"/>
  <c r="BI20" i="9"/>
  <c r="AT20" i="9"/>
  <c r="AC20" i="9"/>
  <c r="AK20" i="9"/>
  <c r="BA20" i="9"/>
  <c r="BE20" i="9"/>
  <c r="BB20" i="9"/>
  <c r="AV6" i="9"/>
  <c r="AV5" i="9"/>
  <c r="AI11" i="9"/>
  <c r="AR20" i="9"/>
  <c r="AE4" i="9"/>
  <c r="AI14" i="9"/>
  <c r="AN5" i="9"/>
  <c r="AN22" i="9" s="1"/>
  <c r="AG9" i="9"/>
  <c r="BC10" i="9"/>
  <c r="AZ15" i="9"/>
  <c r="AB13" i="9"/>
  <c r="AW9" i="9"/>
  <c r="BI17" i="9"/>
  <c r="BC18" i="9"/>
  <c r="AJ13" i="9"/>
  <c r="AJ22" i="9" s="1"/>
  <c r="AO13" i="9"/>
  <c r="AU18" i="9"/>
  <c r="BD22" i="9" l="1"/>
  <c r="AD22" i="9"/>
  <c r="BC22" i="9"/>
  <c r="AM22" i="9"/>
  <c r="AL24" i="9" s="1"/>
  <c r="AN24" i="9" s="1"/>
  <c r="AJ28" i="9" s="1"/>
  <c r="AH22" i="9"/>
  <c r="AU22" i="9"/>
  <c r="AY22" i="9"/>
  <c r="AB22" i="9"/>
  <c r="AF22" i="9"/>
  <c r="AP22" i="9"/>
  <c r="BH22" i="9"/>
  <c r="BG22" i="9"/>
  <c r="AA22" i="9"/>
  <c r="AV22" i="9"/>
  <c r="AG22" i="9"/>
  <c r="AF24" i="9" s="1"/>
  <c r="AH24" i="9" s="1"/>
  <c r="AW22" i="9"/>
  <c r="AK22" i="9"/>
  <c r="AS22" i="9"/>
  <c r="AR24" i="9" s="1"/>
  <c r="AT24" i="9" s="1"/>
  <c r="AL28" i="9" s="1"/>
  <c r="BA22" i="9"/>
  <c r="BA24" i="9" s="1"/>
  <c r="BC24" i="9" s="1"/>
  <c r="AO28" i="9" s="1"/>
  <c r="BI22" i="9"/>
  <c r="BG24" i="9" s="1"/>
  <c r="BI24" i="9" s="1"/>
  <c r="AY28" i="9" s="1"/>
  <c r="AC22" i="9"/>
  <c r="AT22" i="9"/>
  <c r="AE22" i="9"/>
  <c r="AO22" i="9"/>
  <c r="AO24" i="9" s="1"/>
  <c r="AQ24" i="9" s="1"/>
  <c r="AK28" i="9" s="1"/>
  <c r="BF22" i="9"/>
  <c r="BB22" i="9"/>
  <c r="BE22" i="9"/>
  <c r="BD24" i="9" s="1"/>
  <c r="BF24" i="9" s="1"/>
  <c r="AX28" i="9" s="1"/>
  <c r="AZ22" i="9"/>
  <c r="AX24" i="9" s="1"/>
  <c r="AZ24" i="9" s="1"/>
  <c r="AN28" i="9" s="1"/>
  <c r="AI22" i="9"/>
  <c r="AU24" i="9" l="1"/>
  <c r="AW24" i="9" s="1"/>
  <c r="AM28" i="9" s="1"/>
  <c r="AA24" i="9"/>
  <c r="AH28" i="9"/>
  <c r="AI24" i="9"/>
  <c r="AK24" i="9" s="1"/>
  <c r="AI28" i="9" s="1"/>
  <c r="AD25" i="9" l="1"/>
  <c r="AD26" i="9" s="1"/>
  <c r="AE26" i="9" s="1"/>
  <c r="AQ29" i="9" l="1"/>
  <c r="AU29" i="9"/>
  <c r="AE29" i="9"/>
  <c r="AA29" i="9"/>
  <c r="AB29" i="9"/>
  <c r="AB30" i="9" s="1"/>
  <c r="AS29" i="9"/>
  <c r="AS30" i="9" s="1"/>
  <c r="AR29" i="9"/>
  <c r="AR30" i="9" s="1"/>
  <c r="AV29" i="9"/>
  <c r="AV30" i="9" s="1"/>
  <c r="AT29" i="9"/>
  <c r="AD29" i="9"/>
  <c r="AC29" i="9"/>
  <c r="Y29" i="9"/>
  <c r="Y30" i="9" s="1"/>
  <c r="AQ30" i="9" s="1"/>
  <c r="AP29" i="9"/>
  <c r="AP30" i="9" s="1"/>
  <c r="AW29" i="9"/>
  <c r="AW30" i="9" s="1"/>
  <c r="AM29" i="9"/>
  <c r="AM30" i="9" s="1"/>
  <c r="AN29" i="9"/>
  <c r="AN30" i="9" s="1"/>
  <c r="AX29" i="9"/>
  <c r="AL29" i="9"/>
  <c r="AY29" i="9"/>
  <c r="AJ29" i="9"/>
  <c r="AK29" i="9"/>
  <c r="AK30" i="9" s="1"/>
  <c r="AO29" i="9"/>
  <c r="AO30" i="9" s="1"/>
  <c r="AI29" i="9"/>
  <c r="AI30" i="9" s="1"/>
  <c r="AH29" i="9"/>
  <c r="AH30" i="9" s="1"/>
  <c r="AA34" i="9" l="1"/>
  <c r="Z34" i="9"/>
  <c r="L37" i="9"/>
  <c r="AD39" i="9" s="1"/>
  <c r="K37" i="9"/>
  <c r="AA39" i="9" s="1"/>
  <c r="AC38" i="9"/>
  <c r="AA38" i="9"/>
  <c r="AE30" i="9"/>
  <c r="AE43" i="9" s="1"/>
  <c r="AC40" i="9"/>
  <c r="AB40" i="9"/>
  <c r="AJ30" i="9"/>
  <c r="AC30" i="9"/>
  <c r="AL30" i="9"/>
  <c r="AU30" i="9"/>
  <c r="AE35" i="9"/>
  <c r="L32" i="9"/>
  <c r="AB35" i="9" s="1"/>
  <c r="AF35" i="9"/>
  <c r="K32" i="9"/>
  <c r="Z35" i="9" s="1"/>
  <c r="AA30" i="9"/>
  <c r="AY30" i="9"/>
  <c r="AD30" i="9"/>
  <c r="AX30" i="9"/>
  <c r="AT30" i="9"/>
  <c r="AA37" i="9" l="1"/>
  <c r="AB43" i="9" s="1"/>
  <c r="AB37" i="9"/>
  <c r="K33" i="9"/>
  <c r="Z36" i="9" s="1"/>
  <c r="AA43" i="9" s="1"/>
  <c r="L33" i="9"/>
  <c r="AC36" i="9" s="1"/>
  <c r="AD43" i="9" s="1"/>
  <c r="AC43" i="9"/>
  <c r="U43" i="9" l="1"/>
</calcChain>
</file>

<file path=xl/sharedStrings.xml><?xml version="1.0" encoding="utf-8"?>
<sst xmlns="http://schemas.openxmlformats.org/spreadsheetml/2006/main" count="108" uniqueCount="108">
  <si>
    <t>S1</t>
  </si>
  <si>
    <t>S1</t>
    <phoneticPr fontId="1" type="noConversion"/>
  </si>
  <si>
    <t>S2</t>
  </si>
  <si>
    <t>S2</t>
    <phoneticPr fontId="1" type="noConversion"/>
  </si>
  <si>
    <t>S3</t>
  </si>
  <si>
    <t>S3</t>
    <phoneticPr fontId="1" type="noConversion"/>
  </si>
  <si>
    <t>S4</t>
  </si>
  <si>
    <t>S4</t>
    <phoneticPr fontId="1" type="noConversion"/>
  </si>
  <si>
    <t>S5</t>
  </si>
  <si>
    <t>S5</t>
    <phoneticPr fontId="1" type="noConversion"/>
  </si>
  <si>
    <t>M{H}</t>
    <phoneticPr fontId="1" type="noConversion"/>
  </si>
  <si>
    <t>m{H}</t>
    <phoneticPr fontId="1" type="noConversion"/>
  </si>
  <si>
    <t>Mh1</t>
    <phoneticPr fontId="1" type="noConversion"/>
  </si>
  <si>
    <t>Mh2</t>
    <phoneticPr fontId="1" type="noConversion"/>
  </si>
  <si>
    <t>mh3</t>
    <phoneticPr fontId="1" type="noConversion"/>
  </si>
  <si>
    <t>mh4</t>
    <phoneticPr fontId="1" type="noConversion"/>
  </si>
  <si>
    <t>mh5</t>
    <phoneticPr fontId="1" type="noConversion"/>
  </si>
  <si>
    <t>m12</t>
    <phoneticPr fontId="1" type="noConversion"/>
  </si>
  <si>
    <t>m13</t>
    <phoneticPr fontId="1" type="noConversion"/>
  </si>
  <si>
    <t>m14</t>
    <phoneticPr fontId="1" type="noConversion"/>
  </si>
  <si>
    <t>m15</t>
    <phoneticPr fontId="1" type="noConversion"/>
  </si>
  <si>
    <t>m23</t>
    <phoneticPr fontId="1" type="noConversion"/>
  </si>
  <si>
    <t>m24</t>
    <phoneticPr fontId="1" type="noConversion"/>
  </si>
  <si>
    <t>m25</t>
    <phoneticPr fontId="1" type="noConversion"/>
  </si>
  <si>
    <t>m34</t>
    <phoneticPr fontId="1" type="noConversion"/>
  </si>
  <si>
    <t>m35</t>
    <phoneticPr fontId="1" type="noConversion"/>
  </si>
  <si>
    <t>m45</t>
    <phoneticPr fontId="1" type="noConversion"/>
  </si>
  <si>
    <t>M12</t>
    <phoneticPr fontId="1" type="noConversion"/>
  </si>
  <si>
    <t>M13</t>
    <phoneticPr fontId="1" type="noConversion"/>
  </si>
  <si>
    <t>M14</t>
    <phoneticPr fontId="1" type="noConversion"/>
  </si>
  <si>
    <t>M15</t>
    <phoneticPr fontId="1" type="noConversion"/>
  </si>
  <si>
    <t>M23</t>
    <phoneticPr fontId="1" type="noConversion"/>
  </si>
  <si>
    <t>M24</t>
    <phoneticPr fontId="1" type="noConversion"/>
  </si>
  <si>
    <t>M25</t>
    <phoneticPr fontId="1" type="noConversion"/>
  </si>
  <si>
    <t>M34</t>
    <phoneticPr fontId="1" type="noConversion"/>
  </si>
  <si>
    <t>M35</t>
    <phoneticPr fontId="1" type="noConversion"/>
  </si>
  <si>
    <t>M45</t>
    <phoneticPr fontId="1" type="noConversion"/>
  </si>
  <si>
    <t>S1</t>
    <phoneticPr fontId="1" type="noConversion"/>
  </si>
  <si>
    <t>S2</t>
    <phoneticPr fontId="1" type="noConversion"/>
  </si>
  <si>
    <t>d1</t>
    <phoneticPr fontId="1" type="noConversion"/>
  </si>
  <si>
    <t>d2</t>
    <phoneticPr fontId="1" type="noConversion"/>
  </si>
  <si>
    <t>AF1</t>
    <phoneticPr fontId="1" type="noConversion"/>
  </si>
  <si>
    <t>AF2</t>
    <phoneticPr fontId="1" type="noConversion"/>
  </si>
  <si>
    <t>B1</t>
    <phoneticPr fontId="1" type="noConversion"/>
  </si>
  <si>
    <t>B2</t>
    <phoneticPr fontId="1" type="noConversion"/>
  </si>
  <si>
    <t>Y3</t>
    <phoneticPr fontId="1" type="noConversion"/>
  </si>
  <si>
    <t>Y1</t>
    <phoneticPr fontId="1" type="noConversion"/>
  </si>
  <si>
    <r>
      <t>m(H</t>
    </r>
    <r>
      <rPr>
        <b/>
        <sz val="8"/>
        <color theme="1"/>
        <rFont val="等线"/>
        <family val="3"/>
        <charset val="134"/>
        <scheme val="minor"/>
      </rPr>
      <t>n</t>
    </r>
    <r>
      <rPr>
        <b/>
        <sz val="11"/>
        <color theme="1"/>
        <rFont val="等线"/>
        <family val="3"/>
        <charset val="134"/>
        <scheme val="minor"/>
      </rPr>
      <t>)+m(H)</t>
    </r>
    <phoneticPr fontId="1" type="noConversion"/>
  </si>
  <si>
    <r>
      <t>m(H</t>
    </r>
    <r>
      <rPr>
        <b/>
        <sz val="6"/>
        <color theme="1"/>
        <rFont val="等线"/>
        <family val="3"/>
        <charset val="134"/>
        <scheme val="minor"/>
      </rPr>
      <t>n</t>
    </r>
    <r>
      <rPr>
        <b/>
        <sz val="11"/>
        <color theme="1"/>
        <rFont val="等线"/>
        <family val="3"/>
        <charset val="134"/>
        <scheme val="minor"/>
      </rPr>
      <t>)+m(H</t>
    </r>
    <r>
      <rPr>
        <b/>
        <sz val="6"/>
        <color theme="1"/>
        <rFont val="等线"/>
        <family val="3"/>
        <charset val="134"/>
        <scheme val="minor"/>
      </rPr>
      <t>n+1</t>
    </r>
    <r>
      <rPr>
        <b/>
        <sz val="11"/>
        <color theme="1"/>
        <rFont val="等线"/>
        <family val="3"/>
        <charset val="134"/>
        <scheme val="minor"/>
      </rPr>
      <t>)+m(H)</t>
    </r>
    <phoneticPr fontId="1" type="noConversion"/>
  </si>
  <si>
    <r>
      <rPr>
        <b/>
        <sz val="16"/>
        <color theme="1"/>
        <rFont val="等线"/>
        <family val="3"/>
        <charset val="134"/>
        <scheme val="minor"/>
      </rPr>
      <t>β</t>
    </r>
    <r>
      <rPr>
        <b/>
        <sz val="8"/>
        <color theme="1"/>
        <rFont val="等线"/>
        <family val="3"/>
        <charset val="134"/>
        <scheme val="minor"/>
      </rPr>
      <t>(n(n+1)</t>
    </r>
    <r>
      <rPr>
        <b/>
        <sz val="11"/>
        <color theme="1"/>
        <rFont val="等线"/>
        <family val="3"/>
        <charset val="134"/>
        <scheme val="minor"/>
      </rPr>
      <t>=</t>
    </r>
    <phoneticPr fontId="1" type="noConversion"/>
  </si>
  <si>
    <r>
      <rPr>
        <b/>
        <sz val="18"/>
        <color theme="1"/>
        <rFont val="等线"/>
        <family val="3"/>
        <charset val="134"/>
        <scheme val="minor"/>
      </rPr>
      <t>β</t>
    </r>
    <r>
      <rPr>
        <b/>
        <sz val="11"/>
        <color theme="1"/>
        <rFont val="等线"/>
        <family val="3"/>
        <charset val="134"/>
        <scheme val="minor"/>
      </rPr>
      <t>n=</t>
    </r>
    <phoneticPr fontId="1" type="noConversion"/>
  </si>
  <si>
    <t>S12=</t>
    <phoneticPr fontId="1" type="noConversion"/>
  </si>
  <si>
    <t>S13=</t>
    <phoneticPr fontId="1" type="noConversion"/>
  </si>
  <si>
    <t>S14=</t>
    <phoneticPr fontId="1" type="noConversion"/>
  </si>
  <si>
    <t>S15=</t>
    <phoneticPr fontId="1" type="noConversion"/>
  </si>
  <si>
    <t>S23=</t>
    <phoneticPr fontId="1" type="noConversion"/>
  </si>
  <si>
    <t>S24=</t>
    <phoneticPr fontId="1" type="noConversion"/>
  </si>
  <si>
    <t>S25=</t>
    <phoneticPr fontId="1" type="noConversion"/>
  </si>
  <si>
    <t>S34=</t>
    <phoneticPr fontId="1" type="noConversion"/>
  </si>
  <si>
    <t>S35=</t>
    <phoneticPr fontId="1" type="noConversion"/>
  </si>
  <si>
    <t>S45=</t>
    <phoneticPr fontId="1" type="noConversion"/>
  </si>
  <si>
    <t>total score=</t>
    <phoneticPr fontId="1" type="noConversion"/>
  </si>
  <si>
    <t>h1</t>
    <phoneticPr fontId="1" type="noConversion"/>
  </si>
  <si>
    <t>h2</t>
    <phoneticPr fontId="1" type="noConversion"/>
  </si>
  <si>
    <t>h3</t>
    <phoneticPr fontId="1" type="noConversion"/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</si>
  <si>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</si>
  <si>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</si>
  <si>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</si>
  <si>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</si>
  <si>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</si>
  <si>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</si>
  <si>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</si>
  <si>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</si>
  <si>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</si>
  <si>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h13</t>
  </si>
  <si>
    <t>h14</t>
  </si>
  <si>
    <t>h15</t>
  </si>
  <si>
    <t>h16</t>
  </si>
  <si>
    <t>h17</t>
  </si>
  <si>
    <t>h18</t>
  </si>
  <si>
    <t>h19</t>
  </si>
  <si>
    <t xml:space="preserve">the initial risk score </t>
    <phoneticPr fontId="1" type="noConversion"/>
  </si>
  <si>
    <t>risk score when belief degree of H1 is deducted by 0.15 in any one hazard</t>
    <phoneticPr fontId="1" type="noConversion"/>
  </si>
  <si>
    <t>risk score when belief degree of H1 is added by 0.04 in any one hazard</t>
    <phoneticPr fontId="1" type="noConversion"/>
  </si>
  <si>
    <t>the risk level of all hazardous events</t>
    <phoneticPr fontId="1" type="noConversion"/>
  </si>
  <si>
    <r>
      <rPr>
        <sz val="18"/>
        <color theme="1"/>
        <rFont val="等线"/>
        <family val="3"/>
        <charset val="134"/>
        <scheme val="minor"/>
      </rPr>
      <t>r</t>
    </r>
    <r>
      <rPr>
        <sz val="6"/>
        <color theme="1"/>
        <rFont val="等线"/>
        <family val="3"/>
        <charset val="134"/>
        <scheme val="minor"/>
      </rPr>
      <t>1</t>
    </r>
    <phoneticPr fontId="1" type="noConversion"/>
  </si>
  <si>
    <r>
      <rPr>
        <sz val="18"/>
        <color theme="1"/>
        <rFont val="等线"/>
        <family val="3"/>
        <charset val="134"/>
        <scheme val="minor"/>
      </rPr>
      <t>r</t>
    </r>
    <r>
      <rPr>
        <sz val="6"/>
        <color theme="1"/>
        <rFont val="等线"/>
        <family val="3"/>
        <charset val="134"/>
        <scheme val="minor"/>
      </rPr>
      <t>5</t>
    </r>
    <phoneticPr fontId="1" type="noConversion"/>
  </si>
  <si>
    <r>
      <rPr>
        <sz val="18"/>
        <color theme="1"/>
        <rFont val="等线"/>
        <family val="3"/>
        <charset val="134"/>
        <scheme val="minor"/>
      </rPr>
      <t>r</t>
    </r>
    <r>
      <rPr>
        <sz val="6"/>
        <color theme="1"/>
        <rFont val="等线"/>
        <family val="3"/>
        <charset val="134"/>
        <scheme val="minor"/>
      </rPr>
      <t>4</t>
    </r>
    <phoneticPr fontId="1" type="noConversion"/>
  </si>
  <si>
    <r>
      <rPr>
        <sz val="18"/>
        <color theme="1"/>
        <rFont val="等线"/>
        <family val="3"/>
        <charset val="134"/>
        <scheme val="minor"/>
      </rPr>
      <t>r</t>
    </r>
    <r>
      <rPr>
        <sz val="6"/>
        <color theme="1"/>
        <rFont val="等线"/>
        <family val="3"/>
        <charset val="134"/>
        <scheme val="minor"/>
      </rPr>
      <t>3</t>
    </r>
    <phoneticPr fontId="1" type="noConversion"/>
  </si>
  <si>
    <r>
      <rPr>
        <sz val="18"/>
        <color theme="1"/>
        <rFont val="等线"/>
        <family val="3"/>
        <charset val="134"/>
        <scheme val="minor"/>
      </rPr>
      <t>r</t>
    </r>
    <r>
      <rPr>
        <sz val="6"/>
        <color theme="1"/>
        <rFont val="等线"/>
        <family val="3"/>
        <charset val="134"/>
        <scheme val="minor"/>
      </rPr>
      <t>2</t>
    </r>
    <phoneticPr fontId="1" type="noConversion"/>
  </si>
  <si>
    <r>
      <rPr>
        <b/>
        <sz val="14"/>
        <color theme="1"/>
        <rFont val="等线"/>
        <family val="3"/>
        <charset val="134"/>
        <scheme val="minor"/>
      </rPr>
      <t>r</t>
    </r>
    <r>
      <rPr>
        <b/>
        <sz val="6"/>
        <color theme="1"/>
        <rFont val="等线"/>
        <family val="3"/>
        <charset val="134"/>
        <scheme val="minor"/>
      </rPr>
      <t xml:space="preserve">i </t>
    </r>
    <r>
      <rPr>
        <b/>
        <sz val="11"/>
        <color theme="1"/>
        <rFont val="等线"/>
        <family val="3"/>
        <charset val="134"/>
        <scheme val="minor"/>
      </rPr>
      <t>of each hazard, (i=1,2,3,4,5)</t>
    </r>
    <phoneticPr fontId="1" type="noConversion"/>
  </si>
  <si>
    <r>
      <t xml:space="preserve">summation of </t>
    </r>
    <r>
      <rPr>
        <b/>
        <sz val="16"/>
        <color theme="1"/>
        <rFont val="等线"/>
        <family val="3"/>
        <charset val="134"/>
        <scheme val="minor"/>
      </rPr>
      <t>r</t>
    </r>
    <r>
      <rPr>
        <b/>
        <sz val="11"/>
        <color theme="1"/>
        <rFont val="等线"/>
        <family val="3"/>
        <charset val="134"/>
        <scheme val="minor"/>
      </rPr>
      <t>i</t>
    </r>
    <phoneticPr fontId="1" type="noConversion"/>
  </si>
  <si>
    <t>Global weights</t>
    <phoneticPr fontId="1" type="noConversion"/>
  </si>
  <si>
    <t>belief structure</t>
    <phoneticPr fontId="1" type="noConversion"/>
  </si>
  <si>
    <t>PRODUCT(m(H))=</t>
    <phoneticPr fontId="1" type="noConversion"/>
  </si>
  <si>
    <r>
      <t>PRODUCT{m(H</t>
    </r>
    <r>
      <rPr>
        <b/>
        <sz val="6"/>
        <color theme="1"/>
        <rFont val="等线"/>
        <family val="3"/>
        <charset val="134"/>
        <scheme val="minor"/>
      </rPr>
      <t>n</t>
    </r>
    <r>
      <rPr>
        <b/>
        <sz val="11"/>
        <color theme="1"/>
        <rFont val="等线"/>
        <family val="3"/>
        <charset val="134"/>
        <scheme val="minor"/>
      </rPr>
      <t>)+m(H)}</t>
    </r>
    <phoneticPr fontId="1" type="noConversion"/>
  </si>
  <si>
    <t>PRODUCT{m(Hn)+m(Hn+1)+m(H)}</t>
    <phoneticPr fontId="1" type="noConversion"/>
  </si>
  <si>
    <t>SUM{aggregated m(Hn)}=</t>
    <phoneticPr fontId="1" type="noConversion"/>
  </si>
  <si>
    <r>
      <t>aggregated (m(H</t>
    </r>
    <r>
      <rPr>
        <b/>
        <sz val="6"/>
        <color theme="1"/>
        <rFont val="等线"/>
        <family val="3"/>
        <charset val="134"/>
        <scheme val="minor"/>
      </rPr>
      <t>n(n+1)</t>
    </r>
    <r>
      <rPr>
        <b/>
        <sz val="11"/>
        <color theme="1"/>
        <rFont val="等线"/>
        <family val="3"/>
        <charset val="134"/>
        <scheme val="minor"/>
      </rPr>
      <t>))=</t>
    </r>
    <phoneticPr fontId="1" type="noConversion"/>
  </si>
  <si>
    <t>multiplied by μ=</t>
    <phoneticPr fontId="1" type="noConversion"/>
  </si>
  <si>
    <r>
      <t>SUM{multiplied byμ(</t>
    </r>
    <r>
      <rPr>
        <b/>
        <sz val="12"/>
        <color theme="1"/>
        <rFont val="等线"/>
        <family val="3"/>
        <charset val="134"/>
        <scheme val="minor"/>
      </rPr>
      <t>m</t>
    </r>
    <r>
      <rPr>
        <b/>
        <sz val="11"/>
        <color theme="1"/>
        <rFont val="等线"/>
        <family val="3"/>
        <charset val="134"/>
        <scheme val="minor"/>
      </rPr>
      <t>(H</t>
    </r>
    <r>
      <rPr>
        <b/>
        <sz val="6"/>
        <color theme="1"/>
        <rFont val="等线"/>
        <family val="3"/>
        <charset val="134"/>
        <scheme val="minor"/>
      </rPr>
      <t>n(n+1)</t>
    </r>
    <r>
      <rPr>
        <b/>
        <sz val="11"/>
        <color theme="1"/>
        <rFont val="等线"/>
        <family val="3"/>
        <charset val="134"/>
        <scheme val="minor"/>
      </rPr>
      <t>))}=</t>
    </r>
    <phoneticPr fontId="1" type="noConversion"/>
  </si>
  <si>
    <t>the value of K</t>
    <phoneticPr fontId="1" type="noConversion"/>
  </si>
  <si>
    <t>multiplied by K (m(H))=</t>
    <phoneticPr fontId="1" type="noConversion"/>
  </si>
  <si>
    <r>
      <t>multiplied by K (m(H</t>
    </r>
    <r>
      <rPr>
        <b/>
        <sz val="8"/>
        <color theme="1"/>
        <rFont val="等线"/>
        <family val="3"/>
        <charset val="134"/>
        <scheme val="minor"/>
      </rPr>
      <t>n</t>
    </r>
    <r>
      <rPr>
        <b/>
        <sz val="11"/>
        <color theme="1"/>
        <rFont val="等线"/>
        <family val="3"/>
        <charset val="134"/>
        <scheme val="minor"/>
      </rPr>
      <t>))=</t>
    </r>
    <phoneticPr fontId="1" type="noConversion"/>
  </si>
  <si>
    <r>
      <t>before multiplied by K (m(H</t>
    </r>
    <r>
      <rPr>
        <b/>
        <sz val="8"/>
        <color theme="1"/>
        <rFont val="等线"/>
        <family val="3"/>
        <charset val="134"/>
        <scheme val="minor"/>
      </rPr>
      <t>n(n+1)</t>
    </r>
    <r>
      <rPr>
        <b/>
        <sz val="11"/>
        <color theme="1"/>
        <rFont val="等线"/>
        <family val="3"/>
        <charset val="134"/>
        <scheme val="minor"/>
      </rPr>
      <t>))=</t>
    </r>
    <phoneticPr fontId="1" type="noConversion"/>
  </si>
  <si>
    <t>multiplied by K(m(Hn(n+1)))=</t>
    <phoneticPr fontId="1" type="noConversion"/>
  </si>
  <si>
    <t>denominator of β=</t>
    <phoneticPr fontId="1" type="noConversion"/>
  </si>
  <si>
    <r>
      <rPr>
        <b/>
        <sz val="14"/>
        <color theme="1"/>
        <rFont val="等线"/>
        <family val="3"/>
        <charset val="134"/>
        <scheme val="minor"/>
      </rPr>
      <t>β</t>
    </r>
    <r>
      <rPr>
        <b/>
        <sz val="11"/>
        <color theme="1"/>
        <rFont val="等线"/>
        <family val="3"/>
        <charset val="134"/>
        <scheme val="minor"/>
      </rPr>
      <t>n after redistributed =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</si>
</sst>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_ "/>
    <numFmt numFmtId="177" formatCode="0.000_);[Red]\(0.000\)"/>
  </numFmts>
  <fonts count="18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1"/>
      <color rgb="FFFF0000"/>
      <name val="等线"/>
      <family val="2"/>
      <scheme val="minor"/>
    </font>
    <font>
      <b/>
      <sz val="11"/>
      <color rgb="FFFF0000"/>
      <name val="等线"/>
      <family val="2"/>
      <scheme val="minor"/>
    </font>
    <font>
      <b/>
      <sz val="8"/>
      <color theme="1"/>
      <name val="等线"/>
      <family val="3"/>
      <charset val="134"/>
      <scheme val="minor"/>
    </font>
    <font>
      <b/>
      <sz val="6"/>
      <color theme="1"/>
      <name val="等线"/>
      <family val="3"/>
      <charset val="134"/>
      <scheme val="minor"/>
    </font>
    <font>
      <b/>
      <sz val="11"/>
      <color rgb="FFFF0000"/>
      <name val="等线"/>
      <family val="3"/>
      <charset val="134"/>
      <scheme val="minor"/>
    </font>
    <font>
      <b/>
      <sz val="12"/>
      <color theme="1"/>
      <name val="等线"/>
      <family val="3"/>
      <charset val="134"/>
      <scheme val="minor"/>
    </font>
    <font>
      <b/>
      <sz val="11"/>
      <color rgb="FF92D050"/>
      <name val="等线"/>
      <family val="3"/>
      <charset val="134"/>
      <scheme val="minor"/>
    </font>
    <font>
      <b/>
      <sz val="14"/>
      <color rgb="FF92D050"/>
      <name val="等线"/>
      <family val="3"/>
      <charset val="134"/>
      <scheme val="minor"/>
    </font>
    <font>
      <b/>
      <sz val="16"/>
      <color theme="1"/>
      <name val="等线"/>
      <family val="3"/>
      <charset val="134"/>
      <scheme val="minor"/>
    </font>
    <font>
      <b/>
      <sz val="14"/>
      <color theme="1"/>
      <name val="等线"/>
      <family val="3"/>
      <charset val="134"/>
      <scheme val="minor"/>
    </font>
    <font>
      <b/>
      <sz val="18"/>
      <color theme="1"/>
      <name val="等线"/>
      <family val="3"/>
      <charset val="134"/>
      <scheme val="minor"/>
    </font>
    <font>
      <b/>
      <sz val="11"/>
      <color theme="1"/>
      <name val="Times New Roman"/>
      <family val="1"/>
    </font>
    <font>
      <sz val="6"/>
      <color theme="1"/>
      <name val="等线"/>
      <family val="3"/>
      <charset val="134"/>
      <scheme val="minor"/>
    </font>
    <font>
      <sz val="18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1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 wrapText="1"/>
    </xf>
    <xf numFmtId="176" fontId="0" fillId="0" borderId="0" xfId="0" applyNumberFormat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177" fontId="2" fillId="0" borderId="0" xfId="0" applyNumberFormat="1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initial risk score</c:v>
          </c:tx>
          <c:spPr>
            <a:ln w="22225"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chemeClr val="tx1"/>
              </a:solidFill>
            </c:spPr>
          </c:marker>
          <c:cat>
            <c:strRef>
              <c:f>'sensitivity analysis'!$D$2:$D$20</c:f>
              <c:strCache>
                <c:ptCount val="19"/>
                <c:pt idx="0">
                  <c:v>h1</c:v>
                </c:pt>
                <c:pt idx="1">
                  <c:v>h2</c:v>
                </c:pt>
                <c:pt idx="2">
                  <c:v>h3</c:v>
                </c:pt>
                <c:pt idx="3">
                  <c:v>h4</c:v>
                </c:pt>
                <c:pt idx="4">
                  <c:v>h5</c:v>
                </c:pt>
                <c:pt idx="5">
                  <c:v>h6</c:v>
                </c:pt>
                <c:pt idx="6">
                  <c:v>h7</c:v>
                </c:pt>
                <c:pt idx="7">
                  <c:v>h8</c:v>
                </c:pt>
                <c:pt idx="8">
                  <c:v>h9</c:v>
                </c:pt>
                <c:pt idx="9">
                  <c:v>h10</c:v>
                </c:pt>
                <c:pt idx="10">
                  <c:v>h11</c:v>
                </c:pt>
                <c:pt idx="11">
                  <c:v>h12</c:v>
                </c:pt>
                <c:pt idx="12">
                  <c:v>h13</c:v>
                </c:pt>
                <c:pt idx="13">
                  <c:v>h14</c:v>
                </c:pt>
                <c:pt idx="14">
                  <c:v>h15</c:v>
                </c:pt>
                <c:pt idx="15">
                  <c:v>h16</c:v>
                </c:pt>
                <c:pt idx="16">
                  <c:v>h17</c:v>
                </c:pt>
                <c:pt idx="17">
                  <c:v>h18</c:v>
                </c:pt>
                <c:pt idx="18">
                  <c:v>h19</c:v>
                </c:pt>
              </c:strCache>
            </c:strRef>
          </c:cat>
          <c:val>
            <c:numRef>
              <c:f>'sensitivity analysis'!$A$2:$A$20</c:f>
              <c:numCache>
                <c:formatCode>General</c:formatCode>
                <c:ptCount val="19"/>
                <c:pt idx="0">
                  <c:v>0.23124799361449044</c:v>
                </c:pt>
                <c:pt idx="1">
                  <c:v>0.23124799361449044</c:v>
                </c:pt>
                <c:pt idx="2">
                  <c:v>0.23124799361449</c:v>
                </c:pt>
                <c:pt idx="3">
                  <c:v>0.23124799361449</c:v>
                </c:pt>
                <c:pt idx="4">
                  <c:v>0.23124799361449</c:v>
                </c:pt>
                <c:pt idx="5">
                  <c:v>0.23124799361449</c:v>
                </c:pt>
                <c:pt idx="6">
                  <c:v>0.23124799361449</c:v>
                </c:pt>
                <c:pt idx="7">
                  <c:v>0.23124799361449</c:v>
                </c:pt>
                <c:pt idx="8">
                  <c:v>0.23124799361449</c:v>
                </c:pt>
                <c:pt idx="9">
                  <c:v>0.23124799361449</c:v>
                </c:pt>
                <c:pt idx="10">
                  <c:v>0.23124799361449</c:v>
                </c:pt>
                <c:pt idx="11">
                  <c:v>0.23124799361449</c:v>
                </c:pt>
                <c:pt idx="12">
                  <c:v>0.23124799361449</c:v>
                </c:pt>
                <c:pt idx="13">
                  <c:v>0.23124799361449</c:v>
                </c:pt>
                <c:pt idx="14">
                  <c:v>0.23124799361449</c:v>
                </c:pt>
                <c:pt idx="15">
                  <c:v>0.23124799361449</c:v>
                </c:pt>
                <c:pt idx="16">
                  <c:v>0.23124799361449</c:v>
                </c:pt>
                <c:pt idx="17">
                  <c:v>0.23124799361449</c:v>
                </c:pt>
                <c:pt idx="18">
                  <c:v>0.23124799361449</c:v>
                </c:pt>
              </c:numCache>
            </c:numRef>
          </c:val>
          <c:smooth val="0"/>
        </c:ser>
        <c:ser>
          <c:idx val="1"/>
          <c:order val="1"/>
          <c:tx>
            <c:v>risk score when belief degree of H1 is deducted by 0.15 in any one hazard</c:v>
          </c:tx>
          <c:spPr>
            <a:ln w="22225">
              <a:solidFill>
                <a:schemeClr val="bg1">
                  <a:lumMod val="50000"/>
                </a:schemeClr>
              </a:solidFill>
            </a:ln>
          </c:spPr>
          <c:marker>
            <c:symbol val="square"/>
            <c:size val="6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marker>
          <c:cat>
            <c:strRef>
              <c:f>'sensitivity analysis'!$D$2:$D$20</c:f>
              <c:strCache>
                <c:ptCount val="19"/>
                <c:pt idx="0">
                  <c:v>h1</c:v>
                </c:pt>
                <c:pt idx="1">
                  <c:v>h2</c:v>
                </c:pt>
                <c:pt idx="2">
                  <c:v>h3</c:v>
                </c:pt>
                <c:pt idx="3">
                  <c:v>h4</c:v>
                </c:pt>
                <c:pt idx="4">
                  <c:v>h5</c:v>
                </c:pt>
                <c:pt idx="5">
                  <c:v>h6</c:v>
                </c:pt>
                <c:pt idx="6">
                  <c:v>h7</c:v>
                </c:pt>
                <c:pt idx="7">
                  <c:v>h8</c:v>
                </c:pt>
                <c:pt idx="8">
                  <c:v>h9</c:v>
                </c:pt>
                <c:pt idx="9">
                  <c:v>h10</c:v>
                </c:pt>
                <c:pt idx="10">
                  <c:v>h11</c:v>
                </c:pt>
                <c:pt idx="11">
                  <c:v>h12</c:v>
                </c:pt>
                <c:pt idx="12">
                  <c:v>h13</c:v>
                </c:pt>
                <c:pt idx="13">
                  <c:v>h14</c:v>
                </c:pt>
                <c:pt idx="14">
                  <c:v>h15</c:v>
                </c:pt>
                <c:pt idx="15">
                  <c:v>h16</c:v>
                </c:pt>
                <c:pt idx="16">
                  <c:v>h17</c:v>
                </c:pt>
                <c:pt idx="17">
                  <c:v>h18</c:v>
                </c:pt>
                <c:pt idx="18">
                  <c:v>h19</c:v>
                </c:pt>
              </c:strCache>
            </c:strRef>
          </c:cat>
          <c:val>
            <c:numRef>
              <c:f>'sensitivity analysis'!$B$2:$B$20</c:f>
              <c:numCache>
                <c:formatCode>General</c:formatCode>
                <c:ptCount val="19"/>
                <c:pt idx="0">
                  <c:v>0.23294078228409698</c:v>
                </c:pt>
                <c:pt idx="1">
                  <c:v>0.2327625197157471</c:v>
                </c:pt>
                <c:pt idx="2">
                  <c:v>0.23424263614167307</c:v>
                </c:pt>
                <c:pt idx="3">
                  <c:v>0.23258128455914576</c:v>
                </c:pt>
                <c:pt idx="4">
                  <c:v>0.23468012417212897</c:v>
                </c:pt>
                <c:pt idx="5">
                  <c:v>0.23441299344385311</c:v>
                </c:pt>
                <c:pt idx="6">
                  <c:v>0.23204476611092759</c:v>
                </c:pt>
                <c:pt idx="7">
                  <c:v>0.23186719542557477</c:v>
                </c:pt>
                <c:pt idx="8">
                  <c:v>0.23357901404979045</c:v>
                </c:pt>
                <c:pt idx="9">
                  <c:v>0.23231250090218167</c:v>
                </c:pt>
                <c:pt idx="10">
                  <c:v>0.23303102535666681</c:v>
                </c:pt>
                <c:pt idx="11">
                  <c:v>0.23276245518900127</c:v>
                </c:pt>
                <c:pt idx="12">
                  <c:v>0.23186702858671085</c:v>
                </c:pt>
                <c:pt idx="13">
                  <c:v>0.23195588619741919</c:v>
                </c:pt>
                <c:pt idx="14">
                  <c:v>0.23186698059422567</c:v>
                </c:pt>
                <c:pt idx="15">
                  <c:v>0.3081473656910817</c:v>
                </c:pt>
                <c:pt idx="16">
                  <c:v>0.23504875386013951</c:v>
                </c:pt>
                <c:pt idx="17">
                  <c:v>0.24439355958799927</c:v>
                </c:pt>
                <c:pt idx="18">
                  <c:v>0.23763386762962663</c:v>
                </c:pt>
              </c:numCache>
            </c:numRef>
          </c:val>
          <c:smooth val="0"/>
        </c:ser>
        <c:ser>
          <c:idx val="2"/>
          <c:order val="2"/>
          <c:tx>
            <c:v>risk score when belief degree of H1 is added by 0.04 in any one hazard</c:v>
          </c:tx>
          <c:spPr>
            <a:ln w="22225">
              <a:solidFill>
                <a:schemeClr val="accent6">
                  <a:lumMod val="75000"/>
                </a:schemeClr>
              </a:solidFill>
            </a:ln>
          </c:spPr>
          <c:marker>
            <c:symbol val="triangle"/>
            <c:size val="7"/>
            <c:spPr>
              <a:solidFill>
                <a:schemeClr val="accent6">
                  <a:lumMod val="50000"/>
                </a:schemeClr>
              </a:solidFill>
            </c:spPr>
          </c:marker>
          <c:cat>
            <c:strRef>
              <c:f>'sensitivity analysis'!$D$2:$D$20</c:f>
              <c:strCache>
                <c:ptCount val="19"/>
                <c:pt idx="0">
                  <c:v>h1</c:v>
                </c:pt>
                <c:pt idx="1">
                  <c:v>h2</c:v>
                </c:pt>
                <c:pt idx="2">
                  <c:v>h3</c:v>
                </c:pt>
                <c:pt idx="3">
                  <c:v>h4</c:v>
                </c:pt>
                <c:pt idx="4">
                  <c:v>h5</c:v>
                </c:pt>
                <c:pt idx="5">
                  <c:v>h6</c:v>
                </c:pt>
                <c:pt idx="6">
                  <c:v>h7</c:v>
                </c:pt>
                <c:pt idx="7">
                  <c:v>h8</c:v>
                </c:pt>
                <c:pt idx="8">
                  <c:v>h9</c:v>
                </c:pt>
                <c:pt idx="9">
                  <c:v>h10</c:v>
                </c:pt>
                <c:pt idx="10">
                  <c:v>h11</c:v>
                </c:pt>
                <c:pt idx="11">
                  <c:v>h12</c:v>
                </c:pt>
                <c:pt idx="12">
                  <c:v>h13</c:v>
                </c:pt>
                <c:pt idx="13">
                  <c:v>h14</c:v>
                </c:pt>
                <c:pt idx="14">
                  <c:v>h15</c:v>
                </c:pt>
                <c:pt idx="15">
                  <c:v>h16</c:v>
                </c:pt>
                <c:pt idx="16">
                  <c:v>h17</c:v>
                </c:pt>
                <c:pt idx="17">
                  <c:v>h18</c:v>
                </c:pt>
                <c:pt idx="18">
                  <c:v>h19</c:v>
                </c:pt>
              </c:strCache>
            </c:strRef>
          </c:cat>
          <c:val>
            <c:numRef>
              <c:f>'sensitivity analysis'!$C$2:$C$20</c:f>
              <c:numCache>
                <c:formatCode>General</c:formatCode>
                <c:ptCount val="19"/>
                <c:pt idx="0">
                  <c:v>0.23087446554540272</c:v>
                </c:pt>
                <c:pt idx="1">
                  <c:v>0.23108286375719084</c:v>
                </c:pt>
                <c:pt idx="2">
                  <c:v>0.23050042557160949</c:v>
                </c:pt>
                <c:pt idx="3">
                  <c:v>0.23095033918076502</c:v>
                </c:pt>
                <c:pt idx="4">
                  <c:v>0.23050894464215801</c:v>
                </c:pt>
                <c:pt idx="5">
                  <c:v>0.23050361571653608</c:v>
                </c:pt>
                <c:pt idx="6">
                  <c:v>0.23107045154906902</c:v>
                </c:pt>
                <c:pt idx="7">
                  <c:v>0.23118056076585164</c:v>
                </c:pt>
                <c:pt idx="8">
                  <c:v>0.23094915460951479</c:v>
                </c:pt>
                <c:pt idx="9">
                  <c:v>0.23101015507612185</c:v>
                </c:pt>
                <c:pt idx="10">
                  <c:v>0.23085322399334521</c:v>
                </c:pt>
                <c:pt idx="11">
                  <c:v>0.2311014807407335</c:v>
                </c:pt>
                <c:pt idx="12">
                  <c:v>0.23111324664514885</c:v>
                </c:pt>
                <c:pt idx="13">
                  <c:v>0.23109394159818572</c:v>
                </c:pt>
                <c:pt idx="14">
                  <c:v>0.23111275997214542</c:v>
                </c:pt>
                <c:pt idx="15">
                  <c:v>0.21388411492348319</c:v>
                </c:pt>
                <c:pt idx="16">
                  <c:v>0.23040549744664227</c:v>
                </c:pt>
                <c:pt idx="17">
                  <c:v>0.22967333190453068</c:v>
                </c:pt>
                <c:pt idx="18">
                  <c:v>0.23054713418676007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6717568"/>
        <c:axId val="256719488"/>
      </c:lineChart>
      <c:catAx>
        <c:axId val="2567175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56719488"/>
        <c:crosses val="autoZero"/>
        <c:auto val="0"/>
        <c:lblAlgn val="ctr"/>
        <c:lblOffset val="100"/>
        <c:noMultiLvlLbl val="0"/>
      </c:catAx>
      <c:valAx>
        <c:axId val="256719488"/>
        <c:scaling>
          <c:orientation val="minMax"/>
          <c:max val="0.31000000000000005"/>
          <c:min val="0.21000000000000002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56717568"/>
        <c:crosses val="autoZero"/>
        <c:crossBetween val="midCat"/>
        <c:majorUnit val="1.0000000000000002E-2"/>
        <c:minorUnit val="1.0000000000000002E-2"/>
      </c:valAx>
    </c:plotArea>
    <c:legend>
      <c:legendPos val="r"/>
      <c:layout>
        <c:manualLayout>
          <c:xMode val="edge"/>
          <c:yMode val="edge"/>
          <c:x val="0.65345167380393243"/>
          <c:y val="0.21502505368647104"/>
          <c:w val="0.26733039647577095"/>
          <c:h val="0.404037752856650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469900</xdr:colOff>
      <xdr:row>1</xdr:row>
      <xdr:rowOff>44450</xdr:rowOff>
    </xdr:from>
    <xdr:to>
      <xdr:col>13</xdr:col>
      <xdr:colOff>381000</xdr:colOff>
      <xdr:row>22</xdr:row>
      <xdr:rowOff>82550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62"/>
  <sheetViews>
    <sheetView tabSelected="1" topLeftCell="AT13" workbookViewId="0">
      <selection activeCell="E15" sqref="E15"/>
    </sheetView>
  </sheetViews>
  <sheetFormatPr defaultRowHeight="14" x14ac:dyDescent="0.3"/>
  <cols>
    <col min="1" max="3" width="8.6640625" style="3"/>
    <col min="4" max="4" width="10" style="3" customWidth="1"/>
    <col min="5" max="5" width="10.6640625" style="3" customWidth="1"/>
    <col min="6" max="8" width="8.6640625" style="3"/>
    <col min="9" max="10" width="12.5" style="3" bestFit="1" customWidth="1"/>
    <col min="11" max="13" width="8.6640625" style="3"/>
    <col min="14" max="18" width="8.6640625" style="6"/>
    <col min="19" max="19" width="8.6640625" style="3"/>
    <col min="20" max="20" width="10.6640625" style="3" customWidth="1"/>
    <col min="21" max="23" width="8.6640625" style="3"/>
    <col min="24" max="24" width="11.1640625" style="3" customWidth="1"/>
    <col min="25" max="25" width="8.6640625" style="4"/>
    <col min="26" max="26" width="16.08203125" style="3" customWidth="1"/>
    <col min="27" max="30" width="8.6640625" style="3" customWidth="1"/>
    <col min="31" max="31" width="14.83203125" style="3" customWidth="1"/>
    <col min="32" max="32" width="9.6640625" style="4" customWidth="1"/>
    <col min="33" max="34" width="8.6640625" style="4" customWidth="1"/>
    <col min="35" max="37" width="8.6640625" style="3" customWidth="1"/>
    <col min="38" max="40" width="8.6640625" style="4" customWidth="1"/>
    <col min="41" max="43" width="8.6640625" style="3" customWidth="1"/>
    <col min="44" max="46" width="8.6640625" style="4" customWidth="1"/>
    <col min="47" max="55" width="8.6640625" style="3" customWidth="1"/>
    <col min="56" max="58" width="8.6640625" style="3"/>
    <col min="59" max="59" width="12.5" style="3" bestFit="1" customWidth="1"/>
    <col min="60" max="60" width="8.6640625" style="3"/>
    <col min="61" max="61" width="12.5" style="3" bestFit="1" customWidth="1"/>
    <col min="62" max="16384" width="8.6640625" style="3"/>
  </cols>
  <sheetData>
    <row r="1" spans="1:61" ht="17.5" x14ac:dyDescent="0.3">
      <c r="A1" s="15" t="s">
        <v>84</v>
      </c>
      <c r="B1" s="15"/>
      <c r="C1" s="15"/>
      <c r="D1" s="15"/>
      <c r="F1" s="16" t="s">
        <v>90</v>
      </c>
      <c r="G1" s="16"/>
      <c r="H1" s="16"/>
      <c r="I1" s="16"/>
      <c r="J1" s="16"/>
      <c r="L1" s="15" t="s">
        <v>91</v>
      </c>
      <c r="M1" s="15" t="s">
        <v>92</v>
      </c>
      <c r="N1" s="18" t="s">
        <v>93</v>
      </c>
      <c r="O1" s="19"/>
      <c r="P1" s="19"/>
      <c r="Q1" s="19"/>
      <c r="R1" s="19"/>
      <c r="AF1" s="16" t="s">
        <v>48</v>
      </c>
      <c r="AG1" s="16"/>
      <c r="AH1" s="16"/>
    </row>
    <row r="2" spans="1:61" ht="23" thickBot="1" x14ac:dyDescent="0.35">
      <c r="A2" s="15"/>
      <c r="B2" s="15"/>
      <c r="C2" s="15"/>
      <c r="D2" s="15"/>
      <c r="F2" s="5" t="s">
        <v>85</v>
      </c>
      <c r="G2" s="5" t="s">
        <v>89</v>
      </c>
      <c r="H2" s="5" t="s">
        <v>88</v>
      </c>
      <c r="I2" s="5" t="s">
        <v>87</v>
      </c>
      <c r="J2" s="5" t="s">
        <v>86</v>
      </c>
      <c r="L2" s="15"/>
      <c r="M2" s="15"/>
      <c r="N2" s="20"/>
      <c r="O2" s="20"/>
      <c r="P2" s="20"/>
      <c r="Q2" s="20"/>
      <c r="R2" s="20"/>
      <c r="S2" s="3" t="s">
        <v>10</v>
      </c>
      <c r="T2" s="3" t="s">
        <v>12</v>
      </c>
      <c r="U2" s="3" t="s">
        <v>13</v>
      </c>
      <c r="V2" s="3" t="s">
        <v>14</v>
      </c>
      <c r="W2" s="3" t="s">
        <v>15</v>
      </c>
      <c r="X2" s="3" t="s">
        <v>16</v>
      </c>
      <c r="Y2" s="4" t="s">
        <v>11</v>
      </c>
      <c r="AA2" s="16" t="s">
        <v>47</v>
      </c>
      <c r="AB2" s="16"/>
      <c r="AC2" s="16"/>
      <c r="AD2" s="16"/>
      <c r="AE2" s="16"/>
      <c r="AF2" s="4" t="s">
        <v>17</v>
      </c>
      <c r="AG2" s="4">
        <v>1</v>
      </c>
      <c r="AI2" s="3" t="s">
        <v>18</v>
      </c>
      <c r="AJ2" s="3">
        <v>0.75900000000000001</v>
      </c>
      <c r="AL2" s="4" t="s">
        <v>19</v>
      </c>
      <c r="AM2" s="4">
        <v>0.505</v>
      </c>
      <c r="AO2" s="3" t="s">
        <v>20</v>
      </c>
      <c r="AP2" s="3">
        <v>5.5E-2</v>
      </c>
      <c r="AR2" s="4" t="s">
        <v>21</v>
      </c>
      <c r="AS2" s="4">
        <v>1</v>
      </c>
      <c r="AU2" s="3" t="s">
        <v>22</v>
      </c>
      <c r="AV2" s="3">
        <v>1</v>
      </c>
      <c r="AX2" s="3" t="s">
        <v>23</v>
      </c>
      <c r="AY2" s="3">
        <v>0.59</v>
      </c>
      <c r="BA2" s="3" t="s">
        <v>24</v>
      </c>
      <c r="BB2" s="3">
        <v>1</v>
      </c>
      <c r="BD2" s="3" t="s">
        <v>25</v>
      </c>
      <c r="BE2" s="3">
        <v>0.93500000000000005</v>
      </c>
      <c r="BG2" s="3" t="s">
        <v>26</v>
      </c>
      <c r="BH2" s="3">
        <v>1</v>
      </c>
    </row>
    <row r="3" spans="1:61" x14ac:dyDescent="0.3">
      <c r="A3" s="3">
        <v>0</v>
      </c>
      <c r="B3" s="3">
        <v>0</v>
      </c>
      <c r="C3" s="3">
        <v>110.50000000000001</v>
      </c>
      <c r="D3" s="4">
        <v>360.50000000000006</v>
      </c>
      <c r="F3" s="3">
        <v>1</v>
      </c>
      <c r="G3" s="3">
        <f>(B23-50.48)/B23</f>
        <v>0.81878881430161188</v>
      </c>
      <c r="H3" s="3">
        <f>0.5*((110.5-9.43)+360.5)/C23</f>
        <v>0.14491675222208616</v>
      </c>
      <c r="I3" s="3">
        <f>0.5*((C3-27.67)+D3)/D23</f>
        <v>1.4145896770978017E-2</v>
      </c>
      <c r="J3" s="3">
        <f>0.5*(D3-4.13)*0.55/E23</f>
        <v>1.5095379918127515E-3</v>
      </c>
      <c r="L3" s="3">
        <f>SUM(F3:J3)</f>
        <v>1.9793610012864891</v>
      </c>
      <c r="M3" s="4">
        <v>1.9E-2</v>
      </c>
      <c r="N3" s="6">
        <f>F3/$L$3</f>
        <v>0.50521355091367781</v>
      </c>
      <c r="O3" s="6">
        <f>G3/$L$3</f>
        <v>0.41366320432171733</v>
      </c>
      <c r="P3" s="6">
        <f>H3/$L$3</f>
        <v>7.321390697699777E-2</v>
      </c>
      <c r="Q3" s="6">
        <f>I3/$L$3</f>
        <v>7.1466987385241333E-3</v>
      </c>
      <c r="R3" s="6">
        <f>J3/$L$3</f>
        <v>7.6263904908282251E-4</v>
      </c>
      <c r="S3" s="7">
        <f>1-M3</f>
        <v>0.98099999999999998</v>
      </c>
      <c r="T3" s="6">
        <f>N3*$M$3</f>
        <v>9.5990574673598776E-3</v>
      </c>
      <c r="U3" s="6">
        <f>O3*$M$3</f>
        <v>7.859600882112629E-3</v>
      </c>
      <c r="V3" s="6">
        <f>P3*$M$3</f>
        <v>1.3910642325629576E-3</v>
      </c>
      <c r="W3" s="6">
        <f>Q3*$M$3</f>
        <v>1.3578727603195853E-4</v>
      </c>
      <c r="X3" s="6">
        <f>R3*$M$3</f>
        <v>1.4490141932573628E-5</v>
      </c>
      <c r="Y3" s="7">
        <f>1-SUM(T3:X3)</f>
        <v>0.98099999999999998</v>
      </c>
      <c r="AA3" s="6">
        <f>T3+$Y$3</f>
        <v>0.99059905746735988</v>
      </c>
      <c r="AB3" s="6">
        <f>U3+$Y$3</f>
        <v>0.98885960088211267</v>
      </c>
      <c r="AC3" s="6">
        <f>V3+$Y$3</f>
        <v>0.98239106423256295</v>
      </c>
      <c r="AD3" s="6">
        <f>W3+$Y$3</f>
        <v>0.9811357872760319</v>
      </c>
      <c r="AE3" s="6">
        <f>X3+$Y$3</f>
        <v>0.98101449014193254</v>
      </c>
      <c r="AF3" s="7">
        <f>T3+U3+Y3</f>
        <v>0.99845865834947245</v>
      </c>
      <c r="AG3" s="7">
        <f>T3+Y3</f>
        <v>0.99059905746735988</v>
      </c>
      <c r="AH3" s="7">
        <f>U3+Y3</f>
        <v>0.98885960088211267</v>
      </c>
      <c r="AI3" s="6">
        <f>T3+V3+Y3</f>
        <v>0.99199012169992284</v>
      </c>
      <c r="AJ3" s="6">
        <f>T3+Y3</f>
        <v>0.99059905746735988</v>
      </c>
      <c r="AK3" s="6">
        <f>V3+Y3</f>
        <v>0.98239106423256295</v>
      </c>
      <c r="AL3" s="7">
        <f>T3+W3+Y3</f>
        <v>0.9907348447433918</v>
      </c>
      <c r="AM3" s="7">
        <f>T3+Y3</f>
        <v>0.99059905746735988</v>
      </c>
      <c r="AN3" s="7">
        <f>W3+Y3</f>
        <v>0.9811357872760319</v>
      </c>
      <c r="AO3" s="6">
        <f>T3+X3+Y3</f>
        <v>0.99061354760929243</v>
      </c>
      <c r="AP3" s="6">
        <f>T3+Y3</f>
        <v>0.99059905746735988</v>
      </c>
      <c r="AQ3" s="6">
        <f>X3+Y3</f>
        <v>0.98101449014193254</v>
      </c>
      <c r="AR3" s="7">
        <f>U3+V3+Y3</f>
        <v>0.99025066511467552</v>
      </c>
      <c r="AS3" s="7">
        <f>U3+Y3</f>
        <v>0.98885960088211267</v>
      </c>
      <c r="AT3" s="7">
        <f>V3+Y3</f>
        <v>0.98239106423256295</v>
      </c>
      <c r="AU3" s="6">
        <f>U3+W3+Y3</f>
        <v>0.98899538815814458</v>
      </c>
      <c r="AV3" s="6">
        <f>U3+Y3</f>
        <v>0.98885960088211267</v>
      </c>
      <c r="AW3" s="6">
        <f>W3+Y3</f>
        <v>0.9811357872760319</v>
      </c>
      <c r="AX3" s="6">
        <f>U3+X3+Y3</f>
        <v>0.98887409102404522</v>
      </c>
      <c r="AY3" s="6">
        <f>U3+Y3</f>
        <v>0.98885960088211267</v>
      </c>
      <c r="AZ3" s="6">
        <f>X3+Y3</f>
        <v>0.98101449014193254</v>
      </c>
      <c r="BA3" s="6">
        <f>V3+W3+Y3</f>
        <v>0.98252685150859487</v>
      </c>
      <c r="BB3" s="6">
        <f>V3+Y3</f>
        <v>0.98239106423256295</v>
      </c>
      <c r="BC3" s="6">
        <f>W3+Y3</f>
        <v>0.9811357872760319</v>
      </c>
      <c r="BD3" s="6">
        <f>V3+X3+Y3</f>
        <v>0.9824055543744955</v>
      </c>
      <c r="BE3" s="6">
        <f>V3+Y3</f>
        <v>0.98239106423256295</v>
      </c>
      <c r="BF3" s="6">
        <f>X3+Y3</f>
        <v>0.98101449014193254</v>
      </c>
      <c r="BG3" s="6">
        <f>W3+X3+Y3</f>
        <v>0.98115027741796457</v>
      </c>
      <c r="BH3" s="6">
        <f>W3+Y3</f>
        <v>0.9811357872760319</v>
      </c>
      <c r="BI3" s="6">
        <f>X3+Y3</f>
        <v>0.98101449014193254</v>
      </c>
    </row>
    <row r="4" spans="1:61" x14ac:dyDescent="0.3">
      <c r="A4" s="3">
        <v>0</v>
      </c>
      <c r="B4" s="3">
        <v>0</v>
      </c>
      <c r="C4" s="3">
        <v>2.5</v>
      </c>
      <c r="D4" s="4">
        <v>27.5</v>
      </c>
      <c r="F4" s="3">
        <v>1</v>
      </c>
      <c r="G4" s="3">
        <f>0.5*((C4-0.11)+D4)/B23</f>
        <v>5.3648993071759347E-2</v>
      </c>
      <c r="H4" s="3">
        <f>0.5*0.7987*D4/C23</f>
        <v>6.8960022856640506E-3</v>
      </c>
      <c r="I4" s="3">
        <f>0.5*D4*0.522/D23</f>
        <v>4.5804332697401356E-4</v>
      </c>
      <c r="J4" s="3">
        <f>0.5*0.055*(D4-4.13)/E23</f>
        <v>9.8992347472188995E-6</v>
      </c>
      <c r="L4" s="3">
        <f t="shared" ref="L4:L21" si="0">SUM(F4:J4)</f>
        <v>1.0610129379191449</v>
      </c>
      <c r="M4" s="4">
        <v>1.7000000000000001E-2</v>
      </c>
      <c r="N4" s="6">
        <f>F4/$L$4</f>
        <v>0.94249557593632816</v>
      </c>
      <c r="O4" s="6">
        <f>G4/$L$4</f>
        <v>5.0563938623571905E-2</v>
      </c>
      <c r="P4" s="6">
        <f>H4/$L$4</f>
        <v>6.4994516458851742E-3</v>
      </c>
      <c r="Q4" s="6">
        <f>I4/$L$4</f>
        <v>4.3170380926016476E-4</v>
      </c>
      <c r="R4" s="6">
        <f>J4/$L$4</f>
        <v>9.329984954408988E-6</v>
      </c>
      <c r="S4" s="7">
        <f t="shared" ref="S4:S21" si="1">1-M4</f>
        <v>0.98299999999999998</v>
      </c>
      <c r="T4" s="6">
        <f>N4*$M$4</f>
        <v>1.6022424790917578E-2</v>
      </c>
      <c r="U4" s="6">
        <f>O4*$M$4</f>
        <v>8.5958695660072243E-4</v>
      </c>
      <c r="V4" s="6">
        <f>P4*$M$4</f>
        <v>1.1049067798004797E-4</v>
      </c>
      <c r="W4" s="6">
        <f>Q4*$M$4</f>
        <v>7.3389647574228019E-6</v>
      </c>
      <c r="X4" s="6">
        <f>R4*$M$4</f>
        <v>1.586097442249528E-7</v>
      </c>
      <c r="Y4" s="7">
        <f t="shared" ref="Y4:Y21" si="2">1-SUM(T4:X4)</f>
        <v>0.98299999999999998</v>
      </c>
      <c r="AA4" s="6">
        <f>T4+$Y$4</f>
        <v>0.99902242479091752</v>
      </c>
      <c r="AB4" s="6">
        <f>U4+$Y$4</f>
        <v>0.9838595869566007</v>
      </c>
      <c r="AC4" s="6">
        <f>V4+$Y$4</f>
        <v>0.98311049067798006</v>
      </c>
      <c r="AD4" s="6">
        <f>W4+$Y$4</f>
        <v>0.98300733896475745</v>
      </c>
      <c r="AE4" s="6">
        <f>X4+$Y$4</f>
        <v>0.98300015860974421</v>
      </c>
      <c r="AF4" s="7">
        <f t="shared" ref="AF4:AF21" si="3">T4+U4+Y4</f>
        <v>0.99988201174751823</v>
      </c>
      <c r="AG4" s="7">
        <f t="shared" ref="AG4:AG21" si="4">T4+Y4</f>
        <v>0.99902242479091752</v>
      </c>
      <c r="AH4" s="7">
        <f t="shared" ref="AH4:AH21" si="5">U4+Y4</f>
        <v>0.9838595869566007</v>
      </c>
      <c r="AI4" s="6">
        <f t="shared" ref="AI4:AI21" si="6">T4+V4+Y4</f>
        <v>0.9991329154688976</v>
      </c>
      <c r="AJ4" s="6">
        <f t="shared" ref="AJ4:AJ21" si="7">T4+Y4</f>
        <v>0.99902242479091752</v>
      </c>
      <c r="AK4" s="6">
        <f t="shared" ref="AK4:AK21" si="8">V4+Y4</f>
        <v>0.98311049067798006</v>
      </c>
      <c r="AL4" s="7">
        <f t="shared" ref="AL4:AL21" si="9">T4+W4+Y4</f>
        <v>0.99902976375567498</v>
      </c>
      <c r="AM4" s="7">
        <f t="shared" ref="AM4:AM21" si="10">T4+Y4</f>
        <v>0.99902242479091752</v>
      </c>
      <c r="AN4" s="7">
        <f t="shared" ref="AN4:AN21" si="11">W4+Y4</f>
        <v>0.98300733896475745</v>
      </c>
      <c r="AO4" s="6">
        <f t="shared" ref="AO4:AO21" si="12">T4+X4+Y4</f>
        <v>0.99902258340066175</v>
      </c>
      <c r="AP4" s="6">
        <f t="shared" ref="AP4:AP21" si="13">T4+Y4</f>
        <v>0.99902242479091752</v>
      </c>
      <c r="AQ4" s="6">
        <f t="shared" ref="AQ4:AQ21" si="14">X4+Y4</f>
        <v>0.98300015860974421</v>
      </c>
      <c r="AR4" s="7">
        <f t="shared" ref="AR4:AR21" si="15">U4+V4+Y4</f>
        <v>0.98397007763458078</v>
      </c>
      <c r="AS4" s="7">
        <f t="shared" ref="AS4:AS21" si="16">U4+Y4</f>
        <v>0.9838595869566007</v>
      </c>
      <c r="AT4" s="7">
        <f t="shared" ref="AT4:AT21" si="17">V4+Y4</f>
        <v>0.98311049067798006</v>
      </c>
      <c r="AU4" s="6">
        <f t="shared" ref="AU4:AU21" si="18">U4+W4+Y4</f>
        <v>0.98386692592135816</v>
      </c>
      <c r="AV4" s="6">
        <f t="shared" ref="AV4:AV21" si="19">U4+Y4</f>
        <v>0.9838595869566007</v>
      </c>
      <c r="AW4" s="6">
        <f t="shared" ref="AW4:AW21" si="20">W4+Y4</f>
        <v>0.98300733896475745</v>
      </c>
      <c r="AX4" s="6">
        <f t="shared" ref="AX4:AX21" si="21">U4+X4+Y4</f>
        <v>0.98385974556634492</v>
      </c>
      <c r="AY4" s="6">
        <f t="shared" ref="AY4:AY21" si="22">U4+Y4</f>
        <v>0.9838595869566007</v>
      </c>
      <c r="AZ4" s="6">
        <f t="shared" ref="AZ4:AZ21" si="23">X4+Y4</f>
        <v>0.98300015860974421</v>
      </c>
      <c r="BA4" s="6">
        <f t="shared" ref="BA4:BA21" si="24">V4+W4+Y4</f>
        <v>0.98311782964273742</v>
      </c>
      <c r="BB4" s="6">
        <f t="shared" ref="BB4:BB21" si="25">V4+Y4</f>
        <v>0.98311049067798006</v>
      </c>
      <c r="BC4" s="6">
        <f t="shared" ref="BC4:BC21" si="26">W4+Y4</f>
        <v>0.98300733896475745</v>
      </c>
      <c r="BD4" s="6">
        <f t="shared" ref="BD4:BD21" si="27">V4+X4+Y4</f>
        <v>0.98311064928772429</v>
      </c>
      <c r="BE4" s="6">
        <f t="shared" ref="BE4:BE21" si="28">V4+Y4</f>
        <v>0.98311049067798006</v>
      </c>
      <c r="BF4" s="6">
        <f t="shared" ref="BF4:BF21" si="29">X4+Y4</f>
        <v>0.98300015860974421</v>
      </c>
      <c r="BG4" s="6">
        <f t="shared" ref="BG4:BG21" si="30">W4+X4+Y4</f>
        <v>0.98300749757450168</v>
      </c>
      <c r="BH4" s="6">
        <f t="shared" ref="BH4:BH21" si="31">W4+Y4</f>
        <v>0.98300733896475745</v>
      </c>
      <c r="BI4" s="6">
        <f t="shared" ref="BI4:BI21" si="32">X4+Y4</f>
        <v>0.98300015860974421</v>
      </c>
    </row>
    <row r="5" spans="1:61" x14ac:dyDescent="0.3">
      <c r="A5" s="3">
        <v>4.0149999999999997</v>
      </c>
      <c r="B5" s="3">
        <v>9.8000000000000007</v>
      </c>
      <c r="C5" s="3">
        <v>484.00000000000011</v>
      </c>
      <c r="D5" s="4">
        <v>4026.0000000000005</v>
      </c>
      <c r="F5" s="3">
        <f>0.5*0.7207*(27.5-A5)/A23</f>
        <v>0.60019998226950355</v>
      </c>
      <c r="G5" s="3">
        <f>0.5*((57.25-B5)+(500-A5))/B23</f>
        <v>0.97540115590336374</v>
      </c>
      <c r="H5" s="3">
        <f>0.5*((194.25-B5)+(3000-A5))/C23</f>
        <v>0.99854477295632427</v>
      </c>
      <c r="I5" s="3">
        <f>(0.5*((C5-B5)+D5)-0.5*0.1835*A5)/D23</f>
        <v>0.14357012298726574</v>
      </c>
      <c r="J5" s="3">
        <f>0.5*((C5-402.5)+(D5-4.13))/E23</f>
        <v>3.160246071863354E-2</v>
      </c>
      <c r="L5" s="3">
        <f t="shared" si="0"/>
        <v>2.7493184948350904</v>
      </c>
      <c r="M5" s="4">
        <v>3.3000000000000002E-2</v>
      </c>
      <c r="N5" s="6">
        <f>F5/$L$5</f>
        <v>0.21830864026741462</v>
      </c>
      <c r="O5" s="6">
        <f>G5/$L$5</f>
        <v>0.35477925083462192</v>
      </c>
      <c r="P5" s="6">
        <f>H5/$L$5</f>
        <v>0.36319719771725428</v>
      </c>
      <c r="Q5" s="6">
        <f>I5/$L$5</f>
        <v>5.2220258677551784E-2</v>
      </c>
      <c r="R5" s="6">
        <f>J5/$L$5</f>
        <v>1.1494652503157558E-2</v>
      </c>
      <c r="S5" s="7">
        <f t="shared" si="1"/>
        <v>0.96699999999999997</v>
      </c>
      <c r="T5" s="6">
        <f>N5*$M$5</f>
        <v>7.2041851288246828E-3</v>
      </c>
      <c r="U5" s="6">
        <f>O5*$M$5</f>
        <v>1.1707715277542524E-2</v>
      </c>
      <c r="V5" s="6">
        <f>P5*$M$5</f>
        <v>1.1985507524669392E-2</v>
      </c>
      <c r="W5" s="6">
        <f>Q5*$M$5</f>
        <v>1.723268536359209E-3</v>
      </c>
      <c r="X5" s="6">
        <f>R5*$M$5</f>
        <v>3.7932353260419945E-4</v>
      </c>
      <c r="Y5" s="7">
        <f t="shared" si="2"/>
        <v>0.96699999999999997</v>
      </c>
      <c r="AA5" s="6">
        <f>T5+$Y$5</f>
        <v>0.97420418512882467</v>
      </c>
      <c r="AB5" s="6">
        <f>U5+$Y$5</f>
        <v>0.97870771527754252</v>
      </c>
      <c r="AC5" s="6">
        <f>V5+$Y$5</f>
        <v>0.9789855075246694</v>
      </c>
      <c r="AD5" s="6">
        <f>W5+$Y$5</f>
        <v>0.96872326853635915</v>
      </c>
      <c r="AE5" s="6">
        <f>X5+$Y$5</f>
        <v>0.96737932353260414</v>
      </c>
      <c r="AF5" s="7">
        <f t="shared" si="3"/>
        <v>0.98591190040636723</v>
      </c>
      <c r="AG5" s="7">
        <f t="shared" si="4"/>
        <v>0.97420418512882467</v>
      </c>
      <c r="AH5" s="7">
        <f t="shared" si="5"/>
        <v>0.97870771527754252</v>
      </c>
      <c r="AI5" s="6">
        <f t="shared" si="6"/>
        <v>0.9861896926534941</v>
      </c>
      <c r="AJ5" s="6">
        <f t="shared" si="7"/>
        <v>0.97420418512882467</v>
      </c>
      <c r="AK5" s="6">
        <f t="shared" si="8"/>
        <v>0.9789855075246694</v>
      </c>
      <c r="AL5" s="7">
        <f t="shared" si="9"/>
        <v>0.97592745366518385</v>
      </c>
      <c r="AM5" s="7">
        <f t="shared" si="10"/>
        <v>0.97420418512882467</v>
      </c>
      <c r="AN5" s="7">
        <f t="shared" si="11"/>
        <v>0.96872326853635915</v>
      </c>
      <c r="AO5" s="6">
        <f t="shared" si="12"/>
        <v>0.97458350866142884</v>
      </c>
      <c r="AP5" s="6">
        <f t="shared" si="13"/>
        <v>0.97420418512882467</v>
      </c>
      <c r="AQ5" s="6">
        <f t="shared" si="14"/>
        <v>0.96737932353260414</v>
      </c>
      <c r="AR5" s="7">
        <f t="shared" si="15"/>
        <v>0.99069322280221184</v>
      </c>
      <c r="AS5" s="7">
        <f t="shared" si="16"/>
        <v>0.97870771527754252</v>
      </c>
      <c r="AT5" s="7">
        <f t="shared" si="17"/>
        <v>0.9789855075246694</v>
      </c>
      <c r="AU5" s="6">
        <f t="shared" si="18"/>
        <v>0.9804309838139017</v>
      </c>
      <c r="AV5" s="6">
        <f t="shared" si="19"/>
        <v>0.97870771527754252</v>
      </c>
      <c r="AW5" s="6">
        <f t="shared" si="20"/>
        <v>0.96872326853635915</v>
      </c>
      <c r="AX5" s="6">
        <f t="shared" si="21"/>
        <v>0.97908703881014669</v>
      </c>
      <c r="AY5" s="6">
        <f t="shared" si="22"/>
        <v>0.97870771527754252</v>
      </c>
      <c r="AZ5" s="6">
        <f t="shared" si="23"/>
        <v>0.96737932353260414</v>
      </c>
      <c r="BA5" s="6">
        <f t="shared" si="24"/>
        <v>0.98070877606102858</v>
      </c>
      <c r="BB5" s="6">
        <f t="shared" si="25"/>
        <v>0.9789855075246694</v>
      </c>
      <c r="BC5" s="6">
        <f t="shared" si="26"/>
        <v>0.96872326853635915</v>
      </c>
      <c r="BD5" s="6">
        <f t="shared" si="27"/>
        <v>0.97936483105727357</v>
      </c>
      <c r="BE5" s="6">
        <f t="shared" si="28"/>
        <v>0.9789855075246694</v>
      </c>
      <c r="BF5" s="6">
        <f t="shared" si="29"/>
        <v>0.96737932353260414</v>
      </c>
      <c r="BG5" s="6">
        <f t="shared" si="30"/>
        <v>0.96910259206896343</v>
      </c>
      <c r="BH5" s="6">
        <f t="shared" si="31"/>
        <v>0.96872326853635915</v>
      </c>
      <c r="BI5" s="6">
        <f t="shared" si="32"/>
        <v>0.96737932353260414</v>
      </c>
    </row>
    <row r="6" spans="1:61" x14ac:dyDescent="0.3">
      <c r="A6" s="3">
        <v>0</v>
      </c>
      <c r="B6" s="3">
        <v>0</v>
      </c>
      <c r="C6" s="3">
        <v>250</v>
      </c>
      <c r="D6" s="4">
        <v>500</v>
      </c>
      <c r="F6" s="3">
        <v>1</v>
      </c>
      <c r="G6" s="3">
        <v>1</v>
      </c>
      <c r="H6" s="3">
        <f>0.5*((C6-9.43)+D6)/C23</f>
        <v>0.23251294320062035</v>
      </c>
      <c r="I6" s="3">
        <f>0.5*((C6-27.67)+500)/D23</f>
        <v>2.3048306260755082E-2</v>
      </c>
      <c r="J6" s="3">
        <f>0.5*0.7648*(500-4.13)/E23</f>
        <v>2.9207604208054674E-3</v>
      </c>
      <c r="L6" s="3">
        <f t="shared" si="0"/>
        <v>2.2584820098821812</v>
      </c>
      <c r="M6" s="4">
        <v>1.4999999999999999E-2</v>
      </c>
      <c r="N6" s="6">
        <f>F6/$L$6</f>
        <v>0.44277527809582473</v>
      </c>
      <c r="O6" s="6">
        <f>G6/$L$6</f>
        <v>0.44277527809582473</v>
      </c>
      <c r="P6" s="6">
        <f>H6/$L$6</f>
        <v>0.10295098308653339</v>
      </c>
      <c r="Q6" s="6">
        <f>I6/$L$6</f>
        <v>1.020522021424357E-2</v>
      </c>
      <c r="R6" s="6">
        <f>J6/$L$6</f>
        <v>1.293240507573419E-3</v>
      </c>
      <c r="S6" s="7">
        <f t="shared" si="1"/>
        <v>0.98499999999999999</v>
      </c>
      <c r="T6" s="6">
        <f>N6*$M$6</f>
        <v>6.6416291714373708E-3</v>
      </c>
      <c r="U6" s="6">
        <f>O6*$M$6</f>
        <v>6.6416291714373708E-3</v>
      </c>
      <c r="V6" s="6">
        <f>P6*$M$6</f>
        <v>1.5442647462980007E-3</v>
      </c>
      <c r="W6" s="6">
        <f>Q6*$M$6</f>
        <v>1.5307830321365355E-4</v>
      </c>
      <c r="X6" s="6">
        <f>R6*$M$6</f>
        <v>1.9398607613601285E-5</v>
      </c>
      <c r="Y6" s="7">
        <f t="shared" si="2"/>
        <v>0.98499999999999999</v>
      </c>
      <c r="AA6" s="6">
        <f>T6+$Y$6</f>
        <v>0.99164162917143739</v>
      </c>
      <c r="AB6" s="6">
        <f>U6+$Y$6</f>
        <v>0.99164162917143739</v>
      </c>
      <c r="AC6" s="6">
        <f>V6+$Y$6</f>
        <v>0.98654426474629797</v>
      </c>
      <c r="AD6" s="6">
        <f>W6+$Y$6</f>
        <v>0.98515307830321364</v>
      </c>
      <c r="AE6" s="6">
        <f>X6+$Y$6</f>
        <v>0.98501939860761356</v>
      </c>
      <c r="AF6" s="7">
        <f t="shared" si="3"/>
        <v>0.99828325834287468</v>
      </c>
      <c r="AG6" s="7">
        <f t="shared" si="4"/>
        <v>0.99164162917143739</v>
      </c>
      <c r="AH6" s="7">
        <f t="shared" si="5"/>
        <v>0.99164162917143739</v>
      </c>
      <c r="AI6" s="6">
        <f t="shared" si="6"/>
        <v>0.99318589391773537</v>
      </c>
      <c r="AJ6" s="6">
        <f t="shared" si="7"/>
        <v>0.99164162917143739</v>
      </c>
      <c r="AK6" s="6">
        <f t="shared" si="8"/>
        <v>0.98654426474629797</v>
      </c>
      <c r="AL6" s="7">
        <f t="shared" si="9"/>
        <v>0.99179470747465104</v>
      </c>
      <c r="AM6" s="7">
        <f t="shared" si="10"/>
        <v>0.99164162917143739</v>
      </c>
      <c r="AN6" s="7">
        <f t="shared" si="11"/>
        <v>0.98515307830321364</v>
      </c>
      <c r="AO6" s="6">
        <f t="shared" si="12"/>
        <v>0.99166102777905096</v>
      </c>
      <c r="AP6" s="6">
        <f t="shared" si="13"/>
        <v>0.99164162917143739</v>
      </c>
      <c r="AQ6" s="6">
        <f t="shared" si="14"/>
        <v>0.98501939860761356</v>
      </c>
      <c r="AR6" s="7">
        <f t="shared" si="15"/>
        <v>0.99318589391773537</v>
      </c>
      <c r="AS6" s="7">
        <f t="shared" si="16"/>
        <v>0.99164162917143739</v>
      </c>
      <c r="AT6" s="7">
        <f t="shared" si="17"/>
        <v>0.98654426474629797</v>
      </c>
      <c r="AU6" s="6">
        <f t="shared" si="18"/>
        <v>0.99179470747465104</v>
      </c>
      <c r="AV6" s="6">
        <f t="shared" si="19"/>
        <v>0.99164162917143739</v>
      </c>
      <c r="AW6" s="6">
        <f t="shared" si="20"/>
        <v>0.98515307830321364</v>
      </c>
      <c r="AX6" s="6">
        <f t="shared" si="21"/>
        <v>0.99166102777905096</v>
      </c>
      <c r="AY6" s="6">
        <f t="shared" si="22"/>
        <v>0.99164162917143739</v>
      </c>
      <c r="AZ6" s="6">
        <f t="shared" si="23"/>
        <v>0.98501939860761356</v>
      </c>
      <c r="BA6" s="6">
        <f t="shared" si="24"/>
        <v>0.98669734304951162</v>
      </c>
      <c r="BB6" s="6">
        <f t="shared" si="25"/>
        <v>0.98654426474629797</v>
      </c>
      <c r="BC6" s="6">
        <f t="shared" si="26"/>
        <v>0.98515307830321364</v>
      </c>
      <c r="BD6" s="6">
        <f t="shared" si="27"/>
        <v>0.98656366335391155</v>
      </c>
      <c r="BE6" s="6">
        <f t="shared" si="28"/>
        <v>0.98654426474629797</v>
      </c>
      <c r="BF6" s="6">
        <f t="shared" si="29"/>
        <v>0.98501939860761356</v>
      </c>
      <c r="BG6" s="6">
        <f t="shared" si="30"/>
        <v>0.98517247691082721</v>
      </c>
      <c r="BH6" s="6">
        <f t="shared" si="31"/>
        <v>0.98515307830321364</v>
      </c>
      <c r="BI6" s="6">
        <f t="shared" si="32"/>
        <v>0.98501939860761356</v>
      </c>
    </row>
    <row r="7" spans="1:61" x14ac:dyDescent="0.3">
      <c r="A7" s="3">
        <v>0.13750000000000001</v>
      </c>
      <c r="B7" s="3">
        <v>0.5</v>
      </c>
      <c r="C7" s="3">
        <v>10</v>
      </c>
      <c r="D7" s="4">
        <v>165</v>
      </c>
      <c r="F7" s="3">
        <f>0.5*((0.7-B7)+(27.5-A7))/A23</f>
        <v>0.97739361702127658</v>
      </c>
      <c r="G7" s="3">
        <f>0.5*((C7-B7)+(D7-A7))/B23</f>
        <v>0.31295993825609364</v>
      </c>
      <c r="H7" s="3">
        <f>(0.5*((C7-9.43)+D7)-0.5*0.01516*0.1375)/C23</f>
        <v>5.1982504466149874E-2</v>
      </c>
      <c r="I7" s="3">
        <f>(0.5*0.9033*D7-0.5*0.005*A7)/D23</f>
        <v>4.7557313648478629E-3</v>
      </c>
      <c r="J7" s="3">
        <f>0.5*0.2907*(D7-4.13)/E23</f>
        <v>3.6016401145472427E-4</v>
      </c>
      <c r="L7" s="3">
        <f t="shared" si="0"/>
        <v>1.3474519551198227</v>
      </c>
      <c r="M7" s="4">
        <v>3.7999999999999999E-2</v>
      </c>
      <c r="N7" s="6">
        <f>F7/$L$7</f>
        <v>0.72536435403692112</v>
      </c>
      <c r="O7" s="6">
        <f>G7/$L$7</f>
        <v>0.23226055449840774</v>
      </c>
      <c r="P7" s="6">
        <f>H7/$L$7</f>
        <v>3.8578373253781287E-2</v>
      </c>
      <c r="Q7" s="6">
        <f>I7/$L$7</f>
        <v>3.5294255552324738E-3</v>
      </c>
      <c r="R7" s="6">
        <f>J7/$L$7</f>
        <v>2.6729265565739337E-4</v>
      </c>
      <c r="S7" s="7">
        <f t="shared" si="1"/>
        <v>0.96199999999999997</v>
      </c>
      <c r="T7" s="6">
        <f>N7*$M$7</f>
        <v>2.7563845453403003E-2</v>
      </c>
      <c r="U7" s="6">
        <f>O7*$M$7</f>
        <v>8.8259010709394944E-3</v>
      </c>
      <c r="V7" s="6">
        <f>P7*$M$7</f>
        <v>1.465978183643689E-3</v>
      </c>
      <c r="W7" s="6">
        <f>Q7*$M$7</f>
        <v>1.3411817109883401E-4</v>
      </c>
      <c r="X7" s="6">
        <f>R7*$M$7</f>
        <v>1.0157120914980947E-5</v>
      </c>
      <c r="Y7" s="7">
        <f t="shared" si="2"/>
        <v>0.96199999999999997</v>
      </c>
      <c r="AA7" s="6">
        <f>T7+$Y$7</f>
        <v>0.98956384545340292</v>
      </c>
      <c r="AB7" s="6">
        <f>U7+$Y$7</f>
        <v>0.97082590107093947</v>
      </c>
      <c r="AC7" s="6">
        <f>V7+$Y$7</f>
        <v>0.96346597818364366</v>
      </c>
      <c r="AD7" s="6">
        <f>W7+$Y$7</f>
        <v>0.96213411817109884</v>
      </c>
      <c r="AE7" s="6">
        <f>X7+$Y$7</f>
        <v>0.96201015712091498</v>
      </c>
      <c r="AF7" s="7">
        <f t="shared" si="3"/>
        <v>0.99838974652434243</v>
      </c>
      <c r="AG7" s="7">
        <f t="shared" si="4"/>
        <v>0.98956384545340292</v>
      </c>
      <c r="AH7" s="7">
        <f t="shared" si="5"/>
        <v>0.97082590107093947</v>
      </c>
      <c r="AI7" s="6">
        <f t="shared" si="6"/>
        <v>0.99102982363704661</v>
      </c>
      <c r="AJ7" s="6">
        <f t="shared" si="7"/>
        <v>0.98956384545340292</v>
      </c>
      <c r="AK7" s="6">
        <f t="shared" si="8"/>
        <v>0.96346597818364366</v>
      </c>
      <c r="AL7" s="7">
        <f t="shared" si="9"/>
        <v>0.9896979636245018</v>
      </c>
      <c r="AM7" s="7">
        <f t="shared" si="10"/>
        <v>0.98956384545340292</v>
      </c>
      <c r="AN7" s="7">
        <f t="shared" si="11"/>
        <v>0.96213411817109884</v>
      </c>
      <c r="AO7" s="6">
        <f t="shared" si="12"/>
        <v>0.98957400257431793</v>
      </c>
      <c r="AP7" s="6">
        <f t="shared" si="13"/>
        <v>0.98956384545340292</v>
      </c>
      <c r="AQ7" s="6">
        <f t="shared" si="14"/>
        <v>0.96201015712091498</v>
      </c>
      <c r="AR7" s="7">
        <f t="shared" si="15"/>
        <v>0.97229187925458316</v>
      </c>
      <c r="AS7" s="7">
        <f t="shared" si="16"/>
        <v>0.97082590107093947</v>
      </c>
      <c r="AT7" s="7">
        <f t="shared" si="17"/>
        <v>0.96346597818364366</v>
      </c>
      <c r="AU7" s="6">
        <f t="shared" si="18"/>
        <v>0.97096001924203834</v>
      </c>
      <c r="AV7" s="6">
        <f t="shared" si="19"/>
        <v>0.97082590107093947</v>
      </c>
      <c r="AW7" s="6">
        <f t="shared" si="20"/>
        <v>0.96213411817109884</v>
      </c>
      <c r="AX7" s="6">
        <f t="shared" si="21"/>
        <v>0.97083605819185448</v>
      </c>
      <c r="AY7" s="6">
        <f t="shared" si="22"/>
        <v>0.97082590107093947</v>
      </c>
      <c r="AZ7" s="6">
        <f t="shared" si="23"/>
        <v>0.96201015712091498</v>
      </c>
      <c r="BA7" s="6">
        <f t="shared" si="24"/>
        <v>0.96360009635474253</v>
      </c>
      <c r="BB7" s="6">
        <f t="shared" si="25"/>
        <v>0.96346597818364366</v>
      </c>
      <c r="BC7" s="6">
        <f t="shared" si="26"/>
        <v>0.96213411817109884</v>
      </c>
      <c r="BD7" s="6">
        <f t="shared" si="27"/>
        <v>0.96347613530455867</v>
      </c>
      <c r="BE7" s="6">
        <f t="shared" si="28"/>
        <v>0.96346597818364366</v>
      </c>
      <c r="BF7" s="6">
        <f t="shared" si="29"/>
        <v>0.96201015712091498</v>
      </c>
      <c r="BG7" s="6">
        <f t="shared" si="30"/>
        <v>0.96214427529201374</v>
      </c>
      <c r="BH7" s="6">
        <f t="shared" si="31"/>
        <v>0.96213411817109884</v>
      </c>
      <c r="BI7" s="6">
        <f t="shared" si="32"/>
        <v>0.96201015712091498</v>
      </c>
    </row>
    <row r="8" spans="1:61" x14ac:dyDescent="0.3">
      <c r="A8" s="3">
        <v>1.3199999999999998</v>
      </c>
      <c r="B8" s="3">
        <v>4.8</v>
      </c>
      <c r="C8" s="3">
        <v>97.000000000000014</v>
      </c>
      <c r="D8" s="4">
        <v>1595.0000000000002</v>
      </c>
      <c r="F8" s="3">
        <f>0.5*0.865*(27.5-A8)/A23</f>
        <v>0.80303900709219855</v>
      </c>
      <c r="G8" s="3">
        <f>0.5*((57.25-B8)+(500-A8))/B23</f>
        <v>0.98921276519366763</v>
      </c>
      <c r="H8" s="3">
        <f>(0.5*((C8-9.43)+D8)-0.5*A8*0.2218)/C23</f>
        <v>0.52817590319835983</v>
      </c>
      <c r="I8" s="3">
        <f>(0.5*((C8-27.67)+D8)-0.5*0.055*A8)/D23</f>
        <v>5.3103587351941609E-2</v>
      </c>
      <c r="J8" s="3">
        <f>0.5*0.839*(D8-4.13)/E23</f>
        <v>1.0279615586071126E-2</v>
      </c>
      <c r="L8" s="3">
        <f t="shared" si="0"/>
        <v>2.3838108784222385</v>
      </c>
      <c r="M8" s="4">
        <v>3.5000000000000003E-2</v>
      </c>
      <c r="N8" s="6">
        <f>F8/$L$8</f>
        <v>0.33687194498571216</v>
      </c>
      <c r="O8" s="6">
        <f>G8/$L$8</f>
        <v>0.41497115989687622</v>
      </c>
      <c r="P8" s="6">
        <f>H8/$L$8</f>
        <v>0.22156787183886881</v>
      </c>
      <c r="Q8" s="6">
        <f>I8/$L$8</f>
        <v>2.2276761899454468E-2</v>
      </c>
      <c r="R8" s="6">
        <f>J8/$L$8</f>
        <v>4.3122613790884477E-3</v>
      </c>
      <c r="S8" s="7">
        <f t="shared" si="1"/>
        <v>0.96499999999999997</v>
      </c>
      <c r="T8" s="6">
        <f>N8*$M$8</f>
        <v>1.1790518074499927E-2</v>
      </c>
      <c r="U8" s="6">
        <f>O8*$M$8</f>
        <v>1.4523990596390668E-2</v>
      </c>
      <c r="V8" s="6">
        <f>P8*$M$8</f>
        <v>7.7548755143604089E-3</v>
      </c>
      <c r="W8" s="6">
        <f>Q8*$M$8</f>
        <v>7.7968666648090652E-4</v>
      </c>
      <c r="X8" s="6">
        <f>R8*$M$8</f>
        <v>1.509291482680957E-4</v>
      </c>
      <c r="Y8" s="7">
        <f t="shared" si="2"/>
        <v>0.96499999999999997</v>
      </c>
      <c r="AA8" s="6">
        <f>T8+$Y$8</f>
        <v>0.9767905180744999</v>
      </c>
      <c r="AB8" s="6">
        <f>U8+$Y$8</f>
        <v>0.97952399059639061</v>
      </c>
      <c r="AC8" s="6">
        <f>V8+$Y$8</f>
        <v>0.97275487551436035</v>
      </c>
      <c r="AD8" s="6">
        <f>W8+$Y$8</f>
        <v>0.96577968666648084</v>
      </c>
      <c r="AE8" s="6">
        <f>X8+$Y$8</f>
        <v>0.96515092914826806</v>
      </c>
      <c r="AF8" s="7">
        <f t="shared" si="3"/>
        <v>0.99131450867089055</v>
      </c>
      <c r="AG8" s="7">
        <f t="shared" si="4"/>
        <v>0.9767905180744999</v>
      </c>
      <c r="AH8" s="7">
        <f t="shared" si="5"/>
        <v>0.97952399059639061</v>
      </c>
      <c r="AI8" s="6">
        <f t="shared" si="6"/>
        <v>0.98454539358886028</v>
      </c>
      <c r="AJ8" s="6">
        <f t="shared" si="7"/>
        <v>0.9767905180744999</v>
      </c>
      <c r="AK8" s="6">
        <f t="shared" si="8"/>
        <v>0.97275487551436035</v>
      </c>
      <c r="AL8" s="7">
        <f t="shared" si="9"/>
        <v>0.97757020474098077</v>
      </c>
      <c r="AM8" s="7">
        <f t="shared" si="10"/>
        <v>0.9767905180744999</v>
      </c>
      <c r="AN8" s="7">
        <f t="shared" si="11"/>
        <v>0.96577968666648084</v>
      </c>
      <c r="AO8" s="6">
        <f t="shared" si="12"/>
        <v>0.97694144722276799</v>
      </c>
      <c r="AP8" s="6">
        <f t="shared" si="13"/>
        <v>0.9767905180744999</v>
      </c>
      <c r="AQ8" s="6">
        <f t="shared" si="14"/>
        <v>0.96515092914826806</v>
      </c>
      <c r="AR8" s="7">
        <f t="shared" si="15"/>
        <v>0.987278866110751</v>
      </c>
      <c r="AS8" s="7">
        <f t="shared" si="16"/>
        <v>0.97952399059639061</v>
      </c>
      <c r="AT8" s="7">
        <f t="shared" si="17"/>
        <v>0.97275487551436035</v>
      </c>
      <c r="AU8" s="6">
        <f t="shared" si="18"/>
        <v>0.9803036772628716</v>
      </c>
      <c r="AV8" s="6">
        <f t="shared" si="19"/>
        <v>0.97952399059639061</v>
      </c>
      <c r="AW8" s="6">
        <f t="shared" si="20"/>
        <v>0.96577968666648084</v>
      </c>
      <c r="AX8" s="6">
        <f t="shared" si="21"/>
        <v>0.9796749197446587</v>
      </c>
      <c r="AY8" s="6">
        <f t="shared" si="22"/>
        <v>0.97952399059639061</v>
      </c>
      <c r="AZ8" s="6">
        <f t="shared" si="23"/>
        <v>0.96515092914826806</v>
      </c>
      <c r="BA8" s="6">
        <f t="shared" si="24"/>
        <v>0.97353456218084133</v>
      </c>
      <c r="BB8" s="6">
        <f t="shared" si="25"/>
        <v>0.97275487551436035</v>
      </c>
      <c r="BC8" s="6">
        <f t="shared" si="26"/>
        <v>0.96577968666648084</v>
      </c>
      <c r="BD8" s="6">
        <f t="shared" si="27"/>
        <v>0.97290580466262844</v>
      </c>
      <c r="BE8" s="6">
        <f t="shared" si="28"/>
        <v>0.97275487551436035</v>
      </c>
      <c r="BF8" s="6">
        <f t="shared" si="29"/>
        <v>0.96515092914826806</v>
      </c>
      <c r="BG8" s="6">
        <f t="shared" si="30"/>
        <v>0.96593061581474893</v>
      </c>
      <c r="BH8" s="6">
        <f t="shared" si="31"/>
        <v>0.96577968666648084</v>
      </c>
      <c r="BI8" s="6">
        <f t="shared" si="32"/>
        <v>0.96515092914826806</v>
      </c>
    </row>
    <row r="9" spans="1:61" x14ac:dyDescent="0.3">
      <c r="A9" s="3">
        <v>0</v>
      </c>
      <c r="B9" s="3">
        <v>0</v>
      </c>
      <c r="C9" s="3">
        <v>207.25000000000003</v>
      </c>
      <c r="D9" s="4">
        <v>457.25000000000006</v>
      </c>
      <c r="F9" s="3">
        <v>1</v>
      </c>
      <c r="G9" s="3">
        <f>(B23-0.5*0.2218*(500-D9))/B23</f>
        <v>0.9829810281078365</v>
      </c>
      <c r="H9" s="3">
        <f>(C23-0.5*0.9949*(3000-D9))/C23</f>
        <v>0.20573740137579402</v>
      </c>
      <c r="I9" s="3">
        <f>0.5*((C9-27.67)+D9)/D23</f>
        <v>2.0320148513887921E-2</v>
      </c>
      <c r="J9" s="3">
        <f>0.5*(D9-4.13)*0.6988/E23</f>
        <v>2.4386324538557499E-3</v>
      </c>
      <c r="L9" s="3">
        <f t="shared" si="0"/>
        <v>2.211477210451374</v>
      </c>
      <c r="M9" s="4">
        <v>8.9999999999999993E-3</v>
      </c>
      <c r="N9" s="6">
        <f>F9/$L$9</f>
        <v>0.45218643686402482</v>
      </c>
      <c r="O9" s="6">
        <f>G9/$L$9</f>
        <v>0.44449068860501845</v>
      </c>
      <c r="P9" s="6">
        <f>H9/$L$9</f>
        <v>9.303166245778402E-2</v>
      </c>
      <c r="Q9" s="6">
        <f>I9/$L$9</f>
        <v>9.1884955530427883E-3</v>
      </c>
      <c r="R9" s="6">
        <f>J9/$L$9</f>
        <v>1.1027165201300049E-3</v>
      </c>
      <c r="S9" s="7">
        <f t="shared" si="1"/>
        <v>0.99099999999999999</v>
      </c>
      <c r="T9" s="6">
        <f>N9*$M$9</f>
        <v>4.0696779317762229E-3</v>
      </c>
      <c r="U9" s="6">
        <f>O9*$M$9</f>
        <v>4.0004161974451658E-3</v>
      </c>
      <c r="V9" s="6">
        <f>P9*$M$9</f>
        <v>8.3728496212005614E-4</v>
      </c>
      <c r="W9" s="6">
        <f>Q9*$M$9</f>
        <v>8.2696459977385088E-5</v>
      </c>
      <c r="X9" s="6">
        <f>R9*$M$9</f>
        <v>9.9244486811700445E-6</v>
      </c>
      <c r="Y9" s="7">
        <f t="shared" si="2"/>
        <v>0.99099999999999999</v>
      </c>
      <c r="AA9" s="6">
        <f>T9+$Y$9</f>
        <v>0.99506967793177625</v>
      </c>
      <c r="AB9" s="6">
        <f>U9+$Y$9</f>
        <v>0.99500041619744517</v>
      </c>
      <c r="AC9" s="6">
        <f>V9+$Y$9</f>
        <v>0.99183728496212009</v>
      </c>
      <c r="AD9" s="6">
        <f>W9+$Y$9</f>
        <v>0.99108269645997737</v>
      </c>
      <c r="AE9" s="6">
        <f>X9+$Y$9</f>
        <v>0.99100992444868119</v>
      </c>
      <c r="AF9" s="7">
        <f t="shared" si="3"/>
        <v>0.99907009412922143</v>
      </c>
      <c r="AG9" s="7">
        <f t="shared" si="4"/>
        <v>0.99506967793177625</v>
      </c>
      <c r="AH9" s="7">
        <f t="shared" si="5"/>
        <v>0.99500041619744517</v>
      </c>
      <c r="AI9" s="6">
        <f t="shared" si="6"/>
        <v>0.99590696289389624</v>
      </c>
      <c r="AJ9" s="6">
        <f t="shared" si="7"/>
        <v>0.99506967793177625</v>
      </c>
      <c r="AK9" s="6">
        <f t="shared" si="8"/>
        <v>0.99183728496212009</v>
      </c>
      <c r="AL9" s="7">
        <f t="shared" si="9"/>
        <v>0.99515237439175364</v>
      </c>
      <c r="AM9" s="7">
        <f t="shared" si="10"/>
        <v>0.99506967793177625</v>
      </c>
      <c r="AN9" s="7">
        <f t="shared" si="11"/>
        <v>0.99108269645997737</v>
      </c>
      <c r="AO9" s="6">
        <f t="shared" si="12"/>
        <v>0.99507960238045734</v>
      </c>
      <c r="AP9" s="6">
        <f t="shared" si="13"/>
        <v>0.99506967793177625</v>
      </c>
      <c r="AQ9" s="6">
        <f t="shared" si="14"/>
        <v>0.99100992444868119</v>
      </c>
      <c r="AR9" s="7">
        <f t="shared" si="15"/>
        <v>0.99583770115956516</v>
      </c>
      <c r="AS9" s="7">
        <f t="shared" si="16"/>
        <v>0.99500041619744517</v>
      </c>
      <c r="AT9" s="7">
        <f t="shared" si="17"/>
        <v>0.99183728496212009</v>
      </c>
      <c r="AU9" s="6">
        <f t="shared" si="18"/>
        <v>0.99508311265742255</v>
      </c>
      <c r="AV9" s="6">
        <f t="shared" si="19"/>
        <v>0.99500041619744517</v>
      </c>
      <c r="AW9" s="6">
        <f t="shared" si="20"/>
        <v>0.99108269645997737</v>
      </c>
      <c r="AX9" s="6">
        <f t="shared" si="21"/>
        <v>0.99501034064612637</v>
      </c>
      <c r="AY9" s="6">
        <f t="shared" si="22"/>
        <v>0.99500041619744517</v>
      </c>
      <c r="AZ9" s="6">
        <f t="shared" si="23"/>
        <v>0.99100992444868119</v>
      </c>
      <c r="BA9" s="6">
        <f t="shared" si="24"/>
        <v>0.99191998142209747</v>
      </c>
      <c r="BB9" s="6">
        <f t="shared" si="25"/>
        <v>0.99183728496212009</v>
      </c>
      <c r="BC9" s="6">
        <f t="shared" si="26"/>
        <v>0.99108269645997737</v>
      </c>
      <c r="BD9" s="6">
        <f t="shared" si="27"/>
        <v>0.99184720941080118</v>
      </c>
      <c r="BE9" s="6">
        <f t="shared" si="28"/>
        <v>0.99183728496212009</v>
      </c>
      <c r="BF9" s="6">
        <f t="shared" si="29"/>
        <v>0.99100992444868119</v>
      </c>
      <c r="BG9" s="6">
        <f t="shared" si="30"/>
        <v>0.99109262090865857</v>
      </c>
      <c r="BH9" s="6">
        <f t="shared" si="31"/>
        <v>0.99108269645997737</v>
      </c>
      <c r="BI9" s="6">
        <f t="shared" si="32"/>
        <v>0.99100992444868119</v>
      </c>
    </row>
    <row r="10" spans="1:61" x14ac:dyDescent="0.3">
      <c r="A10" s="3">
        <v>0</v>
      </c>
      <c r="B10" s="3">
        <v>0</v>
      </c>
      <c r="C10" s="3">
        <v>2.5</v>
      </c>
      <c r="D10" s="4">
        <v>27.5</v>
      </c>
      <c r="F10" s="3">
        <v>1</v>
      </c>
      <c r="G10" s="3">
        <f>0.5*((C10-0.11)+D10)/B23</f>
        <v>5.3648993071759347E-2</v>
      </c>
      <c r="H10" s="3">
        <f>0.5*D10*0.7987/C23</f>
        <v>6.8960022856640506E-3</v>
      </c>
      <c r="I10" s="3">
        <f>0.5*D10*0.522/D23</f>
        <v>4.5804332697401356E-4</v>
      </c>
      <c r="J10" s="3">
        <f>0.5*(D10-4.13)*0.055/E23</f>
        <v>9.8992347472188995E-6</v>
      </c>
      <c r="L10" s="3">
        <f t="shared" si="0"/>
        <v>1.0610129379191449</v>
      </c>
      <c r="M10" s="4">
        <v>7.0000000000000001E-3</v>
      </c>
      <c r="N10" s="6">
        <f>F10/$L$10</f>
        <v>0.94249557593632816</v>
      </c>
      <c r="O10" s="6">
        <f>G10/$L$10</f>
        <v>5.0563938623571905E-2</v>
      </c>
      <c r="P10" s="6">
        <f>H10/$L$10</f>
        <v>6.4994516458851742E-3</v>
      </c>
      <c r="Q10" s="6">
        <f>I10/$L$10</f>
        <v>4.3170380926016476E-4</v>
      </c>
      <c r="R10" s="6">
        <f>J10/$L$10</f>
        <v>9.329984954408988E-6</v>
      </c>
      <c r="S10" s="7">
        <f t="shared" si="1"/>
        <v>0.99299999999999999</v>
      </c>
      <c r="T10" s="6">
        <f>N10*$M$10</f>
        <v>6.5974690315542973E-3</v>
      </c>
      <c r="U10" s="6">
        <f>O10*$M$10</f>
        <v>3.5394757036500335E-4</v>
      </c>
      <c r="V10" s="6">
        <f>P10*$M$10</f>
        <v>4.5496161521196218E-5</v>
      </c>
      <c r="W10" s="6">
        <f>Q10*$M$10</f>
        <v>3.0219266648211535E-6</v>
      </c>
      <c r="X10" s="6">
        <f>R10*$M$10</f>
        <v>6.5309894680862917E-8</v>
      </c>
      <c r="Y10" s="7">
        <f t="shared" si="2"/>
        <v>0.99299999999999999</v>
      </c>
      <c r="AA10" s="6">
        <f>T10+$Y$10</f>
        <v>0.99959746903155433</v>
      </c>
      <c r="AB10" s="6">
        <f>U10+$Y$10</f>
        <v>0.99335394757036499</v>
      </c>
      <c r="AC10" s="6">
        <f>V10+$Y$10</f>
        <v>0.99304549616152116</v>
      </c>
      <c r="AD10" s="6">
        <f>W10+$Y$10</f>
        <v>0.99300302192666479</v>
      </c>
      <c r="AE10" s="6">
        <f>X10+$Y$10</f>
        <v>0.99300006530989471</v>
      </c>
      <c r="AF10" s="7">
        <f t="shared" si="3"/>
        <v>0.99995141660191933</v>
      </c>
      <c r="AG10" s="7">
        <f t="shared" si="4"/>
        <v>0.99959746903155433</v>
      </c>
      <c r="AH10" s="7">
        <f t="shared" si="5"/>
        <v>0.99335394757036499</v>
      </c>
      <c r="AI10" s="6">
        <f t="shared" si="6"/>
        <v>0.99964296519307549</v>
      </c>
      <c r="AJ10" s="6">
        <f t="shared" si="7"/>
        <v>0.99959746903155433</v>
      </c>
      <c r="AK10" s="6">
        <f t="shared" si="8"/>
        <v>0.99304549616152116</v>
      </c>
      <c r="AL10" s="7">
        <f t="shared" si="9"/>
        <v>0.99960049095821912</v>
      </c>
      <c r="AM10" s="7">
        <f t="shared" si="10"/>
        <v>0.99959746903155433</v>
      </c>
      <c r="AN10" s="7">
        <f t="shared" si="11"/>
        <v>0.99300302192666479</v>
      </c>
      <c r="AO10" s="6">
        <f t="shared" si="12"/>
        <v>0.99959753434144893</v>
      </c>
      <c r="AP10" s="6">
        <f t="shared" si="13"/>
        <v>0.99959746903155433</v>
      </c>
      <c r="AQ10" s="6">
        <f t="shared" si="14"/>
        <v>0.99300006530989471</v>
      </c>
      <c r="AR10" s="7">
        <f t="shared" si="15"/>
        <v>0.99339944373188616</v>
      </c>
      <c r="AS10" s="7">
        <f t="shared" si="16"/>
        <v>0.99335394757036499</v>
      </c>
      <c r="AT10" s="7">
        <f t="shared" si="17"/>
        <v>0.99304549616152116</v>
      </c>
      <c r="AU10" s="6">
        <f t="shared" si="18"/>
        <v>0.99335696949702978</v>
      </c>
      <c r="AV10" s="6">
        <f t="shared" si="19"/>
        <v>0.99335394757036499</v>
      </c>
      <c r="AW10" s="6">
        <f t="shared" si="20"/>
        <v>0.99300302192666479</v>
      </c>
      <c r="AX10" s="6">
        <f t="shared" si="21"/>
        <v>0.99335401288025971</v>
      </c>
      <c r="AY10" s="6">
        <f t="shared" si="22"/>
        <v>0.99335394757036499</v>
      </c>
      <c r="AZ10" s="6">
        <f t="shared" si="23"/>
        <v>0.99300006530989471</v>
      </c>
      <c r="BA10" s="6">
        <f t="shared" si="24"/>
        <v>0.99304851808818606</v>
      </c>
      <c r="BB10" s="6">
        <f t="shared" si="25"/>
        <v>0.99304549616152116</v>
      </c>
      <c r="BC10" s="6">
        <f t="shared" si="26"/>
        <v>0.99300302192666479</v>
      </c>
      <c r="BD10" s="6">
        <f t="shared" si="27"/>
        <v>0.99304556147141587</v>
      </c>
      <c r="BE10" s="6">
        <f t="shared" si="28"/>
        <v>0.99304549616152116</v>
      </c>
      <c r="BF10" s="6">
        <f t="shared" si="29"/>
        <v>0.99300006530989471</v>
      </c>
      <c r="BG10" s="6">
        <f t="shared" si="30"/>
        <v>0.9930030872365595</v>
      </c>
      <c r="BH10" s="6">
        <f t="shared" si="31"/>
        <v>0.99300302192666479</v>
      </c>
      <c r="BI10" s="6">
        <f t="shared" si="32"/>
        <v>0.99300006530989471</v>
      </c>
    </row>
    <row r="11" spans="1:61" x14ac:dyDescent="0.3">
      <c r="A11" s="3">
        <v>3.7499999999999999E-2</v>
      </c>
      <c r="B11" s="3">
        <v>0.1</v>
      </c>
      <c r="C11" s="3">
        <v>5</v>
      </c>
      <c r="D11" s="4">
        <v>41.25</v>
      </c>
      <c r="F11" s="3">
        <f>0.5*((0.7-0.1)+27.5)/A23</f>
        <v>0.99645390070921991</v>
      </c>
      <c r="G11" s="3">
        <f>0.5*((C11-0.11)+D11)/B23</f>
        <v>8.2815809311842625E-2</v>
      </c>
      <c r="H11" s="3">
        <f>0.5*0.903*(D11-0)/C23</f>
        <v>1.1694797916529307E-2</v>
      </c>
      <c r="I11" s="3">
        <f>0.5*D11*0.645/D23</f>
        <v>8.4895961465011134E-4</v>
      </c>
      <c r="J11" s="3">
        <f>0.5*0.085*(D11-4.13)/E23</f>
        <v>2.4300047048994496E-5</v>
      </c>
      <c r="L11" s="3">
        <f t="shared" si="0"/>
        <v>1.091837767599291</v>
      </c>
      <c r="M11" s="4">
        <v>2.5999999999999999E-2</v>
      </c>
      <c r="N11" s="6">
        <f>F11/$L$11</f>
        <v>0.91263915783038074</v>
      </c>
      <c r="O11" s="6">
        <f>G11/$L$11</f>
        <v>7.584992181937085E-2</v>
      </c>
      <c r="P11" s="6">
        <f>H11/$L$11</f>
        <v>1.0711113192432951E-2</v>
      </c>
      <c r="Q11" s="6">
        <f>I11/$L$11</f>
        <v>7.7755106101228314E-4</v>
      </c>
      <c r="R11" s="6">
        <f>J11/$L$11</f>
        <v>2.2256096803122052E-5</v>
      </c>
      <c r="S11" s="7">
        <f t="shared" si="1"/>
        <v>0.97399999999999998</v>
      </c>
      <c r="T11" s="6">
        <f>N11*$M$11</f>
        <v>2.3728618103589897E-2</v>
      </c>
      <c r="U11" s="6">
        <f>O11*$M$11</f>
        <v>1.972097967303642E-3</v>
      </c>
      <c r="V11" s="6">
        <f>P11*$M$11</f>
        <v>2.7848894300325672E-4</v>
      </c>
      <c r="W11" s="6">
        <f>Q11*$M$11</f>
        <v>2.0216327586319359E-5</v>
      </c>
      <c r="X11" s="6">
        <f>R11*$M$11</f>
        <v>5.7865851688117328E-7</v>
      </c>
      <c r="Y11" s="7">
        <f t="shared" si="2"/>
        <v>0.97399999999999998</v>
      </c>
      <c r="AA11" s="6">
        <f>T11+$Y$11</f>
        <v>0.99772861810358993</v>
      </c>
      <c r="AB11" s="6">
        <f>U11+$Y$11</f>
        <v>0.97597209796730366</v>
      </c>
      <c r="AC11" s="6">
        <f>V11+$Y$11</f>
        <v>0.97427848894300328</v>
      </c>
      <c r="AD11" s="6">
        <f>W11+$Y$11</f>
        <v>0.97402021632758629</v>
      </c>
      <c r="AE11" s="6">
        <f>X11+$Y$11</f>
        <v>0.97400057865851686</v>
      </c>
      <c r="AF11" s="7">
        <f t="shared" si="3"/>
        <v>0.9997007160708935</v>
      </c>
      <c r="AG11" s="7">
        <f t="shared" si="4"/>
        <v>0.99772861810358993</v>
      </c>
      <c r="AH11" s="7">
        <f t="shared" si="5"/>
        <v>0.97597209796730366</v>
      </c>
      <c r="AI11" s="6">
        <f t="shared" si="6"/>
        <v>0.99800710704659312</v>
      </c>
      <c r="AJ11" s="6">
        <f t="shared" si="7"/>
        <v>0.99772861810358993</v>
      </c>
      <c r="AK11" s="6">
        <f t="shared" si="8"/>
        <v>0.97427848894300328</v>
      </c>
      <c r="AL11" s="7">
        <f t="shared" si="9"/>
        <v>0.99774883443117623</v>
      </c>
      <c r="AM11" s="7">
        <f t="shared" si="10"/>
        <v>0.99772861810358993</v>
      </c>
      <c r="AN11" s="7">
        <f t="shared" si="11"/>
        <v>0.97402021632758629</v>
      </c>
      <c r="AO11" s="6">
        <f t="shared" si="12"/>
        <v>0.99772919676210681</v>
      </c>
      <c r="AP11" s="6">
        <f t="shared" si="13"/>
        <v>0.99772861810358993</v>
      </c>
      <c r="AQ11" s="6">
        <f t="shared" si="14"/>
        <v>0.97400057865851686</v>
      </c>
      <c r="AR11" s="7">
        <f t="shared" si="15"/>
        <v>0.97625058691030686</v>
      </c>
      <c r="AS11" s="7">
        <f t="shared" si="16"/>
        <v>0.97597209796730366</v>
      </c>
      <c r="AT11" s="7">
        <f t="shared" si="17"/>
        <v>0.97427848894300328</v>
      </c>
      <c r="AU11" s="6">
        <f t="shared" si="18"/>
        <v>0.97599231429488997</v>
      </c>
      <c r="AV11" s="6">
        <f t="shared" si="19"/>
        <v>0.97597209796730366</v>
      </c>
      <c r="AW11" s="6">
        <f t="shared" si="20"/>
        <v>0.97402021632758629</v>
      </c>
      <c r="AX11" s="6">
        <f t="shared" si="21"/>
        <v>0.97597267662582055</v>
      </c>
      <c r="AY11" s="6">
        <f t="shared" si="22"/>
        <v>0.97597209796730366</v>
      </c>
      <c r="AZ11" s="6">
        <f t="shared" si="23"/>
        <v>0.97400057865851686</v>
      </c>
      <c r="BA11" s="6">
        <f t="shared" si="24"/>
        <v>0.97429870527058959</v>
      </c>
      <c r="BB11" s="6">
        <f t="shared" si="25"/>
        <v>0.97427848894300328</v>
      </c>
      <c r="BC11" s="6">
        <f t="shared" si="26"/>
        <v>0.97402021632758629</v>
      </c>
      <c r="BD11" s="6">
        <f t="shared" si="27"/>
        <v>0.97427906760152017</v>
      </c>
      <c r="BE11" s="6">
        <f t="shared" si="28"/>
        <v>0.97427848894300328</v>
      </c>
      <c r="BF11" s="6">
        <f t="shared" si="29"/>
        <v>0.97400057865851686</v>
      </c>
      <c r="BG11" s="6">
        <f t="shared" si="30"/>
        <v>0.97402079498610317</v>
      </c>
      <c r="BH11" s="6">
        <f t="shared" si="31"/>
        <v>0.97402021632758629</v>
      </c>
      <c r="BI11" s="6">
        <f t="shared" si="32"/>
        <v>0.97400057865851686</v>
      </c>
    </row>
    <row r="12" spans="1:61" x14ac:dyDescent="0.3">
      <c r="A12" s="3">
        <v>0</v>
      </c>
      <c r="B12" s="3">
        <v>0</v>
      </c>
      <c r="C12" s="3">
        <v>241.00000000000003</v>
      </c>
      <c r="D12" s="4">
        <v>491.00000000000006</v>
      </c>
      <c r="F12" s="3">
        <v>1</v>
      </c>
      <c r="G12" s="3">
        <f>(B23-0.5*0.047*(500-D12))/B23</f>
        <v>0.99924076533725814</v>
      </c>
      <c r="H12" s="3">
        <f>(C23-0.5*0.9817*(3000-D12))/C23</f>
        <v>0.22667781241856536</v>
      </c>
      <c r="I12" s="3">
        <f>0.5*((C12-27.67)+(D12-0))/D23</f>
        <v>2.2473957261414632E-2</v>
      </c>
      <c r="J12" s="3">
        <f>0.5*(D12-4.13)*0.7509/E23</f>
        <v>2.8156284221520136E-3</v>
      </c>
      <c r="L12" s="3">
        <f t="shared" si="0"/>
        <v>2.2512081634393906</v>
      </c>
      <c r="M12" s="4">
        <v>1.2E-2</v>
      </c>
      <c r="N12" s="6">
        <f>F12/$L$12</f>
        <v>0.4442059229530344</v>
      </c>
      <c r="O12" s="6">
        <f>G12/$L$12</f>
        <v>0.44386866641893324</v>
      </c>
      <c r="P12" s="6">
        <f>H12/$L$12</f>
        <v>0.10069162687836362</v>
      </c>
      <c r="Q12" s="6">
        <f>I12/$L$12</f>
        <v>9.9830649277137355E-3</v>
      </c>
      <c r="R12" s="6">
        <f>J12/$L$12</f>
        <v>1.2507188219548311E-3</v>
      </c>
      <c r="S12" s="7">
        <f t="shared" si="1"/>
        <v>0.98799999999999999</v>
      </c>
      <c r="T12" s="6">
        <f>N12*$M$12</f>
        <v>5.330471075436413E-3</v>
      </c>
      <c r="U12" s="6">
        <f>O12*$M$12</f>
        <v>5.3264239970271989E-3</v>
      </c>
      <c r="V12" s="6">
        <f>P12*$M$12</f>
        <v>1.2082995225403635E-3</v>
      </c>
      <c r="W12" s="6">
        <f>Q12*$M$12</f>
        <v>1.1979677913256482E-4</v>
      </c>
      <c r="X12" s="6">
        <f>R12*$M$12</f>
        <v>1.5008625863457974E-5</v>
      </c>
      <c r="Y12" s="7">
        <f t="shared" si="2"/>
        <v>0.98799999999999999</v>
      </c>
      <c r="AA12" s="6">
        <f>T12+$Y$12</f>
        <v>0.99333047107543637</v>
      </c>
      <c r="AB12" s="6">
        <f>U12+$Y$12</f>
        <v>0.9933264239970272</v>
      </c>
      <c r="AC12" s="6">
        <f>V12+$Y$12</f>
        <v>0.9892082995225403</v>
      </c>
      <c r="AD12" s="6">
        <f>W12+$Y$12</f>
        <v>0.98811979677913253</v>
      </c>
      <c r="AE12" s="6">
        <f>X12+$Y$12</f>
        <v>0.98801500862586344</v>
      </c>
      <c r="AF12" s="7">
        <f t="shared" si="3"/>
        <v>0.99865689507246358</v>
      </c>
      <c r="AG12" s="7">
        <f t="shared" si="4"/>
        <v>0.99333047107543637</v>
      </c>
      <c r="AH12" s="7">
        <f t="shared" si="5"/>
        <v>0.9933264239970272</v>
      </c>
      <c r="AI12" s="6">
        <f t="shared" si="6"/>
        <v>0.9945387705979768</v>
      </c>
      <c r="AJ12" s="6">
        <f t="shared" si="7"/>
        <v>0.99333047107543637</v>
      </c>
      <c r="AK12" s="6">
        <f t="shared" si="8"/>
        <v>0.9892082995225403</v>
      </c>
      <c r="AL12" s="7">
        <f t="shared" si="9"/>
        <v>0.99345026785456891</v>
      </c>
      <c r="AM12" s="7">
        <f t="shared" si="10"/>
        <v>0.99333047107543637</v>
      </c>
      <c r="AN12" s="7">
        <f t="shared" si="11"/>
        <v>0.98811979677913253</v>
      </c>
      <c r="AO12" s="6">
        <f t="shared" si="12"/>
        <v>0.99334547970129983</v>
      </c>
      <c r="AP12" s="6">
        <f t="shared" si="13"/>
        <v>0.99333047107543637</v>
      </c>
      <c r="AQ12" s="6">
        <f t="shared" si="14"/>
        <v>0.98801500862586344</v>
      </c>
      <c r="AR12" s="7">
        <f t="shared" si="15"/>
        <v>0.99453472351956751</v>
      </c>
      <c r="AS12" s="7">
        <f t="shared" si="16"/>
        <v>0.9933264239970272</v>
      </c>
      <c r="AT12" s="7">
        <f t="shared" si="17"/>
        <v>0.9892082995225403</v>
      </c>
      <c r="AU12" s="6">
        <f t="shared" si="18"/>
        <v>0.99344622077615974</v>
      </c>
      <c r="AV12" s="6">
        <f t="shared" si="19"/>
        <v>0.9933264239970272</v>
      </c>
      <c r="AW12" s="6">
        <f t="shared" si="20"/>
        <v>0.98811979677913253</v>
      </c>
      <c r="AX12" s="6">
        <f t="shared" si="21"/>
        <v>0.99334143262289065</v>
      </c>
      <c r="AY12" s="6">
        <f t="shared" si="22"/>
        <v>0.9933264239970272</v>
      </c>
      <c r="AZ12" s="6">
        <f t="shared" si="23"/>
        <v>0.98801500862586344</v>
      </c>
      <c r="BA12" s="6">
        <f t="shared" si="24"/>
        <v>0.98932809630167295</v>
      </c>
      <c r="BB12" s="6">
        <f t="shared" si="25"/>
        <v>0.9892082995225403</v>
      </c>
      <c r="BC12" s="6">
        <f t="shared" si="26"/>
        <v>0.98811979677913253</v>
      </c>
      <c r="BD12" s="6">
        <f t="shared" si="27"/>
        <v>0.98922330814840376</v>
      </c>
      <c r="BE12" s="6">
        <f t="shared" si="28"/>
        <v>0.9892082995225403</v>
      </c>
      <c r="BF12" s="6">
        <f t="shared" si="29"/>
        <v>0.98801500862586344</v>
      </c>
      <c r="BG12" s="6">
        <f t="shared" si="30"/>
        <v>0.98813480540499599</v>
      </c>
      <c r="BH12" s="6">
        <f t="shared" si="31"/>
        <v>0.98811979677913253</v>
      </c>
      <c r="BI12" s="6">
        <f t="shared" si="32"/>
        <v>0.98801500862586344</v>
      </c>
    </row>
    <row r="13" spans="1:61" x14ac:dyDescent="0.3">
      <c r="A13" s="3">
        <v>0</v>
      </c>
      <c r="B13" s="3">
        <v>0</v>
      </c>
      <c r="C13" s="3">
        <v>153.25000000000003</v>
      </c>
      <c r="D13" s="4">
        <v>403.25000000000006</v>
      </c>
      <c r="F13" s="3">
        <v>1</v>
      </c>
      <c r="G13" s="3">
        <f>(B23-0.5*0.5019*(500-D13))/B23</f>
        <v>0.91284268765480858</v>
      </c>
      <c r="H13" s="3">
        <f>0.5*((C13-9.43)+D13)/C23</f>
        <v>0.17176074623163698</v>
      </c>
      <c r="I13" s="3">
        <f>0.5*((C13-27.67)+D13)/D23</f>
        <v>1.6874054517845183E-2</v>
      </c>
      <c r="J13" s="3">
        <f>0.5*0.616*(D13-4.13)/E23</f>
        <v>1.8934961407733029E-3</v>
      </c>
      <c r="L13" s="3">
        <f t="shared" si="0"/>
        <v>2.1033709845450637</v>
      </c>
      <c r="M13" s="4">
        <v>0.02</v>
      </c>
      <c r="N13" s="6">
        <f>F13/$L$13</f>
        <v>0.47542730566680758</v>
      </c>
      <c r="O13" s="6">
        <f>G13/$L$13</f>
        <v>0.43399033948937282</v>
      </c>
      <c r="P13" s="6">
        <f>H13/$L$13</f>
        <v>8.1659748800227444E-2</v>
      </c>
      <c r="Q13" s="6">
        <f>I13/$L$13</f>
        <v>8.0223862750939574E-3</v>
      </c>
      <c r="R13" s="6">
        <f>J13/$L$13</f>
        <v>9.0021976849834965E-4</v>
      </c>
      <c r="S13" s="7">
        <f t="shared" si="1"/>
        <v>0.98</v>
      </c>
      <c r="T13" s="6">
        <f>N13*$M$13</f>
        <v>9.5085461133361509E-3</v>
      </c>
      <c r="U13" s="6">
        <f>O13*$M$13</f>
        <v>8.6798067897874559E-3</v>
      </c>
      <c r="V13" s="6">
        <f>P13*$M$13</f>
        <v>1.633194976004549E-3</v>
      </c>
      <c r="W13" s="6">
        <f>Q13*$M$13</f>
        <v>1.6044772550187914E-4</v>
      </c>
      <c r="X13" s="6">
        <f>R13*$M$13</f>
        <v>1.8004395369966993E-5</v>
      </c>
      <c r="Y13" s="7">
        <f t="shared" si="2"/>
        <v>0.98</v>
      </c>
      <c r="AA13" s="6">
        <f>T13+$Y$13</f>
        <v>0.98950854611333616</v>
      </c>
      <c r="AB13" s="6">
        <f>U13+$Y$13</f>
        <v>0.9886798067897874</v>
      </c>
      <c r="AC13" s="6">
        <f>V13+$Y$13</f>
        <v>0.98163319497600454</v>
      </c>
      <c r="AD13" s="6">
        <f>W13+$Y$13</f>
        <v>0.98016044772550182</v>
      </c>
      <c r="AE13" s="6">
        <f>X13+$Y$13</f>
        <v>0.9800180043953699</v>
      </c>
      <c r="AF13" s="7">
        <f t="shared" si="3"/>
        <v>0.99818835290312358</v>
      </c>
      <c r="AG13" s="7">
        <f t="shared" si="4"/>
        <v>0.98950854611333616</v>
      </c>
      <c r="AH13" s="7">
        <f t="shared" si="5"/>
        <v>0.9886798067897874</v>
      </c>
      <c r="AI13" s="6">
        <f t="shared" si="6"/>
        <v>0.99114174108934072</v>
      </c>
      <c r="AJ13" s="6">
        <f t="shared" si="7"/>
        <v>0.98950854611333616</v>
      </c>
      <c r="AK13" s="6">
        <f t="shared" si="8"/>
        <v>0.98163319497600454</v>
      </c>
      <c r="AL13" s="7">
        <f t="shared" si="9"/>
        <v>0.989668993838838</v>
      </c>
      <c r="AM13" s="7">
        <f t="shared" si="10"/>
        <v>0.98950854611333616</v>
      </c>
      <c r="AN13" s="7">
        <f t="shared" si="11"/>
        <v>0.98016044772550182</v>
      </c>
      <c r="AO13" s="6">
        <f t="shared" si="12"/>
        <v>0.98952655050870608</v>
      </c>
      <c r="AP13" s="6">
        <f t="shared" si="13"/>
        <v>0.98950854611333616</v>
      </c>
      <c r="AQ13" s="6">
        <f t="shared" si="14"/>
        <v>0.9800180043953699</v>
      </c>
      <c r="AR13" s="7">
        <f t="shared" si="15"/>
        <v>0.99031300176579196</v>
      </c>
      <c r="AS13" s="7">
        <f t="shared" si="16"/>
        <v>0.9886798067897874</v>
      </c>
      <c r="AT13" s="7">
        <f t="shared" si="17"/>
        <v>0.98163319497600454</v>
      </c>
      <c r="AU13" s="6">
        <f t="shared" si="18"/>
        <v>0.98884025451528934</v>
      </c>
      <c r="AV13" s="6">
        <f t="shared" si="19"/>
        <v>0.9886798067897874</v>
      </c>
      <c r="AW13" s="6">
        <f t="shared" si="20"/>
        <v>0.98016044772550182</v>
      </c>
      <c r="AX13" s="6">
        <f t="shared" si="21"/>
        <v>0.98869781118515743</v>
      </c>
      <c r="AY13" s="6">
        <f t="shared" si="22"/>
        <v>0.9886798067897874</v>
      </c>
      <c r="AZ13" s="6">
        <f t="shared" si="23"/>
        <v>0.9800180043953699</v>
      </c>
      <c r="BA13" s="6">
        <f t="shared" si="24"/>
        <v>0.98179364270150637</v>
      </c>
      <c r="BB13" s="6">
        <f t="shared" si="25"/>
        <v>0.98163319497600454</v>
      </c>
      <c r="BC13" s="6">
        <f t="shared" si="26"/>
        <v>0.98016044772550182</v>
      </c>
      <c r="BD13" s="6">
        <f t="shared" si="27"/>
        <v>0.98165119937137446</v>
      </c>
      <c r="BE13" s="6">
        <f t="shared" si="28"/>
        <v>0.98163319497600454</v>
      </c>
      <c r="BF13" s="6">
        <f t="shared" si="29"/>
        <v>0.9800180043953699</v>
      </c>
      <c r="BG13" s="6">
        <f t="shared" si="30"/>
        <v>0.98017845212087185</v>
      </c>
      <c r="BH13" s="6">
        <f t="shared" si="31"/>
        <v>0.98016044772550182</v>
      </c>
      <c r="BI13" s="6">
        <f t="shared" si="32"/>
        <v>0.9800180043953699</v>
      </c>
    </row>
    <row r="14" spans="1:61" x14ac:dyDescent="0.3">
      <c r="A14" s="3">
        <v>0</v>
      </c>
      <c r="B14" s="3">
        <v>0</v>
      </c>
      <c r="C14" s="3">
        <v>0.25</v>
      </c>
      <c r="D14" s="4">
        <v>2.75</v>
      </c>
      <c r="F14" s="3">
        <f>0.5*(0.25+D14)/A23</f>
        <v>0.10638297872340426</v>
      </c>
      <c r="G14" s="3">
        <f>0.5*((C14-0.11)+(D14-0))/B23</f>
        <v>5.1872060882363503E-3</v>
      </c>
      <c r="H14" s="3">
        <f>0.5*0.2305*D14/C23</f>
        <v>1.9901446436028096E-4</v>
      </c>
      <c r="I14" s="3">
        <f>0.5*0.09115*D14/D23</f>
        <v>7.9982086692876125E-6</v>
      </c>
      <c r="J14" s="3">
        <v>0</v>
      </c>
      <c r="L14" s="3">
        <f t="shared" si="0"/>
        <v>0.11177719748467017</v>
      </c>
      <c r="M14" s="4">
        <v>1.7000000000000001E-2</v>
      </c>
      <c r="N14" s="6">
        <f>F14/$L$14</f>
        <v>0.95174133112430459</v>
      </c>
      <c r="O14" s="6">
        <f>G14/$L$14</f>
        <v>4.640665721600111E-2</v>
      </c>
      <c r="P14" s="6">
        <f>H14/$L$14</f>
        <v>1.780456737498496E-3</v>
      </c>
      <c r="Q14" s="6">
        <f>I14/$L$14</f>
        <v>7.1554922195866803E-5</v>
      </c>
      <c r="R14" s="6">
        <f>J14/$L$14</f>
        <v>0</v>
      </c>
      <c r="S14" s="7">
        <f t="shared" si="1"/>
        <v>0.98299999999999998</v>
      </c>
      <c r="T14" s="6">
        <f>N14*$M$14</f>
        <v>1.6179602629113179E-2</v>
      </c>
      <c r="U14" s="6">
        <f>O14*$M$14</f>
        <v>7.8891317267201896E-4</v>
      </c>
      <c r="V14" s="6">
        <f>P14*$M$14</f>
        <v>3.0267764537474433E-5</v>
      </c>
      <c r="W14" s="6">
        <f>Q14*$M$14</f>
        <v>1.2164336773297357E-6</v>
      </c>
      <c r="X14" s="6">
        <f>R14*$M$14</f>
        <v>0</v>
      </c>
      <c r="Y14" s="7">
        <f t="shared" si="2"/>
        <v>0.98299999999999998</v>
      </c>
      <c r="AA14" s="6">
        <f>T14+$Y$14</f>
        <v>0.99917960262911321</v>
      </c>
      <c r="AB14" s="6">
        <f>U14+$Y$14</f>
        <v>0.98378891317267203</v>
      </c>
      <c r="AC14" s="6">
        <f>V14+$Y$14</f>
        <v>0.9830302677645375</v>
      </c>
      <c r="AD14" s="6">
        <f>W14+$Y$14</f>
        <v>0.98300121643367733</v>
      </c>
      <c r="AE14" s="6">
        <f>X14+$Y$14</f>
        <v>0.98299999999999998</v>
      </c>
      <c r="AF14" s="7">
        <f t="shared" si="3"/>
        <v>0.99996851580178514</v>
      </c>
      <c r="AG14" s="7">
        <f t="shared" si="4"/>
        <v>0.99917960262911321</v>
      </c>
      <c r="AH14" s="7">
        <f t="shared" si="5"/>
        <v>0.98378891317267203</v>
      </c>
      <c r="AI14" s="6">
        <f t="shared" si="6"/>
        <v>0.99920987039365061</v>
      </c>
      <c r="AJ14" s="6">
        <f t="shared" si="7"/>
        <v>0.99917960262911321</v>
      </c>
      <c r="AK14" s="6">
        <f t="shared" si="8"/>
        <v>0.9830302677645375</v>
      </c>
      <c r="AL14" s="7">
        <f t="shared" si="9"/>
        <v>0.99918081906279044</v>
      </c>
      <c r="AM14" s="7">
        <f t="shared" si="10"/>
        <v>0.99917960262911321</v>
      </c>
      <c r="AN14" s="7">
        <f t="shared" si="11"/>
        <v>0.98300121643367733</v>
      </c>
      <c r="AO14" s="6">
        <f t="shared" si="12"/>
        <v>0.99917960262911321</v>
      </c>
      <c r="AP14" s="6">
        <f t="shared" si="13"/>
        <v>0.99917960262911321</v>
      </c>
      <c r="AQ14" s="6">
        <f t="shared" si="14"/>
        <v>0.98299999999999998</v>
      </c>
      <c r="AR14" s="7">
        <f t="shared" si="15"/>
        <v>0.98381918093720944</v>
      </c>
      <c r="AS14" s="7">
        <f t="shared" si="16"/>
        <v>0.98378891317267203</v>
      </c>
      <c r="AT14" s="7">
        <f t="shared" si="17"/>
        <v>0.9830302677645375</v>
      </c>
      <c r="AU14" s="6">
        <f t="shared" si="18"/>
        <v>0.98379012960634937</v>
      </c>
      <c r="AV14" s="6">
        <f t="shared" si="19"/>
        <v>0.98378891317267203</v>
      </c>
      <c r="AW14" s="6">
        <f t="shared" si="20"/>
        <v>0.98300121643367733</v>
      </c>
      <c r="AX14" s="6">
        <f t="shared" si="21"/>
        <v>0.98378891317267203</v>
      </c>
      <c r="AY14" s="6">
        <f t="shared" si="22"/>
        <v>0.98378891317267203</v>
      </c>
      <c r="AZ14" s="6">
        <f t="shared" si="23"/>
        <v>0.98299999999999998</v>
      </c>
      <c r="BA14" s="6">
        <f t="shared" si="24"/>
        <v>0.98303148419821484</v>
      </c>
      <c r="BB14" s="6">
        <f t="shared" si="25"/>
        <v>0.9830302677645375</v>
      </c>
      <c r="BC14" s="6">
        <f t="shared" si="26"/>
        <v>0.98300121643367733</v>
      </c>
      <c r="BD14" s="6">
        <f t="shared" si="27"/>
        <v>0.9830302677645375</v>
      </c>
      <c r="BE14" s="6">
        <f t="shared" si="28"/>
        <v>0.9830302677645375</v>
      </c>
      <c r="BF14" s="6">
        <f t="shared" si="29"/>
        <v>0.98299999999999998</v>
      </c>
      <c r="BG14" s="6">
        <f t="shared" si="30"/>
        <v>0.98300121643367733</v>
      </c>
      <c r="BH14" s="6">
        <f t="shared" si="31"/>
        <v>0.98300121643367733</v>
      </c>
      <c r="BI14" s="6">
        <f t="shared" si="32"/>
        <v>0.98299999999999998</v>
      </c>
    </row>
    <row r="15" spans="1:61" x14ac:dyDescent="0.3">
      <c r="A15" s="3">
        <v>0</v>
      </c>
      <c r="B15" s="3">
        <v>0</v>
      </c>
      <c r="C15" s="3">
        <v>15.325000000000001</v>
      </c>
      <c r="D15" s="4">
        <v>168.57500000000002</v>
      </c>
      <c r="F15" s="3">
        <v>1</v>
      </c>
      <c r="G15" s="3">
        <f>0.5*((C15-0.11)+D15)/B23</f>
        <v>0.32988117887784046</v>
      </c>
      <c r="H15" s="3">
        <f>0.5*((C15-9.43)+(D15-0))/C23</f>
        <v>5.4777446021594504E-2</v>
      </c>
      <c r="I15" s="3">
        <f>0.5*0.9318*D15/D23</f>
        <v>5.0120943540536119E-3</v>
      </c>
      <c r="J15" s="3">
        <f>0.5*(D15-4.13)*0.298/E23</f>
        <v>3.7741326338033284E-4</v>
      </c>
      <c r="L15" s="3">
        <f t="shared" si="0"/>
        <v>1.3900481325168688</v>
      </c>
      <c r="M15" s="4">
        <v>7.0000000000000001E-3</v>
      </c>
      <c r="N15" s="6">
        <f>F15/$L$15</f>
        <v>0.71939954927270455</v>
      </c>
      <c r="O15" s="6">
        <f>G15/$L$15</f>
        <v>0.23731637139826683</v>
      </c>
      <c r="P15" s="6">
        <f>H15/$L$15</f>
        <v>3.9406869978244989E-2</v>
      </c>
      <c r="Q15" s="6">
        <f>I15/$L$15</f>
        <v>3.6056984192184352E-3</v>
      </c>
      <c r="R15" s="6">
        <f>J15/$L$15</f>
        <v>2.7151093156535197E-4</v>
      </c>
      <c r="S15" s="7">
        <f t="shared" si="1"/>
        <v>0.99299999999999999</v>
      </c>
      <c r="T15" s="6">
        <f>N15*$M$15</f>
        <v>5.0357968449089323E-3</v>
      </c>
      <c r="U15" s="6">
        <f>O15*$M$15</f>
        <v>1.6612145997878679E-3</v>
      </c>
      <c r="V15" s="6">
        <f>P15*$M$15</f>
        <v>2.7584808984771491E-4</v>
      </c>
      <c r="W15" s="6">
        <f>Q15*$M$15</f>
        <v>2.5239888934529048E-5</v>
      </c>
      <c r="X15" s="6">
        <f>R15*$M$15</f>
        <v>1.9005765209574638E-6</v>
      </c>
      <c r="Y15" s="7">
        <f t="shared" si="2"/>
        <v>0.99299999999999999</v>
      </c>
      <c r="AA15" s="6">
        <f>T15+$Y$15</f>
        <v>0.99803579684490895</v>
      </c>
      <c r="AB15" s="6">
        <f>U15+$Y$15</f>
        <v>0.99466121459978785</v>
      </c>
      <c r="AC15" s="6">
        <f>V15+$Y$15</f>
        <v>0.9932758480898477</v>
      </c>
      <c r="AD15" s="6">
        <f>W15+$Y$15</f>
        <v>0.99302523988893454</v>
      </c>
      <c r="AE15" s="6">
        <f>X15+$Y$15</f>
        <v>0.99300190057652094</v>
      </c>
      <c r="AF15" s="7">
        <f t="shared" si="3"/>
        <v>0.9996970114446968</v>
      </c>
      <c r="AG15" s="7">
        <f t="shared" si="4"/>
        <v>0.99803579684490895</v>
      </c>
      <c r="AH15" s="7">
        <f t="shared" si="5"/>
        <v>0.99466121459978785</v>
      </c>
      <c r="AI15" s="6">
        <f t="shared" si="6"/>
        <v>0.99831164493475666</v>
      </c>
      <c r="AJ15" s="6">
        <f t="shared" si="7"/>
        <v>0.99803579684490895</v>
      </c>
      <c r="AK15" s="6">
        <f t="shared" si="8"/>
        <v>0.9932758480898477</v>
      </c>
      <c r="AL15" s="7">
        <f t="shared" si="9"/>
        <v>0.9980610367338435</v>
      </c>
      <c r="AM15" s="7">
        <f t="shared" si="10"/>
        <v>0.99803579684490895</v>
      </c>
      <c r="AN15" s="7">
        <f t="shared" si="11"/>
        <v>0.99302523988893454</v>
      </c>
      <c r="AO15" s="6">
        <f t="shared" si="12"/>
        <v>0.99803769742142989</v>
      </c>
      <c r="AP15" s="6">
        <f t="shared" si="13"/>
        <v>0.99803579684490895</v>
      </c>
      <c r="AQ15" s="6">
        <f t="shared" si="14"/>
        <v>0.99300190057652094</v>
      </c>
      <c r="AR15" s="7">
        <f t="shared" si="15"/>
        <v>0.99493706268963555</v>
      </c>
      <c r="AS15" s="7">
        <f t="shared" si="16"/>
        <v>0.99466121459978785</v>
      </c>
      <c r="AT15" s="7">
        <f t="shared" si="17"/>
        <v>0.9932758480898477</v>
      </c>
      <c r="AU15" s="6">
        <f t="shared" si="18"/>
        <v>0.99468645448872239</v>
      </c>
      <c r="AV15" s="6">
        <f t="shared" si="19"/>
        <v>0.99466121459978785</v>
      </c>
      <c r="AW15" s="6">
        <f t="shared" si="20"/>
        <v>0.99302523988893454</v>
      </c>
      <c r="AX15" s="6">
        <f t="shared" si="21"/>
        <v>0.99466311517630879</v>
      </c>
      <c r="AY15" s="6">
        <f t="shared" si="22"/>
        <v>0.99466121459978785</v>
      </c>
      <c r="AZ15" s="6">
        <f t="shared" si="23"/>
        <v>0.99300190057652094</v>
      </c>
      <c r="BA15" s="6">
        <f t="shared" si="24"/>
        <v>0.99330108797878225</v>
      </c>
      <c r="BB15" s="6">
        <f t="shared" si="25"/>
        <v>0.9932758480898477</v>
      </c>
      <c r="BC15" s="6">
        <f t="shared" si="26"/>
        <v>0.99302523988893454</v>
      </c>
      <c r="BD15" s="6">
        <f t="shared" si="27"/>
        <v>0.99327774866636864</v>
      </c>
      <c r="BE15" s="6">
        <f t="shared" si="28"/>
        <v>0.9932758480898477</v>
      </c>
      <c r="BF15" s="6">
        <f t="shared" si="29"/>
        <v>0.99300190057652094</v>
      </c>
      <c r="BG15" s="6">
        <f t="shared" si="30"/>
        <v>0.99302714046545548</v>
      </c>
      <c r="BH15" s="6">
        <f t="shared" si="31"/>
        <v>0.99302523988893454</v>
      </c>
      <c r="BI15" s="6">
        <f t="shared" si="32"/>
        <v>0.99300190057652094</v>
      </c>
    </row>
    <row r="16" spans="1:61" x14ac:dyDescent="0.3">
      <c r="A16" s="3">
        <v>0</v>
      </c>
      <c r="B16" s="3">
        <v>0</v>
      </c>
      <c r="C16" s="3">
        <v>19.600000000000001</v>
      </c>
      <c r="D16" s="4">
        <v>215.60000000000005</v>
      </c>
      <c r="F16" s="3">
        <v>1</v>
      </c>
      <c r="G16" s="3">
        <f>0.5*((C16-0.11)+D16)/B23</f>
        <v>0.4219585741465342</v>
      </c>
      <c r="H16" s="3">
        <f>0.5*((C16-9.43)+D16)/C23</f>
        <v>7.0883842427324997E-2</v>
      </c>
      <c r="I16" s="3">
        <f>0.5*D16*0.9639/D23</f>
        <v>6.6310774500053134E-3</v>
      </c>
      <c r="J16" s="3">
        <f>0.5*(D16-4.13)*0.356/E23</f>
        <v>5.7980103258256481E-4</v>
      </c>
      <c r="L16" s="3">
        <f t="shared" si="0"/>
        <v>1.5000532950564471</v>
      </c>
      <c r="M16" s="4">
        <v>8.0000000000000002E-3</v>
      </c>
      <c r="N16" s="6">
        <f>F16/$L$16</f>
        <v>0.66664298081647155</v>
      </c>
      <c r="O16" s="6">
        <f>G16/$L$16</f>
        <v>0.28129572165011368</v>
      </c>
      <c r="P16" s="6">
        <f>H16/$L$16</f>
        <v>4.7254216007477007E-2</v>
      </c>
      <c r="Q16" s="6">
        <f>I16/$L$16</f>
        <v>4.420561237296429E-3</v>
      </c>
      <c r="R16" s="6">
        <f>J16/$L$16</f>
        <v>3.8652028864130916E-4</v>
      </c>
      <c r="S16" s="7">
        <f t="shared" si="1"/>
        <v>0.99199999999999999</v>
      </c>
      <c r="T16" s="6">
        <f>N16*$M$16</f>
        <v>5.3331438465317729E-3</v>
      </c>
      <c r="U16" s="6">
        <f>O16*$M$16</f>
        <v>2.2503657732009094E-3</v>
      </c>
      <c r="V16" s="6">
        <f>P16*$M$16</f>
        <v>3.7803372805981605E-4</v>
      </c>
      <c r="W16" s="6">
        <f>Q16*$M$16</f>
        <v>3.5364489898371431E-5</v>
      </c>
      <c r="X16" s="6">
        <f>R16*$M$16</f>
        <v>3.0921623091304733E-6</v>
      </c>
      <c r="Y16" s="7">
        <f t="shared" si="2"/>
        <v>0.99199999999999999</v>
      </c>
      <c r="AA16" s="6">
        <f>T16+$Y$16</f>
        <v>0.99733314384653171</v>
      </c>
      <c r="AB16" s="6">
        <f>U16+$Y$16</f>
        <v>0.99425036577320092</v>
      </c>
      <c r="AC16" s="6">
        <f>V16+$Y$16</f>
        <v>0.99237803372805977</v>
      </c>
      <c r="AD16" s="6">
        <f>W16+$Y$16</f>
        <v>0.99203536448989837</v>
      </c>
      <c r="AE16" s="6">
        <f>X16+$Y$16</f>
        <v>0.99200309216230909</v>
      </c>
      <c r="AF16" s="7">
        <f t="shared" si="3"/>
        <v>0.99958350961973264</v>
      </c>
      <c r="AG16" s="7">
        <f t="shared" si="4"/>
        <v>0.99733314384653171</v>
      </c>
      <c r="AH16" s="7">
        <f t="shared" si="5"/>
        <v>0.99425036577320092</v>
      </c>
      <c r="AI16" s="6">
        <f t="shared" si="6"/>
        <v>0.9977111775745916</v>
      </c>
      <c r="AJ16" s="6">
        <f t="shared" si="7"/>
        <v>0.99733314384653171</v>
      </c>
      <c r="AK16" s="6">
        <f t="shared" si="8"/>
        <v>0.99237803372805977</v>
      </c>
      <c r="AL16" s="7">
        <f t="shared" si="9"/>
        <v>0.99736850833643009</v>
      </c>
      <c r="AM16" s="7">
        <f t="shared" si="10"/>
        <v>0.99733314384653171</v>
      </c>
      <c r="AN16" s="7">
        <f t="shared" si="11"/>
        <v>0.99203536448989837</v>
      </c>
      <c r="AO16" s="6">
        <f t="shared" si="12"/>
        <v>0.99733623600884092</v>
      </c>
      <c r="AP16" s="6">
        <f t="shared" si="13"/>
        <v>0.99733314384653171</v>
      </c>
      <c r="AQ16" s="6">
        <f t="shared" si="14"/>
        <v>0.99200309216230909</v>
      </c>
      <c r="AR16" s="7">
        <f t="shared" si="15"/>
        <v>0.9946283995012607</v>
      </c>
      <c r="AS16" s="7">
        <f t="shared" si="16"/>
        <v>0.99425036577320092</v>
      </c>
      <c r="AT16" s="7">
        <f t="shared" si="17"/>
        <v>0.99237803372805977</v>
      </c>
      <c r="AU16" s="6">
        <f t="shared" si="18"/>
        <v>0.9942857302630993</v>
      </c>
      <c r="AV16" s="6">
        <f t="shared" si="19"/>
        <v>0.99425036577320092</v>
      </c>
      <c r="AW16" s="6">
        <f t="shared" si="20"/>
        <v>0.99203536448989837</v>
      </c>
      <c r="AX16" s="6">
        <f t="shared" si="21"/>
        <v>0.99425345793551001</v>
      </c>
      <c r="AY16" s="6">
        <f t="shared" si="22"/>
        <v>0.99425036577320092</v>
      </c>
      <c r="AZ16" s="6">
        <f t="shared" si="23"/>
        <v>0.99200309216230909</v>
      </c>
      <c r="BA16" s="6">
        <f t="shared" si="24"/>
        <v>0.99241339821795815</v>
      </c>
      <c r="BB16" s="6">
        <f t="shared" si="25"/>
        <v>0.99237803372805977</v>
      </c>
      <c r="BC16" s="6">
        <f t="shared" si="26"/>
        <v>0.99203536448989837</v>
      </c>
      <c r="BD16" s="6">
        <f t="shared" si="27"/>
        <v>0.99238112589036898</v>
      </c>
      <c r="BE16" s="6">
        <f t="shared" si="28"/>
        <v>0.99237803372805977</v>
      </c>
      <c r="BF16" s="6">
        <f t="shared" si="29"/>
        <v>0.99200309216230909</v>
      </c>
      <c r="BG16" s="6">
        <f t="shared" si="30"/>
        <v>0.99203845665220747</v>
      </c>
      <c r="BH16" s="6">
        <f t="shared" si="31"/>
        <v>0.99203536448989837</v>
      </c>
      <c r="BI16" s="6">
        <f t="shared" si="32"/>
        <v>0.99200309216230909</v>
      </c>
    </row>
    <row r="17" spans="1:61" x14ac:dyDescent="0.3">
      <c r="A17" s="3">
        <v>0</v>
      </c>
      <c r="B17" s="3">
        <v>0</v>
      </c>
      <c r="C17" s="3">
        <v>20.725000000000005</v>
      </c>
      <c r="D17" s="4">
        <v>227.97500000000005</v>
      </c>
      <c r="F17" s="3">
        <v>1</v>
      </c>
      <c r="G17" s="3">
        <f>0.5*((C17-0.11)+D17)/B23</f>
        <v>0.4461894676382957</v>
      </c>
      <c r="H17" s="3">
        <f>0.5*((C17-9.43)+D17)/C23</f>
        <v>7.5122367797254078E-2</v>
      </c>
      <c r="I17" s="3">
        <f>0.5*D17*0.97/D23</f>
        <v>7.0560609294945129E-3</v>
      </c>
      <c r="J17" s="3">
        <f>0.5*(D17-4.13)*0.3697/E23</f>
        <v>6.3734864937655289E-4</v>
      </c>
      <c r="L17" s="3">
        <f t="shared" si="0"/>
        <v>1.5290052450144207</v>
      </c>
      <c r="M17" s="4">
        <v>7.0000000000000001E-3</v>
      </c>
      <c r="N17" s="6">
        <f>F17/$L$17</f>
        <v>0.65401999323460047</v>
      </c>
      <c r="O17" s="6">
        <f>G17/$L$17</f>
        <v>0.2918168326061481</v>
      </c>
      <c r="P17" s="6">
        <f>H17/$L$17</f>
        <v>4.913153047852728E-2</v>
      </c>
      <c r="Q17" s="6">
        <f>I17/$L$17</f>
        <v>4.6148049213709293E-3</v>
      </c>
      <c r="R17" s="6">
        <f>J17/$L$17</f>
        <v>4.1683875935333482E-4</v>
      </c>
      <c r="S17" s="7">
        <f t="shared" si="1"/>
        <v>0.99299999999999999</v>
      </c>
      <c r="T17" s="6">
        <f>N17*$M$17</f>
        <v>4.5781399526422031E-3</v>
      </c>
      <c r="U17" s="6">
        <f>O17*$M$17</f>
        <v>2.042717828243037E-3</v>
      </c>
      <c r="V17" s="6">
        <f>P17*$M$17</f>
        <v>3.4392071334969095E-4</v>
      </c>
      <c r="W17" s="6">
        <f>Q17*$M$17</f>
        <v>3.2303634449596503E-5</v>
      </c>
      <c r="X17" s="6">
        <f>R17*$M$17</f>
        <v>2.9178713154733439E-6</v>
      </c>
      <c r="Y17" s="7">
        <f t="shared" si="2"/>
        <v>0.99299999999999999</v>
      </c>
      <c r="AA17" s="6">
        <f>T17+$Y$17</f>
        <v>0.99757813995264222</v>
      </c>
      <c r="AB17" s="6">
        <f>U17+$Y$17</f>
        <v>0.99504271782824305</v>
      </c>
      <c r="AC17" s="6">
        <f>V17+$Y$17</f>
        <v>0.99334392071334965</v>
      </c>
      <c r="AD17" s="6">
        <f>W17+$Y$17</f>
        <v>0.99303230363444961</v>
      </c>
      <c r="AE17" s="6">
        <f>X17+$Y$17</f>
        <v>0.99300291787131545</v>
      </c>
      <c r="AF17" s="7">
        <f t="shared" si="3"/>
        <v>0.99962085778088527</v>
      </c>
      <c r="AG17" s="7">
        <f t="shared" si="4"/>
        <v>0.99757813995264222</v>
      </c>
      <c r="AH17" s="7">
        <f t="shared" si="5"/>
        <v>0.99504271782824305</v>
      </c>
      <c r="AI17" s="6">
        <f t="shared" si="6"/>
        <v>0.99792206066599187</v>
      </c>
      <c r="AJ17" s="6">
        <f t="shared" si="7"/>
        <v>0.99757813995264222</v>
      </c>
      <c r="AK17" s="6">
        <f t="shared" si="8"/>
        <v>0.99334392071334965</v>
      </c>
      <c r="AL17" s="7">
        <f t="shared" si="9"/>
        <v>0.99761044358709183</v>
      </c>
      <c r="AM17" s="7">
        <f t="shared" si="10"/>
        <v>0.99757813995264222</v>
      </c>
      <c r="AN17" s="7">
        <f t="shared" si="11"/>
        <v>0.99303230363444961</v>
      </c>
      <c r="AO17" s="6">
        <f t="shared" si="12"/>
        <v>0.99758105782395767</v>
      </c>
      <c r="AP17" s="6">
        <f t="shared" si="13"/>
        <v>0.99757813995264222</v>
      </c>
      <c r="AQ17" s="6">
        <f t="shared" si="14"/>
        <v>0.99300291787131545</v>
      </c>
      <c r="AR17" s="7">
        <f t="shared" si="15"/>
        <v>0.99538663854159271</v>
      </c>
      <c r="AS17" s="7">
        <f t="shared" si="16"/>
        <v>0.99504271782824305</v>
      </c>
      <c r="AT17" s="7">
        <f t="shared" si="17"/>
        <v>0.99334392071334965</v>
      </c>
      <c r="AU17" s="6">
        <f t="shared" si="18"/>
        <v>0.99507502146269267</v>
      </c>
      <c r="AV17" s="6">
        <f t="shared" si="19"/>
        <v>0.99504271782824305</v>
      </c>
      <c r="AW17" s="6">
        <f t="shared" si="20"/>
        <v>0.99303230363444961</v>
      </c>
      <c r="AX17" s="6">
        <f t="shared" si="21"/>
        <v>0.99504563569955851</v>
      </c>
      <c r="AY17" s="6">
        <f t="shared" si="22"/>
        <v>0.99504271782824305</v>
      </c>
      <c r="AZ17" s="6">
        <f t="shared" si="23"/>
        <v>0.99300291787131545</v>
      </c>
      <c r="BA17" s="6">
        <f t="shared" si="24"/>
        <v>0.99337622434779926</v>
      </c>
      <c r="BB17" s="6">
        <f t="shared" si="25"/>
        <v>0.99334392071334965</v>
      </c>
      <c r="BC17" s="6">
        <f t="shared" si="26"/>
        <v>0.99303230363444961</v>
      </c>
      <c r="BD17" s="6">
        <f t="shared" si="27"/>
        <v>0.9933468385846651</v>
      </c>
      <c r="BE17" s="6">
        <f t="shared" si="28"/>
        <v>0.99334392071334965</v>
      </c>
      <c r="BF17" s="6">
        <f t="shared" si="29"/>
        <v>0.99300291787131545</v>
      </c>
      <c r="BG17" s="6">
        <f t="shared" si="30"/>
        <v>0.99303522150576506</v>
      </c>
      <c r="BH17" s="6">
        <f t="shared" si="31"/>
        <v>0.99303230363444961</v>
      </c>
      <c r="BI17" s="6">
        <f t="shared" si="32"/>
        <v>0.99300291787131545</v>
      </c>
    </row>
    <row r="18" spans="1:61" x14ac:dyDescent="0.3">
      <c r="A18" s="3">
        <v>4.5002399999999998</v>
      </c>
      <c r="B18" s="3">
        <v>12.449600000000002</v>
      </c>
      <c r="C18" s="3">
        <v>634.52800000000002</v>
      </c>
      <c r="D18" s="4">
        <v>7266.9520000000011</v>
      </c>
      <c r="F18" s="3">
        <f>0.5*0.6619*(27.5-A18)/A23</f>
        <v>0.53984188453900717</v>
      </c>
      <c r="G18" s="3">
        <f>0.5*((57.25-B18)+(500-A18))/B23</f>
        <v>0.96977449115123671</v>
      </c>
      <c r="H18" s="3">
        <f>0.5*((194.25-B18)+(3000-A18))/C23</f>
        <v>0.99756054341034894</v>
      </c>
      <c r="I18" s="3">
        <f>(0.5*((C18-27.67)+D18)-0.5*A18*0.2282)/D23</f>
        <v>0.25120694800297261</v>
      </c>
      <c r="J18" s="3">
        <f>(0.5*((C18-402.5)+(D18-4.13))-0.5*(A18-4.13)*0.000948)/E23</f>
        <v>5.7722236021850649E-2</v>
      </c>
      <c r="L18" s="3">
        <f t="shared" si="0"/>
        <v>2.8161061031254158</v>
      </c>
      <c r="M18" s="4">
        <v>0.48399999999999999</v>
      </c>
      <c r="N18" s="6">
        <f>F18/$L$18</f>
        <v>0.19169799175530752</v>
      </c>
      <c r="O18" s="6">
        <f>G18/$L$18</f>
        <v>0.34436717070956457</v>
      </c>
      <c r="P18" s="6">
        <f>H18/$L$18</f>
        <v>0.35423400499832747</v>
      </c>
      <c r="Q18" s="6">
        <f>I18/$L$18</f>
        <v>8.9203651710485665E-2</v>
      </c>
      <c r="R18" s="6">
        <f>J18/$L$18</f>
        <v>2.0497180826314902E-2</v>
      </c>
      <c r="S18" s="7">
        <f t="shared" si="1"/>
        <v>0.51600000000000001</v>
      </c>
      <c r="T18" s="6">
        <f>N18*$M$18</f>
        <v>9.2781828009568842E-2</v>
      </c>
      <c r="U18" s="6">
        <f>O18*$M$18</f>
        <v>0.16667371062342926</v>
      </c>
      <c r="V18" s="6">
        <f>P18*$M$18</f>
        <v>0.17144925841919048</v>
      </c>
      <c r="W18" s="6">
        <f>Q18*$M$18</f>
        <v>4.3174567427875059E-2</v>
      </c>
      <c r="X18" s="6">
        <f>R18*$M$18</f>
        <v>9.9206355199364122E-3</v>
      </c>
      <c r="Y18" s="7">
        <f t="shared" si="2"/>
        <v>0.51600000000000001</v>
      </c>
      <c r="AA18" s="6">
        <f>T18+$Y$18</f>
        <v>0.60878182800956882</v>
      </c>
      <c r="AB18" s="6">
        <f>U18+$Y$18</f>
        <v>0.6826737106234293</v>
      </c>
      <c r="AC18" s="6">
        <f>V18+$Y$18</f>
        <v>0.68744925841919047</v>
      </c>
      <c r="AD18" s="6">
        <f>W18+$Y$18</f>
        <v>0.55917456742787508</v>
      </c>
      <c r="AE18" s="6">
        <f>X18+$Y$18</f>
        <v>0.5259206355199364</v>
      </c>
      <c r="AF18" s="7">
        <f t="shared" si="3"/>
        <v>0.7754555386329981</v>
      </c>
      <c r="AG18" s="7">
        <f t="shared" si="4"/>
        <v>0.60878182800956882</v>
      </c>
      <c r="AH18" s="7">
        <f t="shared" si="5"/>
        <v>0.6826737106234293</v>
      </c>
      <c r="AI18" s="6">
        <f t="shared" si="6"/>
        <v>0.78023108642875938</v>
      </c>
      <c r="AJ18" s="6">
        <f t="shared" si="7"/>
        <v>0.60878182800956882</v>
      </c>
      <c r="AK18" s="6">
        <f t="shared" si="8"/>
        <v>0.68744925841919047</v>
      </c>
      <c r="AL18" s="7">
        <f t="shared" si="9"/>
        <v>0.65195639543744388</v>
      </c>
      <c r="AM18" s="7">
        <f t="shared" si="10"/>
        <v>0.60878182800956882</v>
      </c>
      <c r="AN18" s="7">
        <f t="shared" si="11"/>
        <v>0.55917456742787508</v>
      </c>
      <c r="AO18" s="6">
        <f t="shared" si="12"/>
        <v>0.61870246352950531</v>
      </c>
      <c r="AP18" s="6">
        <f t="shared" si="13"/>
        <v>0.60878182800956882</v>
      </c>
      <c r="AQ18" s="6">
        <f t="shared" si="14"/>
        <v>0.5259206355199364</v>
      </c>
      <c r="AR18" s="7">
        <f t="shared" si="15"/>
        <v>0.85412296904261975</v>
      </c>
      <c r="AS18" s="7">
        <f t="shared" si="16"/>
        <v>0.6826737106234293</v>
      </c>
      <c r="AT18" s="7">
        <f t="shared" si="17"/>
        <v>0.68744925841919047</v>
      </c>
      <c r="AU18" s="6">
        <f t="shared" si="18"/>
        <v>0.72584827805130436</v>
      </c>
      <c r="AV18" s="6">
        <f t="shared" si="19"/>
        <v>0.6826737106234293</v>
      </c>
      <c r="AW18" s="6">
        <f t="shared" si="20"/>
        <v>0.55917456742787508</v>
      </c>
      <c r="AX18" s="6">
        <f t="shared" si="21"/>
        <v>0.69259434614336568</v>
      </c>
      <c r="AY18" s="6">
        <f t="shared" si="22"/>
        <v>0.6826737106234293</v>
      </c>
      <c r="AZ18" s="6">
        <f t="shared" si="23"/>
        <v>0.5259206355199364</v>
      </c>
      <c r="BA18" s="6">
        <f t="shared" si="24"/>
        <v>0.73062382584706553</v>
      </c>
      <c r="BB18" s="6">
        <f t="shared" si="25"/>
        <v>0.68744925841919047</v>
      </c>
      <c r="BC18" s="6">
        <f t="shared" si="26"/>
        <v>0.55917456742787508</v>
      </c>
      <c r="BD18" s="6">
        <f t="shared" si="27"/>
        <v>0.69736989393912685</v>
      </c>
      <c r="BE18" s="6">
        <f t="shared" si="28"/>
        <v>0.68744925841919047</v>
      </c>
      <c r="BF18" s="6">
        <f t="shared" si="29"/>
        <v>0.5259206355199364</v>
      </c>
      <c r="BG18" s="6">
        <f t="shared" si="30"/>
        <v>0.56909520294781146</v>
      </c>
      <c r="BH18" s="6">
        <f t="shared" si="31"/>
        <v>0.55917456742787508</v>
      </c>
      <c r="BI18" s="6">
        <f t="shared" si="32"/>
        <v>0.5259206355199364</v>
      </c>
    </row>
    <row r="19" spans="1:61" x14ac:dyDescent="0.3">
      <c r="A19" s="3">
        <v>0</v>
      </c>
      <c r="B19" s="3">
        <v>0</v>
      </c>
      <c r="C19" s="3">
        <v>250</v>
      </c>
      <c r="D19" s="4">
        <v>500</v>
      </c>
      <c r="F19" s="3">
        <v>1</v>
      </c>
      <c r="G19" s="3">
        <v>1</v>
      </c>
      <c r="H19" s="3">
        <v>0.23251294320062035</v>
      </c>
      <c r="I19" s="3">
        <v>2.3048306260755082E-2</v>
      </c>
      <c r="J19" s="3">
        <v>2.9207604208054674E-3</v>
      </c>
      <c r="L19" s="3">
        <f t="shared" si="0"/>
        <v>2.2584820098821812</v>
      </c>
      <c r="M19" s="4">
        <v>4.2000000000000003E-2</v>
      </c>
      <c r="N19" s="6">
        <f>F19/$L$19</f>
        <v>0.44277527809582473</v>
      </c>
      <c r="O19" s="6">
        <f>G19/$L$19</f>
        <v>0.44277527809582473</v>
      </c>
      <c r="P19" s="6">
        <f>H19/$L$19</f>
        <v>0.10295098308653339</v>
      </c>
      <c r="Q19" s="6">
        <f>I19/$L$19</f>
        <v>1.020522021424357E-2</v>
      </c>
      <c r="R19" s="6">
        <f>J19/$L$19</f>
        <v>1.293240507573419E-3</v>
      </c>
      <c r="S19" s="7">
        <f t="shared" si="1"/>
        <v>0.95799999999999996</v>
      </c>
      <c r="T19" s="6">
        <f>N19*$M$19</f>
        <v>1.8596561680024638E-2</v>
      </c>
      <c r="U19" s="6">
        <f>O19*$M$19</f>
        <v>1.8596561680024638E-2</v>
      </c>
      <c r="V19" s="6">
        <f>P19*$M$19</f>
        <v>4.3239412896344028E-3</v>
      </c>
      <c r="W19" s="6">
        <f>Q19*$M$19</f>
        <v>4.2861924899822995E-4</v>
      </c>
      <c r="X19" s="6">
        <f>R19*$M$19</f>
        <v>5.4316101318083602E-5</v>
      </c>
      <c r="Y19" s="7">
        <f t="shared" si="2"/>
        <v>0.95799999999999996</v>
      </c>
      <c r="AA19" s="6">
        <f>T19+$Y$19</f>
        <v>0.97659656168002462</v>
      </c>
      <c r="AB19" s="6">
        <f>U19+$Y$19</f>
        <v>0.97659656168002462</v>
      </c>
      <c r="AC19" s="6">
        <f>V19+$Y$19</f>
        <v>0.96232394128963439</v>
      </c>
      <c r="AD19" s="6">
        <f>W19+$Y$19</f>
        <v>0.95842861924899825</v>
      </c>
      <c r="AE19" s="6">
        <f>X19+$Y$19</f>
        <v>0.95805431610131808</v>
      </c>
      <c r="AF19" s="7">
        <f t="shared" si="3"/>
        <v>0.99519312336004928</v>
      </c>
      <c r="AG19" s="7">
        <f t="shared" si="4"/>
        <v>0.97659656168002462</v>
      </c>
      <c r="AH19" s="7">
        <f t="shared" si="5"/>
        <v>0.97659656168002462</v>
      </c>
      <c r="AI19" s="6">
        <f t="shared" si="6"/>
        <v>0.98092050296965905</v>
      </c>
      <c r="AJ19" s="6">
        <f t="shared" si="7"/>
        <v>0.97659656168002462</v>
      </c>
      <c r="AK19" s="6">
        <f t="shared" si="8"/>
        <v>0.96232394128963439</v>
      </c>
      <c r="AL19" s="7">
        <f t="shared" si="9"/>
        <v>0.9770251809290228</v>
      </c>
      <c r="AM19" s="7">
        <f t="shared" si="10"/>
        <v>0.97659656168002462</v>
      </c>
      <c r="AN19" s="7">
        <f t="shared" si="11"/>
        <v>0.95842861924899825</v>
      </c>
      <c r="AO19" s="6">
        <f t="shared" si="12"/>
        <v>0.97665087778134274</v>
      </c>
      <c r="AP19" s="6">
        <f t="shared" si="13"/>
        <v>0.97659656168002462</v>
      </c>
      <c r="AQ19" s="6">
        <f t="shared" si="14"/>
        <v>0.95805431610131808</v>
      </c>
      <c r="AR19" s="7">
        <f t="shared" si="15"/>
        <v>0.98092050296965905</v>
      </c>
      <c r="AS19" s="7">
        <f t="shared" si="16"/>
        <v>0.97659656168002462</v>
      </c>
      <c r="AT19" s="7">
        <f t="shared" si="17"/>
        <v>0.96232394128963439</v>
      </c>
      <c r="AU19" s="6">
        <f t="shared" si="18"/>
        <v>0.9770251809290228</v>
      </c>
      <c r="AV19" s="6">
        <f t="shared" si="19"/>
        <v>0.97659656168002462</v>
      </c>
      <c r="AW19" s="6">
        <f t="shared" si="20"/>
        <v>0.95842861924899825</v>
      </c>
      <c r="AX19" s="6">
        <f t="shared" si="21"/>
        <v>0.97665087778134274</v>
      </c>
      <c r="AY19" s="6">
        <f t="shared" si="22"/>
        <v>0.97659656168002462</v>
      </c>
      <c r="AZ19" s="6">
        <f t="shared" si="23"/>
        <v>0.95805431610131808</v>
      </c>
      <c r="BA19" s="6">
        <f t="shared" si="24"/>
        <v>0.96275256053863256</v>
      </c>
      <c r="BB19" s="6">
        <f t="shared" si="25"/>
        <v>0.96232394128963439</v>
      </c>
      <c r="BC19" s="6">
        <f t="shared" si="26"/>
        <v>0.95842861924899825</v>
      </c>
      <c r="BD19" s="6">
        <f t="shared" si="27"/>
        <v>0.9623782573909524</v>
      </c>
      <c r="BE19" s="6">
        <f t="shared" si="28"/>
        <v>0.96232394128963439</v>
      </c>
      <c r="BF19" s="6">
        <f t="shared" si="29"/>
        <v>0.95805431610131808</v>
      </c>
      <c r="BG19" s="6">
        <f t="shared" si="30"/>
        <v>0.95848293535031626</v>
      </c>
      <c r="BH19" s="6">
        <f t="shared" si="31"/>
        <v>0.95842861924899825</v>
      </c>
      <c r="BI19" s="6">
        <f t="shared" si="32"/>
        <v>0.95805431610131808</v>
      </c>
    </row>
    <row r="20" spans="1:61" x14ac:dyDescent="0.3">
      <c r="A20" s="3">
        <v>2.0212499999999998E-2</v>
      </c>
      <c r="B20" s="3">
        <v>7.4415000000000009E-2</v>
      </c>
      <c r="C20" s="3">
        <v>2.243725</v>
      </c>
      <c r="D20" s="4">
        <v>32.866624999999999</v>
      </c>
      <c r="F20" s="3">
        <f>0.5*((0.7-B20)+27.5)/A23</f>
        <v>0.99736117021276605</v>
      </c>
      <c r="G20" s="3">
        <f>0.5*((C20-0.11)+D20)/B23</f>
        <v>6.2821463186990695E-2</v>
      </c>
      <c r="H20" s="3">
        <f>0.5*0.8206*D20/C23</f>
        <v>8.4677424593494009E-3</v>
      </c>
      <c r="I20" s="3">
        <f>0.5*D20*0.5638/D23</f>
        <v>5.9126686950758812E-4</v>
      </c>
      <c r="J20" s="3">
        <f>0.5*(D20-4.13)*0.067/E23</f>
        <v>1.4828280219467502E-5</v>
      </c>
      <c r="L20" s="3">
        <f t="shared" si="0"/>
        <v>1.0692564710088333</v>
      </c>
      <c r="M20" s="4">
        <v>0.13500000000000001</v>
      </c>
      <c r="N20" s="6">
        <f>F20/$L$20</f>
        <v>0.93276140687908615</v>
      </c>
      <c r="O20" s="6">
        <f>G20/$L$20</f>
        <v>5.8752474163396219E-2</v>
      </c>
      <c r="P20" s="6">
        <f>H20/$L$20</f>
        <v>7.9192810040795616E-3</v>
      </c>
      <c r="Q20" s="6">
        <f>I20/$L$20</f>
        <v>5.5297011104336218E-4</v>
      </c>
      <c r="R20" s="6">
        <f>J20/$L$20</f>
        <v>1.3867842394703641E-5</v>
      </c>
      <c r="S20" s="7">
        <f t="shared" si="1"/>
        <v>0.86499999999999999</v>
      </c>
      <c r="T20" s="6">
        <f>N20*$M$20</f>
        <v>0.12592278992867664</v>
      </c>
      <c r="U20" s="6">
        <f>O20*$M$20</f>
        <v>7.9315840120584898E-3</v>
      </c>
      <c r="V20" s="6">
        <f>P20*$M$20</f>
        <v>1.069102935550741E-3</v>
      </c>
      <c r="W20" s="6">
        <f>Q20*$M$20</f>
        <v>7.4650964990853906E-5</v>
      </c>
      <c r="X20" s="6">
        <f>R20*$M$20</f>
        <v>1.8721587232849918E-6</v>
      </c>
      <c r="Y20" s="7">
        <f t="shared" si="2"/>
        <v>0.86499999999999999</v>
      </c>
      <c r="AA20" s="6">
        <f>T20+$Y$20</f>
        <v>0.99092278992867666</v>
      </c>
      <c r="AB20" s="6">
        <f>U20+$Y$20</f>
        <v>0.8729315840120585</v>
      </c>
      <c r="AC20" s="6">
        <f>V20+$Y$20</f>
        <v>0.86606910293555073</v>
      </c>
      <c r="AD20" s="6">
        <f>W20+$Y$20</f>
        <v>0.86507465096499081</v>
      </c>
      <c r="AE20" s="6">
        <f>X20+$Y$20</f>
        <v>0.86500187215872326</v>
      </c>
      <c r="AF20" s="7">
        <f t="shared" si="3"/>
        <v>0.99885437394073517</v>
      </c>
      <c r="AG20" s="7">
        <f t="shared" si="4"/>
        <v>0.99092278992867666</v>
      </c>
      <c r="AH20" s="7">
        <f t="shared" si="5"/>
        <v>0.8729315840120585</v>
      </c>
      <c r="AI20" s="6">
        <f t="shared" si="6"/>
        <v>0.9919918928642274</v>
      </c>
      <c r="AJ20" s="6">
        <f t="shared" si="7"/>
        <v>0.99092278992867666</v>
      </c>
      <c r="AK20" s="6">
        <f t="shared" si="8"/>
        <v>0.86606910293555073</v>
      </c>
      <c r="AL20" s="7">
        <f t="shared" si="9"/>
        <v>0.99099744089366748</v>
      </c>
      <c r="AM20" s="7">
        <f t="shared" si="10"/>
        <v>0.99092278992867666</v>
      </c>
      <c r="AN20" s="7">
        <f t="shared" si="11"/>
        <v>0.86507465096499081</v>
      </c>
      <c r="AO20" s="6">
        <f t="shared" si="12"/>
        <v>0.99092466208739993</v>
      </c>
      <c r="AP20" s="6">
        <f t="shared" si="13"/>
        <v>0.99092278992867666</v>
      </c>
      <c r="AQ20" s="6">
        <f t="shared" si="14"/>
        <v>0.86500187215872326</v>
      </c>
      <c r="AR20" s="7">
        <f t="shared" si="15"/>
        <v>0.87400068694760924</v>
      </c>
      <c r="AS20" s="7">
        <f t="shared" si="16"/>
        <v>0.8729315840120585</v>
      </c>
      <c r="AT20" s="7">
        <f t="shared" si="17"/>
        <v>0.86606910293555073</v>
      </c>
      <c r="AU20" s="6">
        <f t="shared" si="18"/>
        <v>0.87300623497704932</v>
      </c>
      <c r="AV20" s="6">
        <f t="shared" si="19"/>
        <v>0.8729315840120585</v>
      </c>
      <c r="AW20" s="6">
        <f t="shared" si="20"/>
        <v>0.86507465096499081</v>
      </c>
      <c r="AX20" s="6">
        <f t="shared" si="21"/>
        <v>0.87293345617078177</v>
      </c>
      <c r="AY20" s="6">
        <f t="shared" si="22"/>
        <v>0.8729315840120585</v>
      </c>
      <c r="AZ20" s="6">
        <f t="shared" si="23"/>
        <v>0.86500187215872326</v>
      </c>
      <c r="BA20" s="6">
        <f t="shared" si="24"/>
        <v>0.86614375390054155</v>
      </c>
      <c r="BB20" s="6">
        <f t="shared" si="25"/>
        <v>0.86606910293555073</v>
      </c>
      <c r="BC20" s="6">
        <f t="shared" si="26"/>
        <v>0.86507465096499081</v>
      </c>
      <c r="BD20" s="6">
        <f t="shared" si="27"/>
        <v>0.866070975094274</v>
      </c>
      <c r="BE20" s="6">
        <f t="shared" si="28"/>
        <v>0.86606910293555073</v>
      </c>
      <c r="BF20" s="6">
        <f t="shared" si="29"/>
        <v>0.86500187215872326</v>
      </c>
      <c r="BG20" s="6">
        <f t="shared" si="30"/>
        <v>0.86507652312371408</v>
      </c>
      <c r="BH20" s="6">
        <f t="shared" si="31"/>
        <v>0.86507465096499081</v>
      </c>
      <c r="BI20" s="6">
        <f t="shared" si="32"/>
        <v>0.86500187215872326</v>
      </c>
    </row>
    <row r="21" spans="1:61" x14ac:dyDescent="0.3">
      <c r="A21" s="3">
        <v>0</v>
      </c>
      <c r="B21" s="3">
        <v>0</v>
      </c>
      <c r="C21" s="3">
        <v>2.5</v>
      </c>
      <c r="D21" s="4">
        <v>27.5</v>
      </c>
      <c r="F21" s="3">
        <v>1</v>
      </c>
      <c r="G21" s="3">
        <v>5.3648993071759347E-2</v>
      </c>
      <c r="H21" s="3">
        <v>6.8960022856640506E-3</v>
      </c>
      <c r="I21" s="3">
        <v>4.5804332697401356E-4</v>
      </c>
      <c r="J21" s="3">
        <v>9.8992347472188995E-6</v>
      </c>
      <c r="L21" s="3">
        <f t="shared" si="0"/>
        <v>1.0610129379191449</v>
      </c>
      <c r="M21" s="4">
        <v>6.9000000000000006E-2</v>
      </c>
      <c r="N21" s="6">
        <f>F21/$L$21</f>
        <v>0.94249557593632816</v>
      </c>
      <c r="O21" s="6">
        <f>G21/$L$21</f>
        <v>5.0563938623571905E-2</v>
      </c>
      <c r="P21" s="6">
        <f>H21/$L$21</f>
        <v>6.4994516458851742E-3</v>
      </c>
      <c r="Q21" s="6">
        <f>I21/$L$21</f>
        <v>4.3170380926016476E-4</v>
      </c>
      <c r="R21" s="6">
        <f>J21/$L$21</f>
        <v>9.329984954408988E-6</v>
      </c>
      <c r="S21" s="7">
        <f t="shared" si="1"/>
        <v>0.93100000000000005</v>
      </c>
      <c r="T21" s="6">
        <f>N21*$M$21</f>
        <v>6.5032194739606641E-2</v>
      </c>
      <c r="U21" s="6">
        <f>O21*$M$21</f>
        <v>3.4889117650264618E-3</v>
      </c>
      <c r="V21" s="6">
        <f>P21*$M$21</f>
        <v>4.4846216356607708E-4</v>
      </c>
      <c r="W21" s="6">
        <f>Q21*$M$21</f>
        <v>2.9787562838951371E-5</v>
      </c>
      <c r="X21" s="6">
        <f>R21*$M$21</f>
        <v>6.4376896185422028E-7</v>
      </c>
      <c r="Y21" s="7">
        <f t="shared" si="2"/>
        <v>0.93100000000000005</v>
      </c>
      <c r="AA21" s="6">
        <f>T21+$Y$21</f>
        <v>0.99603219473960669</v>
      </c>
      <c r="AB21" s="6">
        <f>U21+$Y$21</f>
        <v>0.93448891176502646</v>
      </c>
      <c r="AC21" s="6">
        <f>V21+$Y$21</f>
        <v>0.93144846216356614</v>
      </c>
      <c r="AD21" s="6">
        <f>W21+$Y$21</f>
        <v>0.93102978756283905</v>
      </c>
      <c r="AE21" s="6">
        <f>X21+$Y$21</f>
        <v>0.93100064376896186</v>
      </c>
      <c r="AF21" s="7">
        <f t="shared" si="3"/>
        <v>0.99952110650463311</v>
      </c>
      <c r="AG21" s="7">
        <f t="shared" si="4"/>
        <v>0.99603219473960669</v>
      </c>
      <c r="AH21" s="7">
        <f t="shared" si="5"/>
        <v>0.93448891176502646</v>
      </c>
      <c r="AI21" s="6">
        <f t="shared" si="6"/>
        <v>0.99648065690317278</v>
      </c>
      <c r="AJ21" s="6">
        <f t="shared" si="7"/>
        <v>0.99603219473960669</v>
      </c>
      <c r="AK21" s="6">
        <f t="shared" si="8"/>
        <v>0.93144846216356614</v>
      </c>
      <c r="AL21" s="7">
        <f t="shared" si="9"/>
        <v>0.99606198230244569</v>
      </c>
      <c r="AM21" s="7">
        <f t="shared" si="10"/>
        <v>0.99603219473960669</v>
      </c>
      <c r="AN21" s="7">
        <f t="shared" si="11"/>
        <v>0.93102978756283905</v>
      </c>
      <c r="AO21" s="6">
        <f t="shared" si="12"/>
        <v>0.99603283850856861</v>
      </c>
      <c r="AP21" s="6">
        <f t="shared" si="13"/>
        <v>0.99603219473960669</v>
      </c>
      <c r="AQ21" s="6">
        <f t="shared" si="14"/>
        <v>0.93100064376896186</v>
      </c>
      <c r="AR21" s="7">
        <f t="shared" si="15"/>
        <v>0.93493737392859255</v>
      </c>
      <c r="AS21" s="7">
        <f t="shared" si="16"/>
        <v>0.93448891176502646</v>
      </c>
      <c r="AT21" s="7">
        <f t="shared" si="17"/>
        <v>0.93144846216356614</v>
      </c>
      <c r="AU21" s="6">
        <f t="shared" si="18"/>
        <v>0.93451869932786547</v>
      </c>
      <c r="AV21" s="6">
        <f t="shared" si="19"/>
        <v>0.93448891176502646</v>
      </c>
      <c r="AW21" s="6">
        <f t="shared" si="20"/>
        <v>0.93102978756283905</v>
      </c>
      <c r="AX21" s="6">
        <f t="shared" si="21"/>
        <v>0.93448955553398838</v>
      </c>
      <c r="AY21" s="6">
        <f t="shared" si="22"/>
        <v>0.93448891176502646</v>
      </c>
      <c r="AZ21" s="6">
        <f t="shared" si="23"/>
        <v>0.93100064376896186</v>
      </c>
      <c r="BA21" s="6">
        <f t="shared" si="24"/>
        <v>0.93147824972640503</v>
      </c>
      <c r="BB21" s="6">
        <f t="shared" si="25"/>
        <v>0.93144846216356614</v>
      </c>
      <c r="BC21" s="6">
        <f t="shared" si="26"/>
        <v>0.93102978756283905</v>
      </c>
      <c r="BD21" s="6">
        <f t="shared" si="27"/>
        <v>0.93144910593252794</v>
      </c>
      <c r="BE21" s="6">
        <f t="shared" si="28"/>
        <v>0.93144846216356614</v>
      </c>
      <c r="BF21" s="6">
        <f t="shared" si="29"/>
        <v>0.93100064376896186</v>
      </c>
      <c r="BG21" s="6">
        <f t="shared" si="30"/>
        <v>0.93103043133180086</v>
      </c>
      <c r="BH21" s="6">
        <f t="shared" si="31"/>
        <v>0.93102978756283905</v>
      </c>
      <c r="BI21" s="6">
        <f t="shared" si="32"/>
        <v>0.93100064376896186</v>
      </c>
    </row>
    <row r="22" spans="1:61" x14ac:dyDescent="0.3">
      <c r="A22" s="3" t="s">
        <v>1</v>
      </c>
      <c r="B22" s="3" t="s">
        <v>3</v>
      </c>
      <c r="C22" s="3" t="s">
        <v>5</v>
      </c>
      <c r="D22" s="3" t="s">
        <v>7</v>
      </c>
      <c r="E22" s="3" t="s">
        <v>9</v>
      </c>
      <c r="V22" s="17" t="s">
        <v>94</v>
      </c>
      <c r="W22" s="17"/>
      <c r="X22" s="17"/>
      <c r="Y22" s="4">
        <f>PRODUCT(Y3:Y21)</f>
        <v>0.30289854100838853</v>
      </c>
      <c r="AA22" s="3">
        <f t="shared" ref="AA22:BI22" si="33">PRODUCT(AA3:AA21)</f>
        <v>0.52480073986487996</v>
      </c>
      <c r="AB22" s="3">
        <f t="shared" si="33"/>
        <v>0.44785931461153505</v>
      </c>
      <c r="AC22" s="3">
        <f t="shared" si="33"/>
        <v>0.41844261788199122</v>
      </c>
      <c r="AD22" s="3">
        <f t="shared" si="33"/>
        <v>0.32958499989925399</v>
      </c>
      <c r="AE22" s="3">
        <f t="shared" si="33"/>
        <v>0.30893996769874355</v>
      </c>
      <c r="AF22" s="4">
        <f t="shared" si="33"/>
        <v>0.74511534169553217</v>
      </c>
      <c r="AG22" s="4">
        <f t="shared" si="33"/>
        <v>0.52480073986487996</v>
      </c>
      <c r="AH22" s="4">
        <f t="shared" si="33"/>
        <v>0.44785931461153505</v>
      </c>
      <c r="AI22" s="4">
        <f t="shared" si="33"/>
        <v>0.69703928786321734</v>
      </c>
      <c r="AJ22" s="4">
        <f t="shared" si="33"/>
        <v>0.52480073986487996</v>
      </c>
      <c r="AK22" s="4">
        <f t="shared" si="33"/>
        <v>0.41844261788199122</v>
      </c>
      <c r="AL22" s="4">
        <f t="shared" si="33"/>
        <v>0.564287228031775</v>
      </c>
      <c r="AM22" s="4">
        <f t="shared" si="33"/>
        <v>0.52480073986487996</v>
      </c>
      <c r="AN22" s="4">
        <f t="shared" si="33"/>
        <v>0.32958499989925399</v>
      </c>
      <c r="AO22" s="4">
        <f t="shared" si="33"/>
        <v>0.53372546004954535</v>
      </c>
      <c r="AP22" s="4">
        <f t="shared" si="33"/>
        <v>0.52480073986487996</v>
      </c>
      <c r="AQ22" s="4">
        <f t="shared" si="33"/>
        <v>0.30893996769874355</v>
      </c>
      <c r="AR22" s="4">
        <f t="shared" si="33"/>
        <v>0.58077986255923808</v>
      </c>
      <c r="AS22" s="4">
        <f t="shared" si="33"/>
        <v>0.44785931461153505</v>
      </c>
      <c r="AT22" s="4">
        <f t="shared" si="33"/>
        <v>0.41844261788199122</v>
      </c>
      <c r="AU22" s="4">
        <f t="shared" si="33"/>
        <v>0.47810761694951032</v>
      </c>
      <c r="AV22" s="4">
        <f t="shared" si="33"/>
        <v>0.44785931461153505</v>
      </c>
      <c r="AW22" s="4">
        <f t="shared" si="33"/>
        <v>0.32958499989925399</v>
      </c>
      <c r="AX22" s="4">
        <f t="shared" si="33"/>
        <v>0.45468431895107375</v>
      </c>
      <c r="AY22" s="4">
        <f t="shared" si="33"/>
        <v>0.44785931461153505</v>
      </c>
      <c r="AZ22" s="4">
        <f t="shared" si="33"/>
        <v>0.30893996769874355</v>
      </c>
      <c r="BA22" s="4">
        <f t="shared" si="33"/>
        <v>0.44652723060331789</v>
      </c>
      <c r="BB22" s="4">
        <f t="shared" si="33"/>
        <v>0.41844261788199122</v>
      </c>
      <c r="BC22" s="4">
        <f t="shared" si="33"/>
        <v>0.32958499989925399</v>
      </c>
      <c r="BD22" s="4">
        <f t="shared" si="33"/>
        <v>0.42477805181608302</v>
      </c>
      <c r="BE22" s="4">
        <f t="shared" si="33"/>
        <v>0.41844261788199122</v>
      </c>
      <c r="BF22" s="4">
        <f t="shared" si="33"/>
        <v>0.30893996769874355</v>
      </c>
      <c r="BG22" s="4">
        <f t="shared" si="33"/>
        <v>0.33566880569572061</v>
      </c>
      <c r="BH22" s="4">
        <f t="shared" si="33"/>
        <v>0.32958499989925399</v>
      </c>
      <c r="BI22" s="4">
        <f t="shared" si="33"/>
        <v>0.30893996769874355</v>
      </c>
    </row>
    <row r="23" spans="1:61" x14ac:dyDescent="0.3">
      <c r="A23" s="3">
        <f>0.5*(0.7+27.5)</f>
        <v>14.1</v>
      </c>
      <c r="B23" s="3">
        <f>0.5*((57.25-0.11)+500)</f>
        <v>278.57</v>
      </c>
      <c r="C23" s="3">
        <f>0.5*((194.5-9.43)+3000)</f>
        <v>1592.5350000000001</v>
      </c>
      <c r="D23" s="3">
        <f>0.5*((1117.5-27.67)+30250)</f>
        <v>15669.915000000001</v>
      </c>
      <c r="E23" s="3">
        <f>0.5*((30250-402.5)+(100000-4.13))</f>
        <v>64921.684999999998</v>
      </c>
      <c r="AA23" s="16" t="s">
        <v>95</v>
      </c>
      <c r="AB23" s="16"/>
      <c r="AC23" s="16"/>
      <c r="AD23" s="16"/>
      <c r="AE23" s="16"/>
      <c r="AF23" s="16" t="s">
        <v>96</v>
      </c>
      <c r="AG23" s="16"/>
      <c r="AH23" s="16"/>
    </row>
    <row r="24" spans="1:61" x14ac:dyDescent="0.3">
      <c r="L24" s="17"/>
      <c r="M24" s="17"/>
      <c r="N24" s="17"/>
      <c r="Y24" s="16" t="s">
        <v>97</v>
      </c>
      <c r="Z24" s="16"/>
      <c r="AA24" s="4">
        <f>SUM(AA22:AE22)-5*Y22</f>
        <v>0.51513493491446116</v>
      </c>
      <c r="AD24" s="16" t="s">
        <v>98</v>
      </c>
      <c r="AE24" s="16"/>
      <c r="AF24" s="4">
        <f>AF22-AG22-AH22+Y22</f>
        <v>7.5353828227505693E-2</v>
      </c>
      <c r="AG24" s="8" t="s">
        <v>99</v>
      </c>
      <c r="AH24" s="8">
        <f>AF24*AG2</f>
        <v>7.5353828227505693E-2</v>
      </c>
      <c r="AI24" s="3">
        <f>AI22-AJ22-AK22+Y22</f>
        <v>5.6694471124734691E-2</v>
      </c>
      <c r="AK24" s="9">
        <f>AI24*AJ2</f>
        <v>4.3031103583673631E-2</v>
      </c>
      <c r="AL24" s="4">
        <f>AL22-AM22-AN22+Y22</f>
        <v>1.2800029276029579E-2</v>
      </c>
      <c r="AN24" s="8">
        <f>AL24*AM2</f>
        <v>6.4640147843949376E-3</v>
      </c>
      <c r="AO24" s="3">
        <f>AO22-AP22-AQ22+Y22</f>
        <v>2.8832934943103794E-3</v>
      </c>
      <c r="AQ24" s="9">
        <f>AO24*AP2</f>
        <v>1.5858114218707088E-4</v>
      </c>
      <c r="AR24" s="4">
        <f>AR22-AS22-AT22+Y22</f>
        <v>1.7376471074100341E-2</v>
      </c>
      <c r="AT24" s="8">
        <f>AR24*AS2</f>
        <v>1.7376471074100341E-2</v>
      </c>
      <c r="AU24" s="3">
        <f>AU22-AV22-AW22+Y22</f>
        <v>3.5618434471098026E-3</v>
      </c>
      <c r="AW24" s="9">
        <f>AU24*AV2</f>
        <v>3.5618434471098026E-3</v>
      </c>
      <c r="AX24" s="3">
        <f>AX22-AY22-AZ22+Y22</f>
        <v>7.8357764918368655E-4</v>
      </c>
      <c r="AZ24" s="9">
        <f>AX24*AY2</f>
        <v>4.6231081301837502E-4</v>
      </c>
      <c r="BA24" s="3">
        <f>BA22-BB22-BC22+Y22</f>
        <v>1.3981538304612129E-3</v>
      </c>
      <c r="BC24" s="9">
        <f>BA24*BB2</f>
        <v>1.3981538304612129E-3</v>
      </c>
      <c r="BD24" s="3">
        <f>BD22-BE22-BF22+Y22</f>
        <v>2.9400724373679354E-4</v>
      </c>
      <c r="BF24" s="9">
        <f>BD24*BE2</f>
        <v>2.7489677289390199E-4</v>
      </c>
      <c r="BG24" s="3">
        <f>BG22-BH22-BI22+Y22</f>
        <v>4.2379106111600784E-5</v>
      </c>
      <c r="BI24" s="9">
        <f>BG24*BH2</f>
        <v>4.2379106111600784E-5</v>
      </c>
    </row>
    <row r="25" spans="1:61" ht="15.5" x14ac:dyDescent="0.3">
      <c r="L25" s="17"/>
      <c r="M25" s="17"/>
      <c r="N25" s="17"/>
      <c r="AB25" s="16" t="s">
        <v>100</v>
      </c>
      <c r="AC25" s="16"/>
      <c r="AD25" s="4">
        <f>AH24+AK24+AN24+AQ24+AT24+AW24+AZ24+BC24+BF24+BI24</f>
        <v>0.14812358278145657</v>
      </c>
      <c r="AE25" s="10" t="s">
        <v>101</v>
      </c>
    </row>
    <row r="26" spans="1:61" ht="17.5" x14ac:dyDescent="0.3">
      <c r="L26" s="17"/>
      <c r="M26" s="17"/>
      <c r="N26" s="17"/>
      <c r="AD26" s="3">
        <f>AA24+AD25+Y22</f>
        <v>0.96615705870430624</v>
      </c>
      <c r="AE26" s="11">
        <f>1/AD26</f>
        <v>1.0350284055690488</v>
      </c>
    </row>
    <row r="27" spans="1:61" x14ac:dyDescent="0.3">
      <c r="B27" s="3">
        <v>3.5000000000000003E-2</v>
      </c>
      <c r="C27" s="3">
        <v>1.6000000000000001E-3</v>
      </c>
      <c r="D27" s="3">
        <v>1.8199999999999999E-5</v>
      </c>
      <c r="E27" s="3">
        <v>6.3799999999999997E-7</v>
      </c>
      <c r="F27" s="3">
        <v>0</v>
      </c>
      <c r="G27" s="3">
        <f>SUM(B27:F27)</f>
        <v>3.6618838000000001E-2</v>
      </c>
      <c r="L27" s="17"/>
      <c r="M27" s="17"/>
      <c r="N27" s="17"/>
      <c r="AH27" s="4" t="s">
        <v>27</v>
      </c>
      <c r="AI27" s="3" t="s">
        <v>28</v>
      </c>
      <c r="AJ27" s="3" t="s">
        <v>29</v>
      </c>
      <c r="AK27" s="4" t="s">
        <v>30</v>
      </c>
      <c r="AL27" s="4" t="s">
        <v>31</v>
      </c>
      <c r="AM27" s="4" t="s">
        <v>32</v>
      </c>
      <c r="AN27" s="4" t="s">
        <v>33</v>
      </c>
      <c r="AO27" s="4" t="s">
        <v>34</v>
      </c>
      <c r="AX27" s="3" t="s">
        <v>35</v>
      </c>
      <c r="AY27" s="3" t="s">
        <v>36</v>
      </c>
    </row>
    <row r="28" spans="1:61" x14ac:dyDescent="0.3">
      <c r="AF28" s="16" t="s">
        <v>104</v>
      </c>
      <c r="AG28" s="16"/>
      <c r="AH28" s="4">
        <f>AH24</f>
        <v>7.5353828227505693E-2</v>
      </c>
      <c r="AI28" s="3">
        <f>AK24</f>
        <v>4.3031103583673631E-2</v>
      </c>
      <c r="AJ28" s="3">
        <f>AN24</f>
        <v>6.4640147843949376E-3</v>
      </c>
      <c r="AK28" s="3">
        <f>AQ24</f>
        <v>1.5858114218707088E-4</v>
      </c>
      <c r="AL28" s="4">
        <f>AT24</f>
        <v>1.7376471074100341E-2</v>
      </c>
      <c r="AM28" s="4">
        <f>AW24</f>
        <v>3.5618434471098026E-3</v>
      </c>
      <c r="AN28" s="4">
        <f>AZ24</f>
        <v>4.6231081301837502E-4</v>
      </c>
      <c r="AO28" s="3">
        <f>BC24</f>
        <v>1.3981538304612129E-3</v>
      </c>
      <c r="AX28" s="3">
        <f>BF24</f>
        <v>2.7489677289390199E-4</v>
      </c>
      <c r="AY28" s="3">
        <f>BI24</f>
        <v>4.2379106111600784E-5</v>
      </c>
    </row>
    <row r="29" spans="1:61" s="12" customFormat="1" x14ac:dyDescent="0.3">
      <c r="B29" s="12">
        <f>B27/$G$27</f>
        <v>0.95579220727866909</v>
      </c>
      <c r="C29" s="12">
        <f>C27/$G$27</f>
        <v>4.3693358047024872E-2</v>
      </c>
      <c r="D29" s="12">
        <f>D27/$G$27</f>
        <v>4.9701194778490785E-4</v>
      </c>
      <c r="E29" s="12">
        <f>E27/$G$27</f>
        <v>1.7422726521251163E-5</v>
      </c>
      <c r="F29" s="12">
        <f>F27/$G$27</f>
        <v>0</v>
      </c>
      <c r="X29" s="13" t="s">
        <v>102</v>
      </c>
      <c r="Y29" s="13">
        <f>AE26*Y22</f>
        <v>0.31350859394910352</v>
      </c>
      <c r="Z29" s="13" t="s">
        <v>103</v>
      </c>
      <c r="AA29" s="13">
        <f>$AE$26*(AA22-$Y$22)</f>
        <v>0.22967507907470033</v>
      </c>
      <c r="AB29" s="13">
        <f>$AE$26*(AB22-$Y$22)</f>
        <v>0.15003851837252061</v>
      </c>
      <c r="AC29" s="13">
        <f>$AE$26*(AC22-$Y$22)</f>
        <v>0.11959140165943259</v>
      </c>
      <c r="AD29" s="13">
        <f>$AE$26*(AD22-$Y$22)</f>
        <v>2.7621242996096446E-2</v>
      </c>
      <c r="AE29" s="13">
        <f>$AE$26*(AE22-$Y$22)</f>
        <v>6.2530482346804432E-3</v>
      </c>
      <c r="AF29" s="21" t="s">
        <v>105</v>
      </c>
      <c r="AG29" s="21"/>
      <c r="AH29" s="13">
        <f>AH28*$AE$26</f>
        <v>7.7993352683839209E-2</v>
      </c>
      <c r="AI29" s="13">
        <f t="shared" ref="AI29:AY29" si="34">AI28*$AE$26</f>
        <v>4.4538414532086304E-2</v>
      </c>
      <c r="AJ29" s="13">
        <f t="shared" si="34"/>
        <v>6.6904389158670514E-3</v>
      </c>
      <c r="AK29" s="13">
        <f t="shared" si="34"/>
        <v>1.641359867512026E-4</v>
      </c>
      <c r="AL29" s="13">
        <f t="shared" si="34"/>
        <v>1.7985141150242773E-2</v>
      </c>
      <c r="AM29" s="13">
        <f t="shared" si="34"/>
        <v>3.6866091439486238E-3</v>
      </c>
      <c r="AN29" s="13">
        <f t="shared" si="34"/>
        <v>4.7850482367573936E-4</v>
      </c>
      <c r="AO29" s="13">
        <f t="shared" si="34"/>
        <v>1.4471289298825273E-3</v>
      </c>
      <c r="AP29" s="13">
        <f t="shared" si="34"/>
        <v>0</v>
      </c>
      <c r="AQ29" s="13">
        <f t="shared" si="34"/>
        <v>0</v>
      </c>
      <c r="AR29" s="13">
        <f t="shared" si="34"/>
        <v>0</v>
      </c>
      <c r="AS29" s="13">
        <f t="shared" si="34"/>
        <v>0</v>
      </c>
      <c r="AT29" s="13">
        <f t="shared" si="34"/>
        <v>0</v>
      </c>
      <c r="AU29" s="13">
        <f t="shared" si="34"/>
        <v>0</v>
      </c>
      <c r="AV29" s="13">
        <f t="shared" si="34"/>
        <v>0</v>
      </c>
      <c r="AW29" s="13">
        <f t="shared" si="34"/>
        <v>0</v>
      </c>
      <c r="AX29" s="13">
        <f t="shared" si="34"/>
        <v>2.8452596854445231E-4</v>
      </c>
      <c r="AY29" s="13">
        <f t="shared" si="34"/>
        <v>4.3863578628131693E-5</v>
      </c>
    </row>
    <row r="30" spans="1:61" s="12" customFormat="1" ht="22.5" x14ac:dyDescent="0.3">
      <c r="X30" s="13" t="s">
        <v>106</v>
      </c>
      <c r="Y30" s="13">
        <f>1-Y29</f>
        <v>0.68649140605089642</v>
      </c>
      <c r="Z30" s="13" t="s">
        <v>50</v>
      </c>
      <c r="AA30" s="13">
        <f t="shared" ref="AA30:AY30" si="35">AA29/$Y$30</f>
        <v>0.33456366248767322</v>
      </c>
      <c r="AB30" s="13">
        <f t="shared" si="35"/>
        <v>0.21855848019370072</v>
      </c>
      <c r="AC30" s="13">
        <f t="shared" si="35"/>
        <v>0.17420669888264573</v>
      </c>
      <c r="AD30" s="13">
        <f t="shared" si="35"/>
        <v>4.0235380592730408E-2</v>
      </c>
      <c r="AE30" s="13">
        <f t="shared" si="35"/>
        <v>9.1087057748496306E-3</v>
      </c>
      <c r="AF30" s="21" t="s">
        <v>49</v>
      </c>
      <c r="AG30" s="21"/>
      <c r="AH30" s="12">
        <f t="shared" si="35"/>
        <v>0.1136115499719115</v>
      </c>
      <c r="AI30" s="12">
        <f t="shared" si="35"/>
        <v>6.4878327885118825E-2</v>
      </c>
      <c r="AJ30" s="12">
        <f t="shared" si="35"/>
        <v>9.7458451145869453E-3</v>
      </c>
      <c r="AK30" s="12">
        <f t="shared" si="35"/>
        <v>2.3909401531391284E-4</v>
      </c>
      <c r="AL30" s="12">
        <f t="shared" si="35"/>
        <v>2.6198639912630394E-2</v>
      </c>
      <c r="AM30" s="12">
        <f t="shared" si="35"/>
        <v>5.3702189298423623E-3</v>
      </c>
      <c r="AN30" s="12">
        <f t="shared" si="35"/>
        <v>6.9702959054998429E-4</v>
      </c>
      <c r="AO30" s="12">
        <f t="shared" si="35"/>
        <v>2.1080073503137739E-3</v>
      </c>
      <c r="AP30" s="12">
        <f t="shared" si="35"/>
        <v>0</v>
      </c>
      <c r="AQ30" s="12">
        <f t="shared" si="35"/>
        <v>0</v>
      </c>
      <c r="AR30" s="12">
        <f t="shared" si="35"/>
        <v>0</v>
      </c>
      <c r="AS30" s="12">
        <f t="shared" si="35"/>
        <v>0</v>
      </c>
      <c r="AT30" s="12">
        <f t="shared" si="35"/>
        <v>0</v>
      </c>
      <c r="AU30" s="12">
        <f t="shared" si="35"/>
        <v>0</v>
      </c>
      <c r="AV30" s="12">
        <f t="shared" si="35"/>
        <v>0</v>
      </c>
      <c r="AW30" s="12">
        <f t="shared" si="35"/>
        <v>0</v>
      </c>
      <c r="AX30" s="12">
        <f t="shared" si="35"/>
        <v>4.144639918818701E-4</v>
      </c>
      <c r="AY30" s="12">
        <f t="shared" si="35"/>
        <v>6.389530625075247E-5</v>
      </c>
    </row>
    <row r="31" spans="1:61" x14ac:dyDescent="0.3">
      <c r="K31" s="3" t="s">
        <v>43</v>
      </c>
      <c r="L31" s="3" t="s">
        <v>44</v>
      </c>
      <c r="M31" s="3" t="s">
        <v>41</v>
      </c>
      <c r="N31" s="6" t="s">
        <v>42</v>
      </c>
      <c r="O31" s="6" t="s">
        <v>39</v>
      </c>
      <c r="P31" s="6" t="s">
        <v>40</v>
      </c>
      <c r="Q31" s="6" t="s">
        <v>37</v>
      </c>
      <c r="R31" s="6" t="s">
        <v>38</v>
      </c>
      <c r="S31" s="6" t="s">
        <v>46</v>
      </c>
      <c r="T31" s="6" t="s">
        <v>45</v>
      </c>
      <c r="W31" s="4" t="s">
        <v>51</v>
      </c>
      <c r="X31" s="4">
        <v>14.045</v>
      </c>
    </row>
    <row r="32" spans="1:61" x14ac:dyDescent="0.3">
      <c r="K32" s="3">
        <f>(M32*X32+Q32)/(Q32+R32+X32)*AI30</f>
        <v>1.5928112176260934E-2</v>
      </c>
      <c r="L32" s="3">
        <f>(N32*X32+R32)/(Q32+R32+X32)*AI30</f>
        <v>4.895021570885788E-2</v>
      </c>
      <c r="M32" s="3">
        <f>0.5*((1-O32/(O32+P32))+(Q32/(Q32+R32)))</f>
        <v>0.24818155784650631</v>
      </c>
      <c r="N32" s="6">
        <f>0.5*((1-P32/(O32+P32))+(R32/(Q32+R32)))</f>
        <v>0.75181844215349369</v>
      </c>
      <c r="O32" s="6">
        <f>U32-0.7</f>
        <v>6.4580000000000002</v>
      </c>
      <c r="P32" s="6">
        <f>9.43-U32</f>
        <v>2.2719999999999994</v>
      </c>
      <c r="Q32" s="6">
        <f>0.5*27.5*(S32-V32)</f>
        <v>0.7012500000000006</v>
      </c>
      <c r="R32" s="6">
        <f>0.5*27.5*(T32-V32)</f>
        <v>2.2687500000000007</v>
      </c>
      <c r="S32" s="3">
        <v>0.81</v>
      </c>
      <c r="T32" s="3">
        <v>0.92400000000000004</v>
      </c>
      <c r="U32" s="3">
        <v>7.1580000000000004</v>
      </c>
      <c r="V32" s="3">
        <v>0.75900000000000001</v>
      </c>
      <c r="W32" s="4" t="s">
        <v>52</v>
      </c>
      <c r="X32" s="4">
        <v>10.436</v>
      </c>
      <c r="Z32" s="4" t="s">
        <v>0</v>
      </c>
      <c r="AA32" s="4" t="s">
        <v>2</v>
      </c>
      <c r="AB32" s="4" t="s">
        <v>4</v>
      </c>
      <c r="AC32" s="4" t="s">
        <v>6</v>
      </c>
      <c r="AD32" s="4" t="s">
        <v>8</v>
      </c>
    </row>
    <row r="33" spans="11:32" s="3" customFormat="1" x14ac:dyDescent="0.3">
      <c r="K33" s="3">
        <f>(M33*X33+Q33)/(Q33+R33+X33)*AJ30</f>
        <v>4.9783574489438492E-3</v>
      </c>
      <c r="L33" s="3">
        <f>(N33*X33+R33)/(Q33+R33+X33)*AJ30</f>
        <v>4.7674876656430961E-3</v>
      </c>
      <c r="M33" s="3">
        <f>0.5*((1-O33/(O33+P33))+(Q33/(Q33+R33)))</f>
        <v>0.51001000665621321</v>
      </c>
      <c r="N33" s="6">
        <f>0.5*((1-P33/(O33+P33))+(R33/(Q33+R33)))</f>
        <v>0.48998999334378668</v>
      </c>
      <c r="O33" s="6">
        <f>U33-0.7</f>
        <v>13.270000000000001</v>
      </c>
      <c r="P33" s="6">
        <f>27.67-U33</f>
        <v>13.700000000000001</v>
      </c>
      <c r="Q33" s="6">
        <f>0.5*27.5*(S33-V33)</f>
        <v>2.3375000000000004</v>
      </c>
      <c r="R33" s="6">
        <f>0.5*27.5*(T33-V33)</f>
        <v>2.2275000000000005</v>
      </c>
      <c r="S33" s="3">
        <v>0.67500000000000004</v>
      </c>
      <c r="T33" s="3">
        <v>0.66700000000000004</v>
      </c>
      <c r="U33" s="3">
        <v>13.97</v>
      </c>
      <c r="V33" s="3">
        <v>0.505</v>
      </c>
      <c r="W33" s="4" t="s">
        <v>53</v>
      </c>
      <c r="X33" s="4">
        <v>6.944</v>
      </c>
      <c r="Y33" s="4"/>
      <c r="Z33" s="4">
        <v>14.1</v>
      </c>
      <c r="AA33" s="4">
        <v>278.57</v>
      </c>
      <c r="AB33" s="4">
        <v>1592.5350000000001</v>
      </c>
      <c r="AC33" s="4">
        <v>15669.915000000001</v>
      </c>
      <c r="AD33" s="4">
        <v>64921.684999999998</v>
      </c>
      <c r="AF33" s="4"/>
    </row>
    <row r="34" spans="11:32" s="3" customFormat="1" x14ac:dyDescent="0.3">
      <c r="N34" s="6"/>
      <c r="O34" s="6"/>
      <c r="P34" s="6"/>
      <c r="Q34" s="6"/>
      <c r="R34" s="6"/>
      <c r="U34" s="3">
        <v>26.033999999999999</v>
      </c>
      <c r="V34" s="3">
        <v>5.5E-2</v>
      </c>
      <c r="W34" s="4" t="s">
        <v>54</v>
      </c>
      <c r="X34" s="4">
        <v>0.64300000000000002</v>
      </c>
      <c r="Y34" s="4"/>
      <c r="Z34" s="3">
        <f>(1-Z33/(Z33+AA33))*AH30</f>
        <v>0.10813807180672903</v>
      </c>
      <c r="AA34" s="3">
        <f>(1-AA33/(Z33+AA33))*AH30</f>
        <v>5.47347816518248E-3</v>
      </c>
      <c r="AF34" s="4"/>
    </row>
    <row r="35" spans="11:32" s="3" customFormat="1" x14ac:dyDescent="0.3">
      <c r="N35" s="6"/>
      <c r="O35" s="6"/>
      <c r="P35" s="6"/>
      <c r="Q35" s="6"/>
      <c r="R35" s="6"/>
      <c r="W35" s="4" t="s">
        <v>55</v>
      </c>
      <c r="X35" s="4">
        <v>273.91000000000003</v>
      </c>
      <c r="Y35" s="4"/>
      <c r="Z35" s="3">
        <f>K32</f>
        <v>1.5928112176260934E-2</v>
      </c>
      <c r="AB35" s="3">
        <f>L32</f>
        <v>4.895021570885788E-2</v>
      </c>
      <c r="AE35" s="9">
        <f>(1-Z33/(Z33+AB33))*AI30</f>
        <v>6.4308948764671317E-2</v>
      </c>
      <c r="AF35" s="14">
        <f>(1-AB33/(AB33+Z33))*AI30</f>
        <v>5.6937912044750176E-4</v>
      </c>
    </row>
    <row r="36" spans="11:32" s="3" customFormat="1" x14ac:dyDescent="0.3">
      <c r="N36" s="6"/>
      <c r="O36" s="6"/>
      <c r="P36" s="6"/>
      <c r="Q36" s="6"/>
      <c r="R36" s="6"/>
      <c r="W36" s="4" t="s">
        <v>56</v>
      </c>
      <c r="X36" s="4">
        <v>264.79000000000002</v>
      </c>
      <c r="Y36" s="4"/>
      <c r="Z36" s="3">
        <f>K33</f>
        <v>4.9783574489438492E-3</v>
      </c>
      <c r="AC36" s="3">
        <f>L33</f>
        <v>4.7674876656430961E-3</v>
      </c>
      <c r="AF36" s="4"/>
    </row>
    <row r="37" spans="11:32" s="3" customFormat="1" x14ac:dyDescent="0.3">
      <c r="K37" s="3">
        <f>(M37*X37+Q37)/(Q37+R37+X37)*AN30</f>
        <v>3.2708706280928229E-4</v>
      </c>
      <c r="L37" s="3">
        <f>(N37*X37+R37)/(Q37+R37+X37)*AN30</f>
        <v>3.6994252774070211E-4</v>
      </c>
      <c r="M37" s="3">
        <f>0.5*((1-O37/(O37+P37))+(Q37/(Q37+R37)))</f>
        <v>0.47036798277373376</v>
      </c>
      <c r="N37" s="6">
        <f>0.5*((1-P37/(O37+P37))+(R37/(Q37+R37)))</f>
        <v>0.52963201722626629</v>
      </c>
      <c r="O37" s="6">
        <f>U37-57.25</f>
        <v>181.72900000000001</v>
      </c>
      <c r="P37" s="6">
        <f>402.5-U37</f>
        <v>163.52099999999999</v>
      </c>
      <c r="Q37" s="6">
        <f>0.5*(500-4.13)*(S37-V37)</f>
        <v>35.206770000000006</v>
      </c>
      <c r="R37" s="6">
        <f>0.5*(500-4.13)*(T37-V37)</f>
        <v>40.165470000000006</v>
      </c>
      <c r="S37" s="3">
        <v>0.73199999999999998</v>
      </c>
      <c r="T37" s="3">
        <v>0.752</v>
      </c>
      <c r="U37" s="3">
        <v>238.97900000000001</v>
      </c>
      <c r="V37" s="3">
        <v>0.59</v>
      </c>
      <c r="W37" s="4" t="s">
        <v>57</v>
      </c>
      <c r="X37" s="4">
        <v>146.28</v>
      </c>
      <c r="Y37" s="4"/>
      <c r="AA37" s="3">
        <f>(1-AA33/(AA33+AB33))*AL30</f>
        <v>2.2298187976228404E-2</v>
      </c>
      <c r="AB37" s="3">
        <f>(1-AB33/(AA33+AB33))*AL30</f>
        <v>3.9004519364019912E-3</v>
      </c>
      <c r="AF37" s="4"/>
    </row>
    <row r="38" spans="11:32" s="3" customFormat="1" x14ac:dyDescent="0.3">
      <c r="N38" s="6"/>
      <c r="O38" s="6"/>
      <c r="P38" s="6"/>
      <c r="Q38" s="6"/>
      <c r="R38" s="6"/>
      <c r="W38" s="4" t="s">
        <v>58</v>
      </c>
      <c r="X38" s="4">
        <v>1583.29</v>
      </c>
      <c r="Y38" s="4"/>
      <c r="AA38" s="3">
        <f>(1-AA33/(AA33+AC33))*AM30</f>
        <v>5.2764180523743025E-3</v>
      </c>
      <c r="AC38" s="3">
        <f>(1-AC33/(AA33+AC33))*AM30</f>
        <v>9.380087746805975E-5</v>
      </c>
      <c r="AF38" s="4"/>
    </row>
    <row r="39" spans="11:32" s="3" customFormat="1" x14ac:dyDescent="0.3">
      <c r="N39" s="6"/>
      <c r="O39" s="6"/>
      <c r="P39" s="6"/>
      <c r="Q39" s="6"/>
      <c r="R39" s="6"/>
      <c r="U39" s="3">
        <v>376.61200000000002</v>
      </c>
      <c r="V39" s="3">
        <v>0.93500000000000005</v>
      </c>
      <c r="W39" s="4" t="s">
        <v>59</v>
      </c>
      <c r="X39" s="4">
        <v>1400.57</v>
      </c>
      <c r="Y39" s="4"/>
      <c r="AA39" s="3">
        <f>K37</f>
        <v>3.2708706280928229E-4</v>
      </c>
      <c r="AD39" s="3">
        <f>L37</f>
        <v>3.6994252774070211E-4</v>
      </c>
      <c r="AF39" s="4"/>
    </row>
    <row r="40" spans="11:32" s="3" customFormat="1" x14ac:dyDescent="0.3">
      <c r="N40" s="6"/>
      <c r="O40" s="6"/>
      <c r="P40" s="6"/>
      <c r="Q40" s="6"/>
      <c r="R40" s="6"/>
      <c r="W40" s="4" t="s">
        <v>60</v>
      </c>
      <c r="X40" s="4">
        <v>15480.434999999999</v>
      </c>
      <c r="Y40" s="4"/>
      <c r="AB40" s="3">
        <f>(1-AB33/(AB33+AC33))*AO30</f>
        <v>1.9135346372497566E-3</v>
      </c>
      <c r="AC40" s="3">
        <f>(1-AC33/(AB33+AC33))*AO30</f>
        <v>1.9447271306401729E-4</v>
      </c>
      <c r="AF40" s="4"/>
    </row>
    <row r="43" spans="11:32" s="3" customFormat="1" ht="17.5" x14ac:dyDescent="0.3">
      <c r="N43" s="7">
        <v>0</v>
      </c>
      <c r="O43" s="7">
        <v>0.3</v>
      </c>
      <c r="P43" s="7">
        <v>0.5</v>
      </c>
      <c r="Q43" s="7">
        <v>0.7</v>
      </c>
      <c r="R43" s="7">
        <v>1</v>
      </c>
      <c r="T43" s="4" t="s">
        <v>61</v>
      </c>
      <c r="U43" s="4">
        <f>N43*AA43+O43*AB43+P43*AC43+Q43*AD43+R43*AE43</f>
        <v>0.23124799361449044</v>
      </c>
      <c r="Y43" s="16" t="s">
        <v>107</v>
      </c>
      <c r="Z43" s="16"/>
      <c r="AA43" s="13">
        <f>AA30+Z34+Z35+Z36</f>
        <v>0.46360820391960705</v>
      </c>
      <c r="AB43" s="13">
        <f>AB30+AA34+AA37+AA38+AA39</f>
        <v>0.25193365145029517</v>
      </c>
      <c r="AC43" s="13">
        <f>AC30+AB35+AB37+AB40</f>
        <v>0.22897090116515534</v>
      </c>
      <c r="AD43" s="13">
        <f>AD30+AC36+AC38+AC40</f>
        <v>4.5291141848905585E-2</v>
      </c>
      <c r="AE43" s="13">
        <f>AE30+AD39</f>
        <v>9.4786483025903322E-3</v>
      </c>
      <c r="AF43" s="4"/>
    </row>
    <row r="44" spans="11:32" s="3" customFormat="1" x14ac:dyDescent="0.3">
      <c r="N44" s="6">
        <f>N3*$N$43</f>
        <v>0</v>
      </c>
      <c r="O44" s="6">
        <f>O3*$O$43</f>
        <v>0.1240989612965152</v>
      </c>
      <c r="P44" s="6">
        <f>P3*$P$43</f>
        <v>3.6606953488498885E-2</v>
      </c>
      <c r="Q44" s="6">
        <f>Q3*$Q$43</f>
        <v>5.002689116966893E-3</v>
      </c>
      <c r="R44" s="6">
        <f>R3*$R$43</f>
        <v>7.6263904908282251E-4</v>
      </c>
      <c r="S44" s="7">
        <f>SUM(N44:R44)</f>
        <v>0.1664712429510638</v>
      </c>
      <c r="Y44" s="4"/>
      <c r="AF44" s="4"/>
    </row>
    <row r="45" spans="11:32" s="3" customFormat="1" x14ac:dyDescent="0.3">
      <c r="N45" s="6">
        <f t="shared" ref="N45:N62" si="36">N4*$N$43</f>
        <v>0</v>
      </c>
      <c r="O45" s="6">
        <f t="shared" ref="O45:O62" si="37">O4*$O$43</f>
        <v>1.5169181587071571E-2</v>
      </c>
      <c r="P45" s="6">
        <f t="shared" ref="P45:P62" si="38">P4*$P$43</f>
        <v>3.2497258229425871E-3</v>
      </c>
      <c r="Q45" s="6">
        <f t="shared" ref="Q45:Q62" si="39">Q4*$Q$43</f>
        <v>3.0219266648211533E-4</v>
      </c>
      <c r="R45" s="6">
        <f t="shared" ref="R45:R62" si="40">R4*$R$43</f>
        <v>9.329984954408988E-6</v>
      </c>
      <c r="S45" s="7">
        <f t="shared" ref="S45:S62" si="41">SUM(N45:R45)</f>
        <v>1.8730430061450681E-2</v>
      </c>
      <c r="Y45" s="4"/>
      <c r="AF45" s="4"/>
    </row>
    <row r="46" spans="11:32" s="3" customFormat="1" x14ac:dyDescent="0.3">
      <c r="N46" s="6">
        <f t="shared" si="36"/>
        <v>0</v>
      </c>
      <c r="O46" s="6">
        <f t="shared" si="37"/>
        <v>0.10643377525038657</v>
      </c>
      <c r="P46" s="6">
        <f t="shared" si="38"/>
        <v>0.18159859885862714</v>
      </c>
      <c r="Q46" s="6">
        <f t="shared" si="39"/>
        <v>3.6554181074286249E-2</v>
      </c>
      <c r="R46" s="6">
        <f t="shared" si="40"/>
        <v>1.1494652503157558E-2</v>
      </c>
      <c r="S46" s="7">
        <f t="shared" si="41"/>
        <v>0.33608120768645755</v>
      </c>
      <c r="Y46" s="4"/>
      <c r="AF46" s="4"/>
    </row>
    <row r="47" spans="11:32" s="3" customFormat="1" x14ac:dyDescent="0.3">
      <c r="N47" s="6">
        <f t="shared" si="36"/>
        <v>0</v>
      </c>
      <c r="O47" s="6">
        <f t="shared" si="37"/>
        <v>0.1328325834287474</v>
      </c>
      <c r="P47" s="6">
        <f t="shared" si="38"/>
        <v>5.1475491543266694E-2</v>
      </c>
      <c r="Q47" s="6">
        <f t="shared" si="39"/>
        <v>7.1436541499704988E-3</v>
      </c>
      <c r="R47" s="6">
        <f t="shared" si="40"/>
        <v>1.293240507573419E-3</v>
      </c>
      <c r="S47" s="7">
        <f t="shared" si="41"/>
        <v>0.19274496962955803</v>
      </c>
      <c r="Y47" s="4"/>
      <c r="AF47" s="4"/>
    </row>
    <row r="48" spans="11:32" s="3" customFormat="1" x14ac:dyDescent="0.3">
      <c r="N48" s="6">
        <f t="shared" si="36"/>
        <v>0</v>
      </c>
      <c r="O48" s="6">
        <f t="shared" si="37"/>
        <v>6.9678166349522314E-2</v>
      </c>
      <c r="P48" s="6">
        <f t="shared" si="38"/>
        <v>1.9289186626890643E-2</v>
      </c>
      <c r="Q48" s="6">
        <f t="shared" si="39"/>
        <v>2.4705978886627317E-3</v>
      </c>
      <c r="R48" s="6">
        <f t="shared" si="40"/>
        <v>2.6729265565739337E-4</v>
      </c>
      <c r="S48" s="7">
        <f t="shared" si="41"/>
        <v>9.1705243520733074E-2</v>
      </c>
      <c r="Y48" s="4"/>
      <c r="AF48" s="4"/>
    </row>
    <row r="49" spans="14:19" s="3" customFormat="1" x14ac:dyDescent="0.3">
      <c r="N49" s="6">
        <f t="shared" si="36"/>
        <v>0</v>
      </c>
      <c r="O49" s="6">
        <f t="shared" si="37"/>
        <v>0.12449134796906286</v>
      </c>
      <c r="P49" s="6">
        <f t="shared" si="38"/>
        <v>0.1107839359194344</v>
      </c>
      <c r="Q49" s="6">
        <f t="shared" si="39"/>
        <v>1.5593733329618126E-2</v>
      </c>
      <c r="R49" s="6">
        <f t="shared" si="40"/>
        <v>4.3122613790884477E-3</v>
      </c>
      <c r="S49" s="7">
        <f t="shared" si="41"/>
        <v>0.25518127859720385</v>
      </c>
    </row>
    <row r="50" spans="14:19" s="3" customFormat="1" x14ac:dyDescent="0.3">
      <c r="N50" s="6">
        <f t="shared" si="36"/>
        <v>0</v>
      </c>
      <c r="O50" s="6">
        <f t="shared" si="37"/>
        <v>0.13334720658150553</v>
      </c>
      <c r="P50" s="6">
        <f t="shared" si="38"/>
        <v>4.651583122889201E-2</v>
      </c>
      <c r="Q50" s="6">
        <f t="shared" si="39"/>
        <v>6.4319468871299511E-3</v>
      </c>
      <c r="R50" s="6">
        <f t="shared" si="40"/>
        <v>1.1027165201300049E-3</v>
      </c>
      <c r="S50" s="7">
        <f t="shared" si="41"/>
        <v>0.18739770121765748</v>
      </c>
    </row>
    <row r="51" spans="14:19" s="3" customFormat="1" x14ac:dyDescent="0.3">
      <c r="N51" s="6">
        <f t="shared" si="36"/>
        <v>0</v>
      </c>
      <c r="O51" s="6">
        <f t="shared" si="37"/>
        <v>1.5169181587071571E-2</v>
      </c>
      <c r="P51" s="6">
        <f t="shared" si="38"/>
        <v>3.2497258229425871E-3</v>
      </c>
      <c r="Q51" s="6">
        <f t="shared" si="39"/>
        <v>3.0219266648211533E-4</v>
      </c>
      <c r="R51" s="6">
        <f t="shared" si="40"/>
        <v>9.329984954408988E-6</v>
      </c>
      <c r="S51" s="7">
        <f t="shared" si="41"/>
        <v>1.8730430061450681E-2</v>
      </c>
    </row>
    <row r="52" spans="14:19" s="3" customFormat="1" x14ac:dyDescent="0.3">
      <c r="N52" s="6">
        <f t="shared" si="36"/>
        <v>0</v>
      </c>
      <c r="O52" s="6">
        <f t="shared" si="37"/>
        <v>2.2754976545811254E-2</v>
      </c>
      <c r="P52" s="6">
        <f t="shared" si="38"/>
        <v>5.3555565962164755E-3</v>
      </c>
      <c r="Q52" s="6">
        <f t="shared" si="39"/>
        <v>5.4428574270859811E-4</v>
      </c>
      <c r="R52" s="6">
        <f t="shared" si="40"/>
        <v>2.2256096803122052E-5</v>
      </c>
      <c r="S52" s="7">
        <f t="shared" si="41"/>
        <v>2.8677074981539451E-2</v>
      </c>
    </row>
    <row r="53" spans="14:19" s="3" customFormat="1" x14ac:dyDescent="0.3">
      <c r="N53" s="6">
        <f t="shared" si="36"/>
        <v>0</v>
      </c>
      <c r="O53" s="6">
        <f t="shared" si="37"/>
        <v>0.13316059992567997</v>
      </c>
      <c r="P53" s="6">
        <f t="shared" si="38"/>
        <v>5.0345813439181812E-2</v>
      </c>
      <c r="Q53" s="6">
        <f t="shared" si="39"/>
        <v>6.9881454493996142E-3</v>
      </c>
      <c r="R53" s="6">
        <f t="shared" si="40"/>
        <v>1.2507188219548311E-3</v>
      </c>
      <c r="S53" s="7">
        <f t="shared" si="41"/>
        <v>0.19174527763621621</v>
      </c>
    </row>
    <row r="54" spans="14:19" s="3" customFormat="1" x14ac:dyDescent="0.3">
      <c r="N54" s="6">
        <f t="shared" si="36"/>
        <v>0</v>
      </c>
      <c r="O54" s="6">
        <f t="shared" si="37"/>
        <v>0.13019710184681185</v>
      </c>
      <c r="P54" s="6">
        <f t="shared" si="38"/>
        <v>4.0829874400113722E-2</v>
      </c>
      <c r="Q54" s="6">
        <f t="shared" si="39"/>
        <v>5.6156703925657695E-3</v>
      </c>
      <c r="R54" s="6">
        <f t="shared" si="40"/>
        <v>9.0021976849834965E-4</v>
      </c>
      <c r="S54" s="7">
        <f t="shared" si="41"/>
        <v>0.17754286640798972</v>
      </c>
    </row>
    <row r="55" spans="14:19" s="3" customFormat="1" x14ac:dyDescent="0.3">
      <c r="N55" s="6">
        <f t="shared" si="36"/>
        <v>0</v>
      </c>
      <c r="O55" s="6">
        <f t="shared" si="37"/>
        <v>1.3921997164800333E-2</v>
      </c>
      <c r="P55" s="6">
        <f t="shared" si="38"/>
        <v>8.90228368749248E-4</v>
      </c>
      <c r="Q55" s="6">
        <f t="shared" si="39"/>
        <v>5.0088445537106759E-5</v>
      </c>
      <c r="R55" s="6">
        <f t="shared" si="40"/>
        <v>0</v>
      </c>
      <c r="S55" s="7">
        <f t="shared" si="41"/>
        <v>1.4862313979086689E-2</v>
      </c>
    </row>
    <row r="56" spans="14:19" s="3" customFormat="1" x14ac:dyDescent="0.3">
      <c r="N56" s="6">
        <f t="shared" si="36"/>
        <v>0</v>
      </c>
      <c r="O56" s="6">
        <f t="shared" si="37"/>
        <v>7.1194911419480048E-2</v>
      </c>
      <c r="P56" s="6">
        <f t="shared" si="38"/>
        <v>1.9703434989122495E-2</v>
      </c>
      <c r="Q56" s="6">
        <f t="shared" si="39"/>
        <v>2.5239888934529046E-3</v>
      </c>
      <c r="R56" s="6">
        <f t="shared" si="40"/>
        <v>2.7151093156535197E-4</v>
      </c>
      <c r="S56" s="7">
        <f t="shared" si="41"/>
        <v>9.3693846233620801E-2</v>
      </c>
    </row>
    <row r="57" spans="14:19" s="3" customFormat="1" x14ac:dyDescent="0.3">
      <c r="N57" s="6">
        <f t="shared" si="36"/>
        <v>0</v>
      </c>
      <c r="O57" s="6">
        <f t="shared" si="37"/>
        <v>8.43887164950341E-2</v>
      </c>
      <c r="P57" s="6">
        <f t="shared" si="38"/>
        <v>2.3627108003738503E-2</v>
      </c>
      <c r="Q57" s="6">
        <f t="shared" si="39"/>
        <v>3.0943928661075E-3</v>
      </c>
      <c r="R57" s="6">
        <f t="shared" si="40"/>
        <v>3.8652028864130916E-4</v>
      </c>
      <c r="S57" s="7">
        <f t="shared" si="41"/>
        <v>0.11149673765352142</v>
      </c>
    </row>
    <row r="58" spans="14:19" s="3" customFormat="1" x14ac:dyDescent="0.3">
      <c r="N58" s="6">
        <f t="shared" si="36"/>
        <v>0</v>
      </c>
      <c r="O58" s="6">
        <f t="shared" si="37"/>
        <v>8.7545049781844422E-2</v>
      </c>
      <c r="P58" s="6">
        <f t="shared" si="38"/>
        <v>2.456576523926364E-2</v>
      </c>
      <c r="Q58" s="6">
        <f t="shared" si="39"/>
        <v>3.2303634449596503E-3</v>
      </c>
      <c r="R58" s="6">
        <f t="shared" si="40"/>
        <v>4.1683875935333482E-4</v>
      </c>
      <c r="S58" s="7">
        <f t="shared" si="41"/>
        <v>0.11575801722542105</v>
      </c>
    </row>
    <row r="59" spans="14:19" s="3" customFormat="1" x14ac:dyDescent="0.3">
      <c r="N59" s="6">
        <f t="shared" si="36"/>
        <v>0</v>
      </c>
      <c r="O59" s="6">
        <f t="shared" si="37"/>
        <v>0.10331015121286936</v>
      </c>
      <c r="P59" s="6">
        <f t="shared" si="38"/>
        <v>0.17711700249916373</v>
      </c>
      <c r="Q59" s="6">
        <f t="shared" si="39"/>
        <v>6.244255619733996E-2</v>
      </c>
      <c r="R59" s="6">
        <f t="shared" si="40"/>
        <v>2.0497180826314902E-2</v>
      </c>
      <c r="S59" s="7">
        <f t="shared" si="41"/>
        <v>0.36336689073568795</v>
      </c>
    </row>
    <row r="60" spans="14:19" s="3" customFormat="1" x14ac:dyDescent="0.3">
      <c r="N60" s="6">
        <f t="shared" si="36"/>
        <v>0</v>
      </c>
      <c r="O60" s="6">
        <f t="shared" si="37"/>
        <v>0.1328325834287474</v>
      </c>
      <c r="P60" s="6">
        <f t="shared" si="38"/>
        <v>5.1475491543266694E-2</v>
      </c>
      <c r="Q60" s="6">
        <f t="shared" si="39"/>
        <v>7.1436541499704988E-3</v>
      </c>
      <c r="R60" s="6">
        <f t="shared" si="40"/>
        <v>1.293240507573419E-3</v>
      </c>
      <c r="S60" s="7">
        <f t="shared" si="41"/>
        <v>0.19274496962955803</v>
      </c>
    </row>
    <row r="61" spans="14:19" s="3" customFormat="1" x14ac:dyDescent="0.3">
      <c r="N61" s="6">
        <f t="shared" si="36"/>
        <v>0</v>
      </c>
      <c r="O61" s="6">
        <f t="shared" si="37"/>
        <v>1.7625742249018864E-2</v>
      </c>
      <c r="P61" s="6">
        <f t="shared" si="38"/>
        <v>3.9596405020397808E-3</v>
      </c>
      <c r="Q61" s="6">
        <f t="shared" si="39"/>
        <v>3.8707907773035348E-4</v>
      </c>
      <c r="R61" s="6">
        <f t="shared" si="40"/>
        <v>1.3867842394703641E-5</v>
      </c>
      <c r="S61" s="7">
        <f t="shared" si="41"/>
        <v>2.1986329671183701E-2</v>
      </c>
    </row>
    <row r="62" spans="14:19" s="3" customFormat="1" x14ac:dyDescent="0.3">
      <c r="N62" s="6">
        <f t="shared" si="36"/>
        <v>0</v>
      </c>
      <c r="O62" s="6">
        <f t="shared" si="37"/>
        <v>1.5169181587071571E-2</v>
      </c>
      <c r="P62" s="6">
        <f t="shared" si="38"/>
        <v>3.2497258229425871E-3</v>
      </c>
      <c r="Q62" s="6">
        <f t="shared" si="39"/>
        <v>3.0219266648211533E-4</v>
      </c>
      <c r="R62" s="6">
        <f t="shared" si="40"/>
        <v>9.329984954408988E-6</v>
      </c>
      <c r="S62" s="7">
        <f t="shared" si="41"/>
        <v>1.8730430061450681E-2</v>
      </c>
    </row>
  </sheetData>
  <mergeCells count="18">
    <mergeCell ref="AF30:AG30"/>
    <mergeCell ref="L24:N27"/>
    <mergeCell ref="Y43:Z43"/>
    <mergeCell ref="AD24:AE24"/>
    <mergeCell ref="AB25:AC25"/>
    <mergeCell ref="Y24:Z24"/>
    <mergeCell ref="AF29:AG29"/>
    <mergeCell ref="AF28:AG28"/>
    <mergeCell ref="AA2:AE2"/>
    <mergeCell ref="AA23:AE23"/>
    <mergeCell ref="AF1:AH1"/>
    <mergeCell ref="AF23:AH23"/>
    <mergeCell ref="N1:R2"/>
    <mergeCell ref="A1:D2"/>
    <mergeCell ref="F1:J1"/>
    <mergeCell ref="L1:L2"/>
    <mergeCell ref="M1:M2"/>
    <mergeCell ref="V22:X22"/>
  </mergeCells>
  <phoneticPr fontId="1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workbookViewId="0">
      <selection activeCell="C20" sqref="C20"/>
    </sheetView>
  </sheetViews>
  <sheetFormatPr defaultRowHeight="14" x14ac:dyDescent="0.3"/>
  <cols>
    <col min="1" max="1" width="23.9140625" customWidth="1"/>
    <col min="2" max="2" width="22.1640625" customWidth="1"/>
    <col min="3" max="3" width="30.4140625" customWidth="1"/>
  </cols>
  <sheetData>
    <row r="1" spans="1:4" ht="42" x14ac:dyDescent="0.3">
      <c r="A1" s="2" t="s">
        <v>81</v>
      </c>
      <c r="B1" s="2" t="s">
        <v>82</v>
      </c>
      <c r="C1" s="2" t="s">
        <v>83</v>
      </c>
    </row>
    <row r="2" spans="1:4" x14ac:dyDescent="0.3">
      <c r="A2" s="1">
        <v>0.23124799361449044</v>
      </c>
      <c r="B2" s="1">
        <v>0.23294078228409698</v>
      </c>
      <c r="C2" s="1">
        <v>0.23087446554540272</v>
      </c>
      <c r="D2" s="1" t="s">
        <v>62</v>
      </c>
    </row>
    <row r="3" spans="1:4" x14ac:dyDescent="0.3">
      <c r="A3" s="1">
        <v>0.23124799361449044</v>
      </c>
      <c r="B3" s="1">
        <v>0.2327625197157471</v>
      </c>
      <c r="C3" s="1">
        <v>0.23108286375719084</v>
      </c>
      <c r="D3" s="1" t="s">
        <v>63</v>
      </c>
    </row>
    <row r="4" spans="1:4" x14ac:dyDescent="0.3">
      <c r="A4" s="1">
        <v>0.23124799361449</v>
      </c>
      <c r="B4" s="1">
        <v>0.23424263614167307</v>
      </c>
      <c r="C4" s="1">
        <v>0.23050042557160949</v>
      </c>
      <c r="D4" s="1" t="s">
        <v>64</v>
      </c>
    </row>
    <row r="5" spans="1:4" x14ac:dyDescent="0.3">
      <c r="A5" s="1">
        <v>0.23124799361449</v>
      </c>
      <c r="B5" s="1">
        <v>0.23258128455914576</v>
      </c>
      <c r="C5" s="1">
        <v>0.23095033918076502</v>
      </c>
      <c r="D5" s="1" t="s">
        <v>65</v>
      </c>
    </row>
    <row r="6" spans="1:4" x14ac:dyDescent="0.3">
      <c r="A6" s="1">
        <v>0.23124799361449</v>
      </c>
      <c r="B6" s="1">
        <v>0.23468012417212897</v>
      </c>
      <c r="C6" s="1">
        <v>0.23050894464215801</v>
      </c>
      <c r="D6" s="1" t="s">
        <v>66</v>
      </c>
    </row>
    <row r="7" spans="1:4" x14ac:dyDescent="0.3">
      <c r="A7" s="1">
        <v>0.23124799361449</v>
      </c>
      <c r="B7" s="1">
        <v>0.23441299344385311</v>
      </c>
      <c r="C7" s="1">
        <v>0.23050361571653608</v>
      </c>
      <c r="D7" s="1" t="s">
        <v>67</v>
      </c>
    </row>
    <row r="8" spans="1:4" x14ac:dyDescent="0.3">
      <c r="A8" s="1">
        <v>0.23124799361449</v>
      </c>
      <c r="B8" s="1">
        <v>0.23204476611092759</v>
      </c>
      <c r="C8" s="1">
        <v>0.23107045154906902</v>
      </c>
      <c r="D8" s="1" t="s">
        <v>68</v>
      </c>
    </row>
    <row r="9" spans="1:4" x14ac:dyDescent="0.3">
      <c r="A9" s="1">
        <v>0.23124799361449</v>
      </c>
      <c r="B9" s="1">
        <v>0.23186719542557477</v>
      </c>
      <c r="C9" s="1">
        <v>0.23118056076585164</v>
      </c>
      <c r="D9" s="1" t="s">
        <v>69</v>
      </c>
    </row>
    <row r="10" spans="1:4" x14ac:dyDescent="0.3">
      <c r="A10" s="1">
        <v>0.23124799361449</v>
      </c>
      <c r="B10" s="1">
        <v>0.23357901404979045</v>
      </c>
      <c r="C10" s="1">
        <v>0.23094915460951479</v>
      </c>
      <c r="D10" s="1" t="s">
        <v>70</v>
      </c>
    </row>
    <row r="11" spans="1:4" x14ac:dyDescent="0.3">
      <c r="A11" s="1">
        <v>0.23124799361449</v>
      </c>
      <c r="B11" s="1">
        <v>0.23231250090218167</v>
      </c>
      <c r="C11" s="1">
        <v>0.23101015507612185</v>
      </c>
      <c r="D11" s="1" t="s">
        <v>71</v>
      </c>
    </row>
    <row r="12" spans="1:4" x14ac:dyDescent="0.3">
      <c r="A12" s="1">
        <v>0.23124799361449</v>
      </c>
      <c r="B12" s="1">
        <v>0.23303102535666681</v>
      </c>
      <c r="C12" s="1">
        <v>0.23085322399334521</v>
      </c>
      <c r="D12" s="1" t="s">
        <v>72</v>
      </c>
    </row>
    <row r="13" spans="1:4" x14ac:dyDescent="0.3">
      <c r="A13" s="1">
        <v>0.23124799361449</v>
      </c>
      <c r="B13" s="1">
        <v>0.23276245518900127</v>
      </c>
      <c r="C13" s="1">
        <v>0.2311014807407335</v>
      </c>
      <c r="D13" s="1" t="s">
        <v>73</v>
      </c>
    </row>
    <row r="14" spans="1:4" x14ac:dyDescent="0.3">
      <c r="A14" s="1">
        <v>0.23124799361449</v>
      </c>
      <c r="B14" s="1">
        <v>0.23186702858671085</v>
      </c>
      <c r="C14" s="1">
        <v>0.23111324664514885</v>
      </c>
      <c r="D14" s="1" t="s">
        <v>74</v>
      </c>
    </row>
    <row r="15" spans="1:4" x14ac:dyDescent="0.3">
      <c r="A15" s="1">
        <v>0.23124799361449</v>
      </c>
      <c r="B15" s="1">
        <v>0.23195588619741919</v>
      </c>
      <c r="C15" s="1">
        <v>0.23109394159818572</v>
      </c>
      <c r="D15" s="1" t="s">
        <v>75</v>
      </c>
    </row>
    <row r="16" spans="1:4" x14ac:dyDescent="0.3">
      <c r="A16" s="1">
        <v>0.23124799361449</v>
      </c>
      <c r="B16" s="1">
        <v>0.23186698059422567</v>
      </c>
      <c r="C16" s="1">
        <v>0.23111275997214542</v>
      </c>
      <c r="D16" s="1" t="s">
        <v>76</v>
      </c>
    </row>
    <row r="17" spans="1:4" x14ac:dyDescent="0.3">
      <c r="A17" s="1">
        <v>0.23124799361449</v>
      </c>
      <c r="B17" s="1">
        <v>0.3081473656910817</v>
      </c>
      <c r="C17" s="1">
        <v>0.21388411492348319</v>
      </c>
      <c r="D17" s="1" t="s">
        <v>77</v>
      </c>
    </row>
    <row r="18" spans="1:4" x14ac:dyDescent="0.3">
      <c r="A18" s="1">
        <v>0.23124799361449</v>
      </c>
      <c r="B18" s="1">
        <v>0.23504875386013951</v>
      </c>
      <c r="C18" s="1">
        <v>0.23040549744664227</v>
      </c>
      <c r="D18" s="1" t="s">
        <v>78</v>
      </c>
    </row>
    <row r="19" spans="1:4" x14ac:dyDescent="0.3">
      <c r="A19" s="1">
        <v>0.23124799361449</v>
      </c>
      <c r="B19" s="1">
        <v>0.24439355958799927</v>
      </c>
      <c r="C19" s="1">
        <v>0.22967333190453068</v>
      </c>
      <c r="D19" s="1" t="s">
        <v>79</v>
      </c>
    </row>
    <row r="20" spans="1:4" x14ac:dyDescent="0.3">
      <c r="A20" s="1">
        <v>0.23124799361449</v>
      </c>
      <c r="B20" s="1">
        <v>0.23763386762962663</v>
      </c>
      <c r="C20" s="1">
        <v>0.23054713418676007</v>
      </c>
      <c r="D20" s="1" t="s">
        <v>80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risk assessment</vt:lpstr>
      <vt:lpstr>sensitivity analysis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2019-05-17T07:11:00Z</dcterms:modified>
</cp:coreProperties>
</file>