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4.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6.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boris\Documents\Ausbildung\Industrial_Ecology\Thesis\Deliverables\Greenlight Report\"/>
    </mc:Choice>
  </mc:AlternateContent>
  <xr:revisionPtr revIDLastSave="0" documentId="13_ncr:1_{E4B8CEE7-F0B1-4536-A9C4-E640964E8E2C}" xr6:coauthVersionLast="47" xr6:coauthVersionMax="47" xr10:uidLastSave="{00000000-0000-0000-0000-000000000000}"/>
  <bookViews>
    <workbookView xWindow="28680" yWindow="-120" windowWidth="29040" windowHeight="15840" xr2:uid="{AEF572EA-C22E-44D4-93A6-BE82EF44EAA6}"/>
  </bookViews>
  <sheets>
    <sheet name="Material Database Guide" sheetId="20" r:id="rId1"/>
    <sheet name="Material compositions overview" sheetId="18" r:id="rId2"/>
    <sheet name="Material categories allocation" sheetId="21" r:id="rId3"/>
    <sheet name="Armchair" sheetId="1" r:id="rId4"/>
    <sheet name="Bar stool" sheetId="2" r:id="rId5"/>
    <sheet name="Big closet" sheetId="3" r:id="rId6"/>
    <sheet name="Office chair" sheetId="4" r:id="rId7"/>
    <sheet name="Chair" sheetId="5" r:id="rId8"/>
    <sheet name="Desk" sheetId="7" r:id="rId9"/>
    <sheet name="Dining table" sheetId="8" r:id="rId10"/>
    <sheet name="Mattress" sheetId="11" r:id="rId11"/>
    <sheet name="Small closet" sheetId="9" r:id="rId12"/>
    <sheet name="(Double) bed" sheetId="10" r:id="rId13"/>
    <sheet name="Side table" sheetId="12" r:id="rId14"/>
    <sheet name="Sofa" sheetId="15" r:id="rId15"/>
    <sheet name="Stool" sheetId="16" r:id="rId16"/>
    <sheet name="Container_ Filing cabinet" sheetId="17" r:id="rId1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 i="17" l="1"/>
  <c r="U4" i="17"/>
  <c r="U5" i="17"/>
  <c r="U6" i="17"/>
  <c r="U7" i="17"/>
  <c r="U8" i="17"/>
  <c r="U10" i="17"/>
  <c r="U11" i="17"/>
  <c r="U12" i="17"/>
  <c r="U2" i="17"/>
  <c r="S3" i="16"/>
  <c r="S4" i="16"/>
  <c r="S6" i="16"/>
  <c r="S7" i="16"/>
  <c r="S8" i="16"/>
  <c r="S9" i="16"/>
  <c r="S10" i="16"/>
  <c r="S2" i="16"/>
  <c r="U4" i="9"/>
  <c r="U6" i="9"/>
  <c r="U11" i="9"/>
  <c r="U2" i="9"/>
  <c r="S3" i="8"/>
  <c r="S4" i="8"/>
  <c r="S6" i="8"/>
  <c r="S7" i="8"/>
  <c r="S8" i="8"/>
  <c r="S9" i="8"/>
  <c r="S10" i="8"/>
  <c r="S11" i="8"/>
  <c r="S12" i="8"/>
  <c r="S2" i="8"/>
  <c r="S3" i="7"/>
  <c r="S4" i="7"/>
  <c r="S5" i="7"/>
  <c r="S6" i="7"/>
  <c r="S7" i="7"/>
  <c r="S8" i="7"/>
  <c r="S11" i="7"/>
  <c r="S12" i="7"/>
  <c r="S2" i="7"/>
  <c r="U3" i="5"/>
  <c r="U4" i="5"/>
  <c r="U6" i="5"/>
  <c r="U8" i="5"/>
  <c r="R3" i="4"/>
  <c r="R5" i="4"/>
  <c r="R6" i="4"/>
  <c r="R7" i="4"/>
  <c r="R8" i="4"/>
  <c r="R10" i="4"/>
  <c r="R11" i="4"/>
  <c r="R12" i="4"/>
  <c r="R2" i="4"/>
  <c r="R3" i="3"/>
  <c r="R4" i="3"/>
  <c r="R6" i="3"/>
  <c r="R7" i="3"/>
  <c r="R10" i="3"/>
  <c r="R11" i="3"/>
  <c r="R12" i="3"/>
  <c r="R2" i="3"/>
  <c r="R3" i="2"/>
  <c r="R4" i="2"/>
  <c r="R5" i="2"/>
  <c r="R6" i="2"/>
  <c r="R7" i="2"/>
  <c r="R8" i="2"/>
  <c r="R9" i="2"/>
  <c r="R10" i="2"/>
  <c r="R11" i="2"/>
  <c r="R12" i="2"/>
  <c r="R2" i="2"/>
  <c r="F22" i="3"/>
  <c r="U14" i="9"/>
  <c r="M51" i="9"/>
  <c r="M45" i="9"/>
  <c r="M42" i="9"/>
  <c r="M43" i="9"/>
  <c r="M34" i="9"/>
  <c r="U12" i="9" s="1"/>
  <c r="M27" i="9"/>
  <c r="D31" i="9"/>
  <c r="D27" i="9"/>
  <c r="M49" i="9" s="1"/>
  <c r="D28" i="9"/>
  <c r="M53" i="9" s="1"/>
  <c r="D29" i="9"/>
  <c r="M52" i="9" s="1"/>
  <c r="D30" i="9"/>
  <c r="M56" i="9" s="1"/>
  <c r="D26" i="9"/>
  <c r="M54" i="9" s="1"/>
  <c r="D21" i="9"/>
  <c r="M38" i="9" s="1"/>
  <c r="D22" i="9"/>
  <c r="D23" i="9"/>
  <c r="M41" i="9" s="1"/>
  <c r="D24" i="9"/>
  <c r="D25" i="9"/>
  <c r="M40" i="9" s="1"/>
  <c r="U7" i="9" s="1"/>
  <c r="D20" i="9"/>
  <c r="D9" i="9"/>
  <c r="D10" i="9"/>
  <c r="D11" i="9"/>
  <c r="D12" i="9"/>
  <c r="D13" i="9"/>
  <c r="D8" i="9"/>
  <c r="D15" i="9"/>
  <c r="M25" i="9" s="1"/>
  <c r="U3" i="9" s="1"/>
  <c r="D16" i="9"/>
  <c r="D17" i="9"/>
  <c r="M31" i="9" s="1"/>
  <c r="D18" i="9"/>
  <c r="M30" i="9" s="1"/>
  <c r="U8" i="9" s="1"/>
  <c r="D19" i="9"/>
  <c r="D14" i="9"/>
  <c r="M32" i="9" s="1"/>
  <c r="U10" i="9" s="1"/>
  <c r="R3" i="15"/>
  <c r="R4" i="15"/>
  <c r="R5" i="15"/>
  <c r="R6" i="15"/>
  <c r="R7" i="15"/>
  <c r="R8" i="15"/>
  <c r="R9" i="15"/>
  <c r="R10" i="15"/>
  <c r="R11" i="15"/>
  <c r="R12" i="15"/>
  <c r="R2" i="15"/>
  <c r="K27" i="18"/>
  <c r="K29" i="18"/>
  <c r="K19" i="18"/>
  <c r="K10" i="18"/>
  <c r="K12" i="18"/>
  <c r="K13" i="18"/>
  <c r="K2" i="18"/>
  <c r="R14" i="15"/>
  <c r="K87" i="15"/>
  <c r="R14" i="11"/>
  <c r="R3" i="11"/>
  <c r="R4" i="11"/>
  <c r="R5" i="11"/>
  <c r="R6" i="11"/>
  <c r="R7" i="11"/>
  <c r="R8" i="11"/>
  <c r="R9" i="11"/>
  <c r="R10" i="11"/>
  <c r="R11" i="11"/>
  <c r="R12" i="11"/>
  <c r="R2" i="11"/>
  <c r="K66" i="11"/>
  <c r="K77" i="11"/>
  <c r="K75" i="11"/>
  <c r="K76" i="11"/>
  <c r="K74" i="11"/>
  <c r="K73" i="11"/>
  <c r="K62" i="11"/>
  <c r="D58" i="11"/>
  <c r="D51" i="11"/>
  <c r="D48" i="11"/>
  <c r="D54" i="11"/>
  <c r="D53" i="11"/>
  <c r="D49" i="11"/>
  <c r="K31" i="15"/>
  <c r="K12" i="2"/>
  <c r="K6" i="2"/>
  <c r="U14" i="17"/>
  <c r="I15" i="18" s="1"/>
  <c r="K15" i="18" s="1"/>
  <c r="D2" i="17"/>
  <c r="I27" i="18"/>
  <c r="I10" i="18"/>
  <c r="C91" i="18"/>
  <c r="C92" i="18"/>
  <c r="C93" i="18"/>
  <c r="C94" i="18"/>
  <c r="C95" i="18"/>
  <c r="C96" i="18"/>
  <c r="C97" i="18"/>
  <c r="C98" i="18"/>
  <c r="C99" i="18"/>
  <c r="C100" i="18"/>
  <c r="C90" i="18"/>
  <c r="R14" i="10"/>
  <c r="R13" i="10"/>
  <c r="R3" i="10"/>
  <c r="R4" i="10"/>
  <c r="R5" i="10"/>
  <c r="R6" i="10"/>
  <c r="R7" i="10"/>
  <c r="R8" i="10"/>
  <c r="R9" i="10"/>
  <c r="R10" i="10"/>
  <c r="R11" i="10"/>
  <c r="R12" i="10"/>
  <c r="R2" i="10"/>
  <c r="K64" i="11"/>
  <c r="K63" i="11"/>
  <c r="K65" i="11"/>
  <c r="D35" i="11"/>
  <c r="D34" i="11"/>
  <c r="D42" i="11"/>
  <c r="D32" i="11"/>
  <c r="D31" i="11"/>
  <c r="D7" i="12"/>
  <c r="R3" i="12"/>
  <c r="R4" i="12"/>
  <c r="R5" i="12"/>
  <c r="R6" i="12"/>
  <c r="R7" i="12"/>
  <c r="R8" i="12"/>
  <c r="R9" i="12"/>
  <c r="R10" i="12"/>
  <c r="R11" i="12"/>
  <c r="R12" i="12"/>
  <c r="R2" i="12"/>
  <c r="K82" i="12"/>
  <c r="K87" i="12"/>
  <c r="K89" i="12"/>
  <c r="D43" i="12"/>
  <c r="K71" i="12"/>
  <c r="K70" i="12"/>
  <c r="K76" i="12"/>
  <c r="K78" i="12"/>
  <c r="D39" i="12"/>
  <c r="K65" i="12"/>
  <c r="K64" i="12"/>
  <c r="K67" i="12"/>
  <c r="D36" i="12"/>
  <c r="D32" i="12"/>
  <c r="D34" i="12"/>
  <c r="U5" i="9" l="1"/>
  <c r="C124" i="18"/>
  <c r="C125" i="18"/>
  <c r="C126" i="18"/>
  <c r="C130" i="18"/>
  <c r="C132" i="18"/>
  <c r="K71" i="15"/>
  <c r="K75" i="15"/>
  <c r="K76" i="15"/>
  <c r="K68" i="15"/>
  <c r="K67" i="15"/>
  <c r="K64" i="15"/>
  <c r="K65" i="15"/>
  <c r="K66" i="15"/>
  <c r="K57" i="15"/>
  <c r="D57" i="15"/>
  <c r="D56" i="15"/>
  <c r="K54" i="15"/>
  <c r="K55" i="15"/>
  <c r="K53" i="15"/>
  <c r="K56" i="15"/>
  <c r="K46" i="15"/>
  <c r="D49" i="15"/>
  <c r="I13" i="18"/>
  <c r="C128" i="18"/>
  <c r="C123" i="18"/>
  <c r="K45" i="15"/>
  <c r="K44" i="15"/>
  <c r="K42" i="15"/>
  <c r="K43" i="15"/>
  <c r="D43" i="15"/>
  <c r="U14" i="5"/>
  <c r="I6" i="18" s="1"/>
  <c r="K6" i="18" s="1"/>
  <c r="M119" i="5"/>
  <c r="M120" i="5"/>
  <c r="M117" i="5"/>
  <c r="M112" i="5"/>
  <c r="U2" i="5" s="1"/>
  <c r="M109" i="5"/>
  <c r="U10" i="5" s="1"/>
  <c r="M108" i="5"/>
  <c r="M95" i="5"/>
  <c r="M97" i="5"/>
  <c r="M84" i="5"/>
  <c r="U7" i="5" s="1"/>
  <c r="M86" i="5"/>
  <c r="R14" i="3"/>
  <c r="K60" i="3"/>
  <c r="R5" i="3" s="1"/>
  <c r="I12" i="18"/>
  <c r="I11" i="18"/>
  <c r="K11" i="18" s="1"/>
  <c r="I7" i="18"/>
  <c r="K7" i="18" s="1"/>
  <c r="I5" i="18"/>
  <c r="K5" i="18" s="1"/>
  <c r="I4" i="18"/>
  <c r="K4" i="18" s="1"/>
  <c r="I2" i="18"/>
  <c r="K53" i="11"/>
  <c r="K44" i="11"/>
  <c r="K33" i="11"/>
  <c r="K22" i="11"/>
  <c r="K20" i="11"/>
  <c r="K9" i="11"/>
  <c r="S14" i="16"/>
  <c r="I14" i="18" s="1"/>
  <c r="K14" i="18" s="1"/>
  <c r="C127" i="18"/>
  <c r="K27" i="15"/>
  <c r="K29" i="15"/>
  <c r="K32" i="15"/>
  <c r="K33" i="15"/>
  <c r="C129" i="18"/>
  <c r="C131" i="18"/>
  <c r="C133" i="18"/>
  <c r="D3" i="15"/>
  <c r="D2" i="15"/>
  <c r="K16" i="15"/>
  <c r="K18" i="15"/>
  <c r="K22" i="15"/>
  <c r="K20" i="15"/>
  <c r="K23" i="15"/>
  <c r="D2" i="10"/>
  <c r="R14" i="12"/>
  <c r="I9" i="18"/>
  <c r="K9" i="18" s="1"/>
  <c r="S14" i="8"/>
  <c r="I8" i="18" s="1"/>
  <c r="K8" i="18" s="1"/>
  <c r="S14" i="7"/>
  <c r="R14" i="4"/>
  <c r="D15" i="5"/>
  <c r="D14" i="5"/>
  <c r="K64" i="4"/>
  <c r="K53" i="4"/>
  <c r="K48" i="4"/>
  <c r="R4" i="4" s="1"/>
  <c r="I19" i="18"/>
  <c r="R13" i="15" l="1"/>
  <c r="I30" i="18" s="1"/>
  <c r="K30" i="18" s="1"/>
  <c r="R14" i="2"/>
  <c r="I3" i="18" s="1"/>
  <c r="K3" i="18" s="1"/>
  <c r="Q14" i="1"/>
  <c r="C146" i="18"/>
  <c r="C147" i="18"/>
  <c r="C148" i="18"/>
  <c r="C149" i="18"/>
  <c r="C150" i="18"/>
  <c r="C151" i="18"/>
  <c r="C153" i="18"/>
  <c r="C154" i="18"/>
  <c r="C155" i="18"/>
  <c r="C145" i="18"/>
  <c r="C135" i="18"/>
  <c r="C136" i="18"/>
  <c r="C138" i="18"/>
  <c r="C139" i="18"/>
  <c r="C140" i="18"/>
  <c r="C141" i="18"/>
  <c r="C142" i="18"/>
  <c r="C134" i="18"/>
  <c r="C113" i="18"/>
  <c r="C114" i="18"/>
  <c r="C115" i="18"/>
  <c r="C116" i="18"/>
  <c r="C117" i="18"/>
  <c r="C118" i="18"/>
  <c r="C119" i="18"/>
  <c r="C120" i="18"/>
  <c r="C121" i="18"/>
  <c r="C122" i="18"/>
  <c r="C112" i="18"/>
  <c r="C102" i="18"/>
  <c r="C103" i="18"/>
  <c r="C104" i="18"/>
  <c r="C105" i="18"/>
  <c r="C106" i="18"/>
  <c r="C107" i="18"/>
  <c r="C108" i="18"/>
  <c r="C109" i="18"/>
  <c r="C110" i="18"/>
  <c r="C111" i="18"/>
  <c r="C101" i="18"/>
  <c r="C69" i="18"/>
  <c r="C70" i="18"/>
  <c r="C72" i="18"/>
  <c r="C73" i="18"/>
  <c r="C74" i="18"/>
  <c r="C75" i="18"/>
  <c r="C76" i="18"/>
  <c r="C77" i="18"/>
  <c r="C78" i="18"/>
  <c r="C68" i="18"/>
  <c r="C58" i="18"/>
  <c r="C59" i="18"/>
  <c r="C60" i="18"/>
  <c r="C61" i="18"/>
  <c r="C62" i="18"/>
  <c r="C63" i="18"/>
  <c r="C66" i="18"/>
  <c r="C67" i="18"/>
  <c r="C57" i="18"/>
  <c r="C36" i="18"/>
  <c r="C37" i="18"/>
  <c r="C38" i="18"/>
  <c r="C39" i="18"/>
  <c r="C40" i="18"/>
  <c r="C41" i="18"/>
  <c r="C43" i="18"/>
  <c r="C44" i="18"/>
  <c r="C45" i="18"/>
  <c r="C35" i="18"/>
  <c r="C25" i="18"/>
  <c r="C26" i="18"/>
  <c r="C27" i="18"/>
  <c r="C28" i="18"/>
  <c r="C29" i="18"/>
  <c r="C32" i="18"/>
  <c r="C33" i="18"/>
  <c r="C34" i="18"/>
  <c r="C24" i="18"/>
  <c r="C2" i="18"/>
  <c r="C3" i="18"/>
  <c r="C4" i="18"/>
  <c r="C5" i="18"/>
  <c r="C6" i="18"/>
  <c r="C7" i="18"/>
  <c r="C8" i="18"/>
  <c r="C9" i="18"/>
  <c r="C10" i="18"/>
  <c r="C11" i="18"/>
  <c r="C12" i="18"/>
  <c r="D18" i="4"/>
  <c r="R13" i="12" l="1"/>
  <c r="I29" i="18" s="1"/>
  <c r="R13" i="11"/>
  <c r="I28" i="18" s="1"/>
  <c r="K28" i="18" s="1"/>
  <c r="Q13" i="1"/>
  <c r="E4" i="18"/>
  <c r="E5" i="18"/>
  <c r="E6" i="18"/>
  <c r="E7" i="18"/>
  <c r="E8" i="18"/>
  <c r="E9" i="18"/>
  <c r="E10" i="18"/>
  <c r="E11" i="18"/>
  <c r="E12" i="18"/>
  <c r="E24" i="18"/>
  <c r="E25" i="18"/>
  <c r="E26" i="18"/>
  <c r="E27" i="18"/>
  <c r="E28" i="18"/>
  <c r="E29" i="18"/>
  <c r="E32" i="18"/>
  <c r="E33" i="18"/>
  <c r="E34" i="18"/>
  <c r="E35" i="18"/>
  <c r="E36" i="18"/>
  <c r="E37" i="18"/>
  <c r="E38" i="18"/>
  <c r="E39" i="18"/>
  <c r="E40" i="18"/>
  <c r="E41" i="18"/>
  <c r="E43" i="18"/>
  <c r="E44" i="18"/>
  <c r="E45" i="18"/>
  <c r="E57" i="18"/>
  <c r="E58" i="18"/>
  <c r="E59" i="18"/>
  <c r="E60" i="18"/>
  <c r="E61" i="18"/>
  <c r="E62" i="18"/>
  <c r="E63" i="18"/>
  <c r="E66" i="18"/>
  <c r="E67" i="18"/>
  <c r="E68" i="18"/>
  <c r="E69" i="18"/>
  <c r="E70" i="18"/>
  <c r="E72" i="18"/>
  <c r="E73" i="18"/>
  <c r="E74" i="18"/>
  <c r="E75" i="18"/>
  <c r="E76" i="18"/>
  <c r="E77" i="18"/>
  <c r="E78" i="18"/>
  <c r="E90" i="18"/>
  <c r="E91" i="18"/>
  <c r="E92" i="18"/>
  <c r="E93" i="18"/>
  <c r="E94" i="18"/>
  <c r="E95" i="18"/>
  <c r="E96" i="18"/>
  <c r="E97" i="18"/>
  <c r="E98" i="18"/>
  <c r="E99" i="18"/>
  <c r="E100" i="18"/>
  <c r="E101" i="18"/>
  <c r="E102" i="18"/>
  <c r="E103" i="18"/>
  <c r="E104" i="18"/>
  <c r="E105" i="18"/>
  <c r="E106" i="18"/>
  <c r="E107" i="18"/>
  <c r="E108" i="18"/>
  <c r="E109" i="18"/>
  <c r="E110" i="18"/>
  <c r="E111" i="18"/>
  <c r="E112" i="18"/>
  <c r="E113" i="18"/>
  <c r="E114" i="18"/>
  <c r="E115" i="18"/>
  <c r="E116" i="18"/>
  <c r="E117" i="18"/>
  <c r="E118" i="18"/>
  <c r="E119" i="18"/>
  <c r="E120" i="18"/>
  <c r="E121" i="18"/>
  <c r="E122" i="18"/>
  <c r="E123" i="18"/>
  <c r="E124" i="18"/>
  <c r="E125" i="18"/>
  <c r="E126" i="18"/>
  <c r="E127" i="18"/>
  <c r="E128" i="18"/>
  <c r="E129" i="18"/>
  <c r="E130" i="18"/>
  <c r="E131" i="18"/>
  <c r="E132" i="18"/>
  <c r="E133" i="18"/>
  <c r="E134" i="18"/>
  <c r="E135" i="18"/>
  <c r="E136" i="18"/>
  <c r="E137" i="18"/>
  <c r="E138" i="18"/>
  <c r="E139" i="18"/>
  <c r="E140" i="18"/>
  <c r="E141" i="18"/>
  <c r="E142" i="18"/>
  <c r="E145" i="18"/>
  <c r="E146" i="18"/>
  <c r="E147" i="18"/>
  <c r="E148" i="18"/>
  <c r="E149" i="18"/>
  <c r="E150" i="18"/>
  <c r="E151" i="18"/>
  <c r="E153" i="18"/>
  <c r="E154" i="18"/>
  <c r="E155" i="18"/>
  <c r="E3" i="18"/>
  <c r="E2" i="18"/>
  <c r="C15" i="18"/>
  <c r="E15" i="18" s="1"/>
  <c r="C16" i="18"/>
  <c r="E16" i="18" s="1"/>
  <c r="C17" i="18"/>
  <c r="E17" i="18" s="1"/>
  <c r="C18" i="18"/>
  <c r="E18" i="18" s="1"/>
  <c r="C19" i="18"/>
  <c r="E19" i="18" s="1"/>
  <c r="C20" i="18"/>
  <c r="E20" i="18" s="1"/>
  <c r="C21" i="18"/>
  <c r="E21" i="18" s="1"/>
  <c r="C22" i="18"/>
  <c r="E22" i="18" s="1"/>
  <c r="C23" i="18"/>
  <c r="E23" i="18" s="1"/>
  <c r="C14" i="18"/>
  <c r="E14" i="18" s="1"/>
  <c r="C13" i="18"/>
  <c r="E13" i="18" s="1"/>
  <c r="K23" i="16"/>
  <c r="S12" i="16" s="1"/>
  <c r="C144" i="18" s="1"/>
  <c r="E144" i="18" s="1"/>
  <c r="K22" i="16"/>
  <c r="S11" i="16" s="1"/>
  <c r="C143" i="18" s="1"/>
  <c r="E143" i="18" s="1"/>
  <c r="K16" i="16"/>
  <c r="K5" i="16"/>
  <c r="S5" i="16" s="1"/>
  <c r="C137" i="18" s="1"/>
  <c r="S13" i="16" l="1"/>
  <c r="I31" i="18" s="1"/>
  <c r="K31" i="18" s="1"/>
  <c r="R13" i="2"/>
  <c r="I20" i="18" s="1"/>
  <c r="K20" i="18" s="1"/>
  <c r="C81" i="18"/>
  <c r="E81" i="18" s="1"/>
  <c r="C82" i="18"/>
  <c r="E82" i="18" s="1"/>
  <c r="C83" i="18"/>
  <c r="E83" i="18" s="1"/>
  <c r="C84" i="18"/>
  <c r="E84" i="18" s="1"/>
  <c r="C85" i="18"/>
  <c r="E85" i="18" s="1"/>
  <c r="C87" i="18"/>
  <c r="E87" i="18" s="1"/>
  <c r="C88" i="18"/>
  <c r="E88" i="18" s="1"/>
  <c r="C89" i="18"/>
  <c r="E89" i="18" s="1"/>
  <c r="C80" i="18"/>
  <c r="E80" i="18" s="1"/>
  <c r="Q4" i="1"/>
  <c r="Q5" i="1"/>
  <c r="Q6" i="1"/>
  <c r="Q7" i="1"/>
  <c r="Q8" i="1"/>
  <c r="Q9" i="1"/>
  <c r="Q10" i="1"/>
  <c r="Q11" i="1"/>
  <c r="Q12" i="1"/>
  <c r="Q3" i="1"/>
  <c r="Q2" i="1"/>
  <c r="K53" i="12"/>
  <c r="K54" i="12"/>
  <c r="D25" i="12"/>
  <c r="C48" i="18"/>
  <c r="E48" i="18" s="1"/>
  <c r="C49" i="18"/>
  <c r="E49" i="18" s="1"/>
  <c r="C50" i="18"/>
  <c r="E50" i="18" s="1"/>
  <c r="C51" i="18"/>
  <c r="E51" i="18" s="1"/>
  <c r="C52" i="18"/>
  <c r="E52" i="18" s="1"/>
  <c r="C54" i="18"/>
  <c r="E54" i="18" s="1"/>
  <c r="C56" i="18"/>
  <c r="E56" i="18" s="1"/>
  <c r="C47" i="18"/>
  <c r="E47" i="18" s="1"/>
  <c r="M75" i="5"/>
  <c r="M53" i="5"/>
  <c r="M42" i="5"/>
  <c r="K31" i="4"/>
  <c r="K20" i="4"/>
  <c r="K9" i="4"/>
  <c r="R9" i="4" s="1"/>
  <c r="K20" i="2"/>
  <c r="D33" i="5"/>
  <c r="D30" i="5"/>
  <c r="D27" i="5"/>
  <c r="D28" i="5"/>
  <c r="D25" i="5"/>
  <c r="D17" i="5"/>
  <c r="D18" i="5"/>
  <c r="D11" i="4"/>
  <c r="D8" i="4"/>
  <c r="D2" i="4"/>
  <c r="D6" i="4"/>
  <c r="D5" i="4"/>
  <c r="D3" i="4"/>
  <c r="L42" i="17"/>
  <c r="L31" i="17"/>
  <c r="L9" i="17"/>
  <c r="C13" i="1"/>
  <c r="K20" i="3"/>
  <c r="R9" i="3" s="1"/>
  <c r="C31" i="18" s="1"/>
  <c r="E31" i="18" s="1"/>
  <c r="K19" i="3"/>
  <c r="R8" i="3" s="1"/>
  <c r="C30" i="18" s="1"/>
  <c r="E30" i="18" s="1"/>
  <c r="L75" i="17"/>
  <c r="L64" i="17"/>
  <c r="L53" i="17"/>
  <c r="K38" i="12"/>
  <c r="K27" i="12"/>
  <c r="K21" i="12"/>
  <c r="K9" i="12"/>
  <c r="K9" i="15"/>
  <c r="K11" i="10"/>
  <c r="K9" i="10"/>
  <c r="K8" i="10"/>
  <c r="M9" i="9"/>
  <c r="U9" i="9" s="1"/>
  <c r="C86" i="18" s="1"/>
  <c r="E86" i="18" s="1"/>
  <c r="D5" i="9"/>
  <c r="D3" i="9"/>
  <c r="K49" i="8"/>
  <c r="K38" i="8"/>
  <c r="K27" i="8"/>
  <c r="K16" i="8"/>
  <c r="K5" i="8"/>
  <c r="K32" i="7"/>
  <c r="K21" i="7"/>
  <c r="K20" i="7"/>
  <c r="K10" i="7"/>
  <c r="S10" i="7" s="1"/>
  <c r="C65" i="18" s="1"/>
  <c r="E65" i="18" s="1"/>
  <c r="K9" i="7"/>
  <c r="S9" i="7" s="1"/>
  <c r="D20" i="7"/>
  <c r="D19" i="7"/>
  <c r="D16" i="7"/>
  <c r="D13" i="7"/>
  <c r="D5" i="3"/>
  <c r="D3" i="3"/>
  <c r="M23" i="5"/>
  <c r="U12" i="5" s="1"/>
  <c r="M22" i="5"/>
  <c r="U11" i="5" s="1"/>
  <c r="C55" i="18" s="1"/>
  <c r="E55" i="18" s="1"/>
  <c r="M16" i="5"/>
  <c r="U5" i="5" s="1"/>
  <c r="M9" i="5"/>
  <c r="D19" i="17"/>
  <c r="D20" i="17"/>
  <c r="D21" i="17"/>
  <c r="D18" i="17"/>
  <c r="D17" i="17"/>
  <c r="D14" i="17"/>
  <c r="D15" i="17"/>
  <c r="D16" i="17"/>
  <c r="D13" i="17"/>
  <c r="D12" i="17"/>
  <c r="D9" i="17"/>
  <c r="D10" i="17"/>
  <c r="D11" i="17"/>
  <c r="D8" i="17"/>
  <c r="D7" i="17"/>
  <c r="D4" i="17"/>
  <c r="D5" i="17"/>
  <c r="D6" i="17"/>
  <c r="D3" i="17"/>
  <c r="K11" i="2"/>
  <c r="K5" i="2"/>
  <c r="C12" i="1"/>
  <c r="U9" i="17" l="1"/>
  <c r="S5" i="8"/>
  <c r="C64" i="18"/>
  <c r="E64" i="18" s="1"/>
  <c r="S13" i="7"/>
  <c r="I24" i="18" s="1"/>
  <c r="K24" i="18" s="1"/>
  <c r="U9" i="5"/>
  <c r="C53" i="18" s="1"/>
  <c r="E53" i="18" s="1"/>
  <c r="C42" i="18"/>
  <c r="E42" i="18" s="1"/>
  <c r="R13" i="4"/>
  <c r="I22" i="18" s="1"/>
  <c r="K22" i="18" s="1"/>
  <c r="C79" i="18"/>
  <c r="E79" i="18" s="1"/>
  <c r="U13" i="9"/>
  <c r="I26" i="18" s="1"/>
  <c r="K26" i="18" s="1"/>
  <c r="C46" i="18"/>
  <c r="E46" i="18" s="1"/>
  <c r="R13" i="3"/>
  <c r="I21" i="18" s="1"/>
  <c r="K21" i="18" s="1"/>
  <c r="C152" i="18" l="1"/>
  <c r="E152" i="18" s="1"/>
  <c r="U13" i="17"/>
  <c r="I32" i="18" s="1"/>
  <c r="K32" i="18" s="1"/>
  <c r="C71" i="18"/>
  <c r="E71" i="18" s="1"/>
  <c r="S13" i="8"/>
  <c r="I25" i="18" s="1"/>
  <c r="K25" i="18" s="1"/>
  <c r="U13" i="5"/>
  <c r="I23" i="18" s="1"/>
  <c r="K23" i="18" s="1"/>
</calcChain>
</file>

<file path=xl/sharedStrings.xml><?xml version="1.0" encoding="utf-8"?>
<sst xmlns="http://schemas.openxmlformats.org/spreadsheetml/2006/main" count="4048" uniqueCount="425">
  <si>
    <t>Forest Armchair</t>
  </si>
  <si>
    <t>Item</t>
  </si>
  <si>
    <t>Material</t>
  </si>
  <si>
    <t>Amount</t>
  </si>
  <si>
    <t>Aluminium</t>
  </si>
  <si>
    <t>Steel</t>
  </si>
  <si>
    <t>Rubber</t>
  </si>
  <si>
    <t>Paint</t>
  </si>
  <si>
    <t>Cardboard</t>
  </si>
  <si>
    <t>Wood</t>
  </si>
  <si>
    <t>PE</t>
  </si>
  <si>
    <t>Source</t>
  </si>
  <si>
    <t>EN20</t>
  </si>
  <si>
    <t>Siénteme armchair</t>
  </si>
  <si>
    <t>Metal</t>
  </si>
  <si>
    <t>Commercial components</t>
  </si>
  <si>
    <t>Spacers</t>
  </si>
  <si>
    <t>Textiles</t>
  </si>
  <si>
    <t>Sole Armchair</t>
  </si>
  <si>
    <t>PU</t>
  </si>
  <si>
    <t>Synthethic Leather</t>
  </si>
  <si>
    <t>Unit</t>
  </si>
  <si>
    <t>kg</t>
  </si>
  <si>
    <t>15 years</t>
  </si>
  <si>
    <t>Concrete</t>
  </si>
  <si>
    <t>Glass (fibre)</t>
  </si>
  <si>
    <t>MDF</t>
  </si>
  <si>
    <t>Paper &amp; Cardboard</t>
  </si>
  <si>
    <t>Plastics</t>
  </si>
  <si>
    <t>Textiles &amp; Leather</t>
  </si>
  <si>
    <t>High Bar stool (OVO)</t>
  </si>
  <si>
    <t>Bookcase Vis Storage System</t>
  </si>
  <si>
    <t>Epoxy-polyester resin</t>
  </si>
  <si>
    <t>Other metals: aluminium, nickel, zinc</t>
  </si>
  <si>
    <t>Other polymers</t>
  </si>
  <si>
    <t>Mass percentage</t>
  </si>
  <si>
    <t>Bisley Drawer Units Lateralfile Large unit</t>
  </si>
  <si>
    <t>Bisley Drawer Units Systemfile Large unit</t>
  </si>
  <si>
    <t>Bisley Drawer Units Essentials Large unit</t>
  </si>
  <si>
    <t>Bisley Drawer Units BE Large unit</t>
  </si>
  <si>
    <t>Chair Juno (fiber glass)</t>
  </si>
  <si>
    <t>Chair OVO (timber)</t>
  </si>
  <si>
    <t>15 years (100 years expected)</t>
  </si>
  <si>
    <t>Solid Timber/ wood</t>
  </si>
  <si>
    <t>Oil</t>
  </si>
  <si>
    <t>Glue</t>
  </si>
  <si>
    <t>Leather</t>
  </si>
  <si>
    <t>Wool</t>
  </si>
  <si>
    <t>PLY</t>
  </si>
  <si>
    <t>PVC</t>
  </si>
  <si>
    <t>GB08</t>
  </si>
  <si>
    <t>Glass filled nylon (GFN)</t>
  </si>
  <si>
    <t>Polypropylene</t>
  </si>
  <si>
    <t>Glass filled polypropylene</t>
  </si>
  <si>
    <t>PUR (Polyurethane)</t>
  </si>
  <si>
    <t>POM (Acetyl)</t>
  </si>
  <si>
    <t>ABS</t>
  </si>
  <si>
    <t>Fabric</t>
  </si>
  <si>
    <t>Hytrel-Crastin (PBT)</t>
  </si>
  <si>
    <t>PA6</t>
  </si>
  <si>
    <t>Glass fiber</t>
  </si>
  <si>
    <t>Master</t>
  </si>
  <si>
    <t>Nylon</t>
  </si>
  <si>
    <t xml:space="preserve">kg </t>
  </si>
  <si>
    <t>TPU</t>
  </si>
  <si>
    <t>metal</t>
  </si>
  <si>
    <t>oil</t>
  </si>
  <si>
    <t>glue</t>
  </si>
  <si>
    <t>leather</t>
  </si>
  <si>
    <t>wool</t>
  </si>
  <si>
    <t>ply</t>
  </si>
  <si>
    <t>Corner sofa/ modular couch (KAFFA)</t>
  </si>
  <si>
    <t xml:space="preserve">Steel </t>
  </si>
  <si>
    <t>Desk Lean Desk system Koleksiyon</t>
  </si>
  <si>
    <t>Corrugated Board</t>
  </si>
  <si>
    <t xml:space="preserve">Desk Thor </t>
  </si>
  <si>
    <t>Desk Swan</t>
  </si>
  <si>
    <t>Aluminium table Radice Quadra</t>
  </si>
  <si>
    <t>N.A.</t>
  </si>
  <si>
    <t>Welding wire</t>
  </si>
  <si>
    <t>Double sided tape</t>
  </si>
  <si>
    <t>Dining Table timbre round OVO dia 1200mm</t>
  </si>
  <si>
    <t>Dining Table round OVO dia 1500mm</t>
  </si>
  <si>
    <t>Dining Table rectangular OVO 2500x950mm</t>
  </si>
  <si>
    <t>Dining Table rectangular OVO 2900x1100mm</t>
  </si>
  <si>
    <t>Cabinet Koleksiyon path storage</t>
  </si>
  <si>
    <t>Chest of drawers KI Storage Collection 800 series 3 drawers</t>
  </si>
  <si>
    <t>15 years (25  years expected)</t>
  </si>
  <si>
    <t>Polyester Powder Coating</t>
  </si>
  <si>
    <t>Polymers</t>
  </si>
  <si>
    <t>Carton Board</t>
  </si>
  <si>
    <t>Double bed</t>
  </si>
  <si>
    <t>m3</t>
  </si>
  <si>
    <t>HJ17</t>
  </si>
  <si>
    <t>Polyurethane</t>
  </si>
  <si>
    <t>Polyethylene film</t>
  </si>
  <si>
    <t>Paper</t>
  </si>
  <si>
    <t>Polystyrene foam slab</t>
  </si>
  <si>
    <t>Extrude polystyrene</t>
  </si>
  <si>
    <t>Wood wool</t>
  </si>
  <si>
    <t>Mattress</t>
  </si>
  <si>
    <t>maleic unsaturated polyester resin</t>
  </si>
  <si>
    <t>EI37</t>
  </si>
  <si>
    <t>10 years</t>
  </si>
  <si>
    <t>nylon 6</t>
  </si>
  <si>
    <t>polyester resin, unsaturated</t>
  </si>
  <si>
    <t>polypropylene, granulate</t>
  </si>
  <si>
    <t>polyurethane, flexible foam</t>
  </si>
  <si>
    <t>steel, low-alloyed</t>
  </si>
  <si>
    <t>textile woven cotton</t>
  </si>
  <si>
    <t>Sofa table</t>
  </si>
  <si>
    <t>Glass</t>
  </si>
  <si>
    <t>Lead</t>
  </si>
  <si>
    <t>Carton</t>
  </si>
  <si>
    <t>Alkyd paint</t>
  </si>
  <si>
    <t>Small table glass fibre (Ginger)</t>
  </si>
  <si>
    <t>glass fibre</t>
  </si>
  <si>
    <t>Steel + PP</t>
  </si>
  <si>
    <t>Coffee table OVO 1600x630mm</t>
  </si>
  <si>
    <t>Side Table OVO</t>
  </si>
  <si>
    <t>Sofa</t>
  </si>
  <si>
    <t>Hardwood</t>
  </si>
  <si>
    <t>Polyester</t>
  </si>
  <si>
    <t>Cotton</t>
  </si>
  <si>
    <t>Sealant</t>
  </si>
  <si>
    <t>Sofa HJ</t>
  </si>
  <si>
    <t>Container Caddy small 563x800x490mm</t>
  </si>
  <si>
    <t>Epoxy- polyester resin</t>
  </si>
  <si>
    <t>Container Caddy medium 563x900x490mm</t>
  </si>
  <si>
    <t>Container Caddy Large 563x1000x490mm</t>
  </si>
  <si>
    <t>Wardrobe universal storage tambour doors Steelcase</t>
  </si>
  <si>
    <t>Paperboard</t>
  </si>
  <si>
    <t>LDPE</t>
  </si>
  <si>
    <t>PP</t>
  </si>
  <si>
    <t>Note</t>
  </si>
  <si>
    <t>Includes aluminium!</t>
  </si>
  <si>
    <t>Clarus Office Chair</t>
  </si>
  <si>
    <t>PES</t>
  </si>
  <si>
    <t>Polyurethane Foam</t>
  </si>
  <si>
    <t>Tristan Office Chair</t>
  </si>
  <si>
    <t>Textile</t>
  </si>
  <si>
    <t>Gala Office Chair</t>
  </si>
  <si>
    <t>Sinter</t>
  </si>
  <si>
    <t>Mass%</t>
  </si>
  <si>
    <t>Postura Chair (size: 5)</t>
  </si>
  <si>
    <t xml:space="preserve">Zenith Chair </t>
  </si>
  <si>
    <t>Miranda Chair</t>
  </si>
  <si>
    <t>Cantata Chair</t>
  </si>
  <si>
    <t>Helen Chair</t>
  </si>
  <si>
    <t>Babar chair barstool</t>
  </si>
  <si>
    <t>PUR</t>
  </si>
  <si>
    <t>PP/ glass fiber</t>
  </si>
  <si>
    <t>Felt</t>
  </si>
  <si>
    <t>POM</t>
  </si>
  <si>
    <t>Clarus office chair</t>
  </si>
  <si>
    <t>Tristan office chair</t>
  </si>
  <si>
    <t>Gala office chair</t>
  </si>
  <si>
    <t>Office chair</t>
  </si>
  <si>
    <t>Postura chair (size: 5)</t>
  </si>
  <si>
    <t>Miranda chair</t>
  </si>
  <si>
    <t>Zenith chair</t>
  </si>
  <si>
    <t xml:space="preserve">Cantata chair </t>
  </si>
  <si>
    <t>Helen chair</t>
  </si>
  <si>
    <t>Chair</t>
  </si>
  <si>
    <t>Desk</t>
  </si>
  <si>
    <t>Ray Coffee table</t>
  </si>
  <si>
    <t>Paint/ Varnish</t>
  </si>
  <si>
    <t>Epoxy</t>
  </si>
  <si>
    <t>Armchair</t>
  </si>
  <si>
    <t>Bar stool</t>
  </si>
  <si>
    <t>Dining table</t>
  </si>
  <si>
    <t>Dresser_Low closet_TV cabinet</t>
  </si>
  <si>
    <t>Side table_Night stand</t>
  </si>
  <si>
    <t>High stool timber (OVO)</t>
  </si>
  <si>
    <t>High Stool stool - upholstered (OVO)</t>
  </si>
  <si>
    <t>Stool timber (OVO)</t>
  </si>
  <si>
    <t>Stool - upholstered (OVO)</t>
  </si>
  <si>
    <t>Stool</t>
  </si>
  <si>
    <t>Contanier_Filing cabinet</t>
  </si>
  <si>
    <t>Big closet</t>
  </si>
  <si>
    <t>Small closet</t>
  </si>
  <si>
    <t>Side table</t>
  </si>
  <si>
    <t>Container</t>
  </si>
  <si>
    <t>Notes</t>
  </si>
  <si>
    <t>Asanda Office chair</t>
  </si>
  <si>
    <t xml:space="preserve"> </t>
  </si>
  <si>
    <t>Average weight</t>
  </si>
  <si>
    <t>Average Lifetime</t>
  </si>
  <si>
    <t>Average lifetime</t>
  </si>
  <si>
    <t>(Welding) wire</t>
  </si>
  <si>
    <t>(Wood) wool</t>
  </si>
  <si>
    <t>Corrugated board</t>
  </si>
  <si>
    <t>Glass filled Nylon</t>
  </si>
  <si>
    <t>Hytrel Crastin (PBT)</t>
  </si>
  <si>
    <t>Polyethylene (PE)</t>
  </si>
  <si>
    <t>Polystyrene</t>
  </si>
  <si>
    <t>Polyamide 6 (PA6)</t>
  </si>
  <si>
    <t>Low Density Polyethylene (LDPE)</t>
  </si>
  <si>
    <t>Spacers (often made of composite)</t>
  </si>
  <si>
    <t>Polyethersulfone (PES)</t>
  </si>
  <si>
    <t>(Furniture) Oil</t>
  </si>
  <si>
    <t>Commercial components (?)</t>
  </si>
  <si>
    <t>Product lifetimes</t>
  </si>
  <si>
    <t>[Years]</t>
  </si>
  <si>
    <t>Amount [kg]</t>
  </si>
  <si>
    <t>Aggregated for data files</t>
  </si>
  <si>
    <t>[kg]</t>
  </si>
  <si>
    <t>Product Weight</t>
  </si>
  <si>
    <t>HJ17 gives one average lifetime for all table products</t>
  </si>
  <si>
    <t>Single bed 'less wood'</t>
  </si>
  <si>
    <t>Single bed 'more wood'</t>
  </si>
  <si>
    <t>GE19</t>
  </si>
  <si>
    <t>Wardrobe 'less wood'</t>
  </si>
  <si>
    <t xml:space="preserve">Wardrobe  'more wood' </t>
  </si>
  <si>
    <t>Wardrobe 'more wood'</t>
  </si>
  <si>
    <t>Rubber wood four-door wardrobe</t>
  </si>
  <si>
    <t>Rubber wood</t>
  </si>
  <si>
    <t>White oak</t>
  </si>
  <si>
    <t>Birch (Berk)</t>
  </si>
  <si>
    <t>Camphorwood</t>
  </si>
  <si>
    <t>Padauk (Padoek/ hout)</t>
  </si>
  <si>
    <t>Stainless steel</t>
  </si>
  <si>
    <t>Copper</t>
  </si>
  <si>
    <t>Zinc</t>
  </si>
  <si>
    <t>Iron</t>
  </si>
  <si>
    <t>WA16</t>
  </si>
  <si>
    <t>Excluded (Very high weight, and hardwood intensity= outlier high-end product)</t>
  </si>
  <si>
    <t>White oak-and-fabric sofa</t>
  </si>
  <si>
    <t>Polyurethane foam</t>
  </si>
  <si>
    <t>PP [PolyPropylene]</t>
  </si>
  <si>
    <t>Textile thread</t>
  </si>
  <si>
    <t>PVAs</t>
  </si>
  <si>
    <t>Isocyanate</t>
  </si>
  <si>
    <t>Assuming red oak wood, with an assumed density of 640 kg/m3, Source Red Oak density: Engineeringtoolbox, 2021. https://www.engineeringtoolbox.com/timber-mechanical-properties-d_1789.html</t>
  </si>
  <si>
    <t>Alme black fabrick</t>
  </si>
  <si>
    <t>Felt liner</t>
  </si>
  <si>
    <t>Fibre wadding</t>
  </si>
  <si>
    <t>Foam FR (A)</t>
  </si>
  <si>
    <t>Foam FR (B)</t>
  </si>
  <si>
    <t>Foam FR ©</t>
  </si>
  <si>
    <t>Foam nonFR (NA)</t>
  </si>
  <si>
    <t>Foam nonFR (NB)</t>
  </si>
  <si>
    <t>Foam nonFR (NC)</t>
  </si>
  <si>
    <t>Foam nonFR (ND)</t>
  </si>
  <si>
    <t>P-FR additive</t>
  </si>
  <si>
    <t>Br-FR</t>
  </si>
  <si>
    <t>P-FR</t>
  </si>
  <si>
    <t>Steel/Iron</t>
  </si>
  <si>
    <t>White cover fabric</t>
  </si>
  <si>
    <t>Wood/ particle board</t>
  </si>
  <si>
    <t>Projected lifetime of 10 &amp; 15 years, both used for LCI model. Average of 12.5 year lifetime is assumed</t>
  </si>
  <si>
    <t>AN03</t>
  </si>
  <si>
    <t>Spring interior mattress</t>
  </si>
  <si>
    <t>PUR foam</t>
  </si>
  <si>
    <t>Latex foam</t>
  </si>
  <si>
    <t>Cotton, woven</t>
  </si>
  <si>
    <t>Cotton, non-woven</t>
  </si>
  <si>
    <t>Polyester, non-woven</t>
  </si>
  <si>
    <t>Coconut fibre</t>
  </si>
  <si>
    <t>Polyether mattress</t>
  </si>
  <si>
    <t>Latex mattress</t>
  </si>
  <si>
    <t>Scandinavian mattress</t>
  </si>
  <si>
    <t>Multiple technical lifetimes are provided per product type. Assumptions are made based on the text, where one manufacturer provides lifetimes for all types of products. The study assumes a service unit of m2 of mattress per 1 year. Assuming a 'Full size' mattress (134.5x190.5) = 1.84 m2</t>
  </si>
  <si>
    <t>Text states a lifetime of Polyether mattresses of 5-7 years, 6 year average assumed</t>
  </si>
  <si>
    <t>No lifetime provided</t>
  </si>
  <si>
    <t>Product weights</t>
  </si>
  <si>
    <t>Wardrobe</t>
  </si>
  <si>
    <t>IR15</t>
  </si>
  <si>
    <t>Paints and varnishes</t>
  </si>
  <si>
    <t>MDP</t>
  </si>
  <si>
    <t xml:space="preserve">Glues and adhesives </t>
  </si>
  <si>
    <t>Formway LIFE Chair (Aluminium base)</t>
  </si>
  <si>
    <t>Formway LIFE Chair (GFN base model)</t>
  </si>
  <si>
    <t>DUNA 02 eco chair</t>
  </si>
  <si>
    <t>Galvanized steel</t>
  </si>
  <si>
    <t>Polypropylene + glass fibre</t>
  </si>
  <si>
    <t>Zomak</t>
  </si>
  <si>
    <t>Alloy, primarily zinc</t>
  </si>
  <si>
    <t>Brass</t>
  </si>
  <si>
    <t>Allocated to glass fibre category</t>
  </si>
  <si>
    <t>(Recycled) Polypropylene</t>
  </si>
  <si>
    <t>Allocated to metals excl. steel &amp; aluminium</t>
  </si>
  <si>
    <t>Catifa 46</t>
  </si>
  <si>
    <t>PP+5%Talc</t>
  </si>
  <si>
    <t>GEB015</t>
  </si>
  <si>
    <t>CATIFA 53 four legs</t>
  </si>
  <si>
    <t>CATIFA 53 trestle base, aluminium</t>
  </si>
  <si>
    <t>Catifa 53 four legs</t>
  </si>
  <si>
    <t>Catifa 53 trestle base, aluminium</t>
  </si>
  <si>
    <t>Talc = a clay mineral (magnesium-silicaat), allocated to plastics category as it is primarily polypropylene</t>
  </si>
  <si>
    <t xml:space="preserve">PASENOW sofa </t>
  </si>
  <si>
    <t>Synthetic leather</t>
  </si>
  <si>
    <t>PASENOW sofa</t>
  </si>
  <si>
    <t>Hanoba sofa</t>
  </si>
  <si>
    <t>POEMA sofa</t>
  </si>
  <si>
    <t>AIKANA two-seater sofa</t>
  </si>
  <si>
    <t>Cantata Desk System</t>
  </si>
  <si>
    <t>marketed as a 'desk system' but has the characteristics of a side table weight/ surface area</t>
  </si>
  <si>
    <t>Terna coffee table</t>
  </si>
  <si>
    <t>Narcissus coffee table</t>
  </si>
  <si>
    <t>PLAN coffee table</t>
  </si>
  <si>
    <t>MDF provided in m3 (0.083618). Average density of 800kg/m3 is assumed for MDF. Source MDF density: Engineeringtoolbox, 2021. https://www.engineeringtoolbox.com/timber-mechanical-properties-d_1789.html</t>
  </si>
  <si>
    <t>Memory foam mattress</t>
  </si>
  <si>
    <t>Scaleless blue oil hardened</t>
  </si>
  <si>
    <t>Polyethylene terephthalate</t>
  </si>
  <si>
    <t>Latex</t>
  </si>
  <si>
    <t>39% Woven cotton, 61% viscose</t>
  </si>
  <si>
    <t>Yarn</t>
  </si>
  <si>
    <t>60% wool, 40% polyethylene</t>
  </si>
  <si>
    <t>Extrusion film</t>
  </si>
  <si>
    <t>Nylon 6</t>
  </si>
  <si>
    <t>GL12</t>
  </si>
  <si>
    <t>type of thread</t>
  </si>
  <si>
    <t xml:space="preserve">Note 1) Geng et al. provide material compositions for a single bed for two scenarios: a 'less wood' and a 'more wood' scenario. Both are included. Note 2) both these material compositions are assumed by the researchers and are based on the same paper of Hoxha &amp; Jusselme 2017 which provides the material composition for the double bed above (HJ17). They should thus be considered variants of the same double bed. This means the 'bed' category, leans solely on double bed variants. </t>
  </si>
  <si>
    <t>(Double) Bed</t>
  </si>
  <si>
    <t>(Double) bed</t>
  </si>
  <si>
    <t>Coatings</t>
  </si>
  <si>
    <t>Metals excl. Steel &amp; Aluminium</t>
  </si>
  <si>
    <t>GEB015 is a type of coil, allocated to Metals excl. Steel &amp; Aluminium</t>
  </si>
  <si>
    <t>Allocated 50/50 to steel and Metals excl. Steel &amp; Aluminium categories</t>
  </si>
  <si>
    <t>Polyurethane (PU)</t>
  </si>
  <si>
    <t>Synthethic leather</t>
  </si>
  <si>
    <t>(Solid) Timber</t>
  </si>
  <si>
    <t>Allocated to glass fiber category</t>
  </si>
  <si>
    <t>Polyoxymethyleen (POM)</t>
  </si>
  <si>
    <t>Material category</t>
  </si>
  <si>
    <t>Included in plastic category as Rubber is a (natural) polymer</t>
  </si>
  <si>
    <t>Polypropylene (PP)</t>
  </si>
  <si>
    <t>Hardwood (e.g. Birch, white oak, camphorwood, Padauk, Rubber wood, Mahogany, etc.)</t>
  </si>
  <si>
    <t>Varnish</t>
  </si>
  <si>
    <t>Powder mix of various metals</t>
  </si>
  <si>
    <t>Glass filled polypropylene &amp; Nylon</t>
  </si>
  <si>
    <t>Allocated to glass (fibre) category</t>
  </si>
  <si>
    <t>A thermoplastic</t>
  </si>
  <si>
    <t>Thermoplastic Polyurethane (TPU)</t>
  </si>
  <si>
    <t>A type of coil/ wire</t>
  </si>
  <si>
    <t>Acrylonitril-butadieen-styreen (ABS)</t>
  </si>
  <si>
    <t>Carton (board)</t>
  </si>
  <si>
    <t>Polystyrene (foam slab)</t>
  </si>
  <si>
    <t>Latex (Foam)</t>
  </si>
  <si>
    <t>Polymer/ rubber</t>
  </si>
  <si>
    <t>Often made from polyester</t>
  </si>
  <si>
    <t>Thread</t>
  </si>
  <si>
    <t>Foam (all types)</t>
  </si>
  <si>
    <t>Polyvynil alcohol, is a polymer</t>
  </si>
  <si>
    <t>Additive</t>
  </si>
  <si>
    <t>Particle board</t>
  </si>
  <si>
    <t>Woodboard</t>
  </si>
  <si>
    <t>Polyethylene terephtalate</t>
  </si>
  <si>
    <t>Epoxy Polyester Resin</t>
  </si>
  <si>
    <t>Natural fibre mattress</t>
  </si>
  <si>
    <t>Cotton fibres</t>
  </si>
  <si>
    <t>Hemp</t>
  </si>
  <si>
    <t>Animal hair</t>
  </si>
  <si>
    <t>Silk</t>
  </si>
  <si>
    <t>Viscose</t>
  </si>
  <si>
    <t>A form of textile, made from cellulose fibre (e.g. wood, agricultural products, etc.)</t>
  </si>
  <si>
    <t>A form of textile, made from the fibres of the cannabis sativa plant</t>
  </si>
  <si>
    <t xml:space="preserve">Geng et al. 2019 provide material compositions for furniture products for two scenario's: a 'less wood' scenario and a 'more wood' scenario. Both are included in the material database. NOTE: both the products from Geng et al. are based on the product LCA study of Iritani et al. 2015, which is also included in the database (IR15). These products should thus be considered variants of the same product. </t>
  </si>
  <si>
    <t>Two draw cabinet model Koleksiyon Collection 800 series</t>
  </si>
  <si>
    <t>Polyester Powder coating</t>
  </si>
  <si>
    <t>Carton board</t>
  </si>
  <si>
    <t>Weight Product</t>
  </si>
  <si>
    <t>three draw cabinet model Koleksiyon Collection 800 series</t>
  </si>
  <si>
    <t>Cupboard 8ML/100255HX Koleksiyon Collection 800 series</t>
  </si>
  <si>
    <t>Other Metals</t>
  </si>
  <si>
    <t>Cupboard 8ML/100405HX Koleksiyon Collection 800 series</t>
  </si>
  <si>
    <t>Other metals</t>
  </si>
  <si>
    <t>Big Closet</t>
  </si>
  <si>
    <t>Assuming a 'Full size' mattress (134.5x190.5) = 1.84 m2, source: https://www.mattressfirm.com/mattress-sizes-dimensions.html</t>
  </si>
  <si>
    <t>DN97</t>
  </si>
  <si>
    <t xml:space="preserve">Mattress polyurethane foam EI37 </t>
  </si>
  <si>
    <t>From Technospehere, only physical material consumption, excluding: electricity, medium voltage; plastic processing factory</t>
  </si>
  <si>
    <t>Mattress Polyurethane foam EI37</t>
  </si>
  <si>
    <t>MDF provided in m3 (0.083618). Average density of 800kg/m3 is assumed. Source MDF density: Engineeringtoolbox, 2021. https://www.engineeringtoolbox.com/timber-mechanical-properties-d_1789.html</t>
  </si>
  <si>
    <t>Not specified</t>
  </si>
  <si>
    <t>https://environdec.com/library/epd2379</t>
  </si>
  <si>
    <t>https://www.environdec.com/library/epd1628</t>
  </si>
  <si>
    <t>https://environdec.com/library/epd1280</t>
  </si>
  <si>
    <t>https://environdec.com/library/epd1668</t>
  </si>
  <si>
    <t>https://environdec.com/library/epd1956</t>
  </si>
  <si>
    <t>https://www.environdec.com/library/epd1303</t>
  </si>
  <si>
    <t>https://www.environdec.com/library/epd2394</t>
  </si>
  <si>
    <t>https://www.sciencedirect.com/science/article/pii/S1470160X19302821</t>
  </si>
  <si>
    <t>http://irep.ntu.ac.uk/id/eprint/31653/</t>
  </si>
  <si>
    <t>https://edisciplinas.usp.br/pluginfile.php/5815959/mod_resource/content/1/ACV%20Ind%C3%BAstria%20Moveleira%20-%20Diego%20Iritani.pdf</t>
  </si>
  <si>
    <t>https://www.environdec.com/library/epd1195</t>
  </si>
  <si>
    <t>https://www.environdec.com/library/epd1301</t>
  </si>
  <si>
    <t>https://www.environdec.com/library/epd1268</t>
  </si>
  <si>
    <t>https://www.environdec.com/library/epd1285</t>
  </si>
  <si>
    <t>https://link.springer.com/article/10.1007/s11367-008-0002-3</t>
  </si>
  <si>
    <t>https://www.environdec.com/library/epd1715</t>
  </si>
  <si>
    <t>https://www.environdec.com/library/epd1958</t>
  </si>
  <si>
    <t>https://environdec.com/library/epd2067</t>
  </si>
  <si>
    <t>https://environdec.com/library/epd1278</t>
  </si>
  <si>
    <t>https://www.environdec.com/library/epd1286</t>
  </si>
  <si>
    <t>https://environdec.com/library/epd1288</t>
  </si>
  <si>
    <t>https://environdec.com/library/epd1498</t>
  </si>
  <si>
    <t>https://environdec.com/library/epd1495</t>
  </si>
  <si>
    <t>Original EPD markets the OVO chair as a chair, not an armchair: EPD link is for the (new) armchair EPD- which is the same product</t>
  </si>
  <si>
    <t>https://environdec.com/library/epd1295</t>
  </si>
  <si>
    <t>https://environdec.com/library/epd1282</t>
  </si>
  <si>
    <t>https://www.environdec.com/library/epd1299</t>
  </si>
  <si>
    <t>https://environdec.com/library/epd2380</t>
  </si>
  <si>
    <t>https://environdec.com/library/epd1957</t>
  </si>
  <si>
    <t>https://v371.ecoquery.ecoinvent.org/Search/Index</t>
  </si>
  <si>
    <t>https://ec.europa.eu/environment/ecolabel/documents/bed_mattresses_report.pdf</t>
  </si>
  <si>
    <t>https://www.sciencedirect.com/science/article/pii/S0959652612000790?casa_token=knUwTmHr27wAAAAA:Vbypa9sJEA0k2UdOrFT-JZBgNL-S5ixPpNhvEqjyIphFWlKFzxUtmfD-jDK47VUaoNPTfR2IAxI</t>
  </si>
  <si>
    <t>https://www.environdec.com/library/epd1265</t>
  </si>
  <si>
    <t>https://www.environdec.com/library/epd2068</t>
  </si>
  <si>
    <t>https://www.sciencedirect.com/science/article/pii/S0048969717306216?casa_token=x3pUo8pIT3AAAAAA:9UrbRKTOW_CYx8u5UOGUsZda1E_J5KneYHjSycsPu4io0XSC2hz9_-zUCHXsCATv_YJ9TMAqbsM</t>
  </si>
  <si>
    <t>https://www.sciencedirect.com/science/article/pii/S1470160X19302821?casa_token=LdxjjRxqLgsAAAAA:mu1Go0Xk9X4DidjbaCBDU1378mydsL46IQAP9MEkXom7mQlewPz6NCr7DHwL_oEQPXy3l_NlMAA</t>
  </si>
  <si>
    <t>https://www.environdec.com/library/epd1496</t>
  </si>
  <si>
    <t>https://www.environdec.com/library/epd1196</t>
  </si>
  <si>
    <t>https://www.environdec.com/library/epd1300</t>
  </si>
  <si>
    <t>https://www.environdec.com/library/epd1296</t>
  </si>
  <si>
    <t>https://www.environdec.com/library/epd1298</t>
  </si>
  <si>
    <t>https://www.researchgate.net/publication/324031633_Fire-LCA_Model_Furniture_Study/link/5aba23d1a6fdcc206605b295/download</t>
  </si>
  <si>
    <t>https://www.environdec.com/library/epd1279</t>
  </si>
  <si>
    <t>https://www.environdec.com/library/epd1284</t>
  </si>
  <si>
    <t>https://www.environdec.com/library/epd1283</t>
  </si>
  <si>
    <t>https://www.environdec.com/library/epd2378</t>
  </si>
  <si>
    <t>https://www.environdec.com/library/epd1198</t>
  </si>
  <si>
    <t>https://www.environdec.com/library/epd1608</t>
  </si>
  <si>
    <t>https://www.environdec.com/library/epd1612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</si>
</sst>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sz val="11"/>
      <color rgb="FF000000"/>
      <name val="Calibri"/>
      <family val="2"/>
      <scheme val="minor"/>
    </font>
    <font>
      <u/>
      <sz val="11"/>
      <color theme="10"/>
      <name val="Calibri"/>
      <family val="2"/>
      <scheme val="minor"/>
    </font>
  </fonts>
  <fills count="3">
    <fill>
      <patternFill patternType="none"/>
    </fill>
    <fill>
      <patternFill patternType="gray125"/>
    </fill>
    <fill>
      <patternFill patternType="solid">
        <fgColor theme="1"/>
        <bgColor indexed="64"/>
      </patternFill>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16">
    <xf numFmtId="0" fontId="0" fillId="0" borderId="0" xfId="0"/>
    <xf numFmtId="11" fontId="0" fillId="0" borderId="0" xfId="0" applyNumberFormat="1"/>
    <xf numFmtId="0" fontId="1" fillId="0" borderId="0" xfId="0" applyFont="1"/>
    <xf numFmtId="0" fontId="0" fillId="2" borderId="0" xfId="0" applyFill="1"/>
    <xf numFmtId="3" fontId="0" fillId="0" borderId="0" xfId="0" applyNumberFormat="1"/>
    <xf numFmtId="4" fontId="0" fillId="0" borderId="0" xfId="0" applyNumberFormat="1"/>
    <xf numFmtId="0" fontId="1" fillId="2" borderId="0" xfId="0" applyFont="1" applyFill="1"/>
    <xf numFmtId="0" fontId="0" fillId="2" borderId="0" xfId="0" applyFont="1" applyFill="1"/>
    <xf numFmtId="0" fontId="0" fillId="0" borderId="0" xfId="0" applyNumberFormat="1"/>
    <xf numFmtId="0" fontId="0" fillId="0" borderId="0" xfId="0" applyAlignment="1"/>
    <xf numFmtId="0" fontId="2" fillId="2" borderId="0" xfId="0" applyFont="1" applyFill="1"/>
    <xf numFmtId="0" fontId="3" fillId="0" borderId="0" xfId="0" applyFont="1"/>
    <xf numFmtId="0" fontId="4" fillId="0" borderId="0" xfId="0" applyFont="1" applyBorder="1" applyAlignment="1">
      <alignment vertical="center" wrapText="1"/>
    </xf>
    <xf numFmtId="0" fontId="0" fillId="0" borderId="0" xfId="0" applyBorder="1"/>
    <xf numFmtId="0" fontId="4" fillId="0" borderId="0" xfId="0" applyFont="1"/>
    <xf numFmtId="0" fontId="5"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percentStacked"/>
        <c:varyColors val="0"/>
        <c:ser>
          <c:idx val="0"/>
          <c:order val="0"/>
          <c:tx>
            <c:strRef>
              <c:f>'Material compositions overview'!$I$37</c:f>
              <c:strCache>
                <c:ptCount val="1"/>
                <c:pt idx="0">
                  <c:v>Aluminium</c:v>
                </c:pt>
              </c:strCache>
            </c:strRef>
          </c:tx>
          <c:spPr>
            <a:solidFill>
              <a:schemeClr val="accent1"/>
            </a:solidFill>
            <a:ln>
              <a:noFill/>
            </a:ln>
            <a:effectLst/>
          </c:spPr>
          <c:invertIfNegative val="0"/>
          <c:cat>
            <c:strRef>
              <c:f>'Material compositions overview'!$H$38:$H$51</c:f>
              <c:strCache>
                <c:ptCount val="14"/>
                <c:pt idx="0">
                  <c:v>Armchair</c:v>
                </c:pt>
                <c:pt idx="1">
                  <c:v>Bar stool</c:v>
                </c:pt>
                <c:pt idx="2">
                  <c:v>Big closet</c:v>
                </c:pt>
                <c:pt idx="3">
                  <c:v>Office chair</c:v>
                </c:pt>
                <c:pt idx="4">
                  <c:v>Chair</c:v>
                </c:pt>
                <c:pt idx="5">
                  <c:v>Desk</c:v>
                </c:pt>
                <c:pt idx="6">
                  <c:v>Dining table</c:v>
                </c:pt>
                <c:pt idx="7">
                  <c:v>Small closet</c:v>
                </c:pt>
                <c:pt idx="8">
                  <c:v>(Double) bed</c:v>
                </c:pt>
                <c:pt idx="9">
                  <c:v>Mattress</c:v>
                </c:pt>
                <c:pt idx="10">
                  <c:v>Side table</c:v>
                </c:pt>
                <c:pt idx="11">
                  <c:v>Sofa</c:v>
                </c:pt>
                <c:pt idx="12">
                  <c:v>Stool</c:v>
                </c:pt>
                <c:pt idx="13">
                  <c:v>Container</c:v>
                </c:pt>
              </c:strCache>
            </c:strRef>
          </c:cat>
          <c:val>
            <c:numRef>
              <c:f>'Material compositions overview'!$I$38:$I$51</c:f>
              <c:numCache>
                <c:formatCode>General</c:formatCode>
                <c:ptCount val="14"/>
                <c:pt idx="0">
                  <c:v>1.9833333333333334</c:v>
                </c:pt>
                <c:pt idx="1">
                  <c:v>0</c:v>
                </c:pt>
                <c:pt idx="2">
                  <c:v>2.4159999999999999</c:v>
                </c:pt>
                <c:pt idx="3">
                  <c:v>3.19</c:v>
                </c:pt>
                <c:pt idx="4">
                  <c:v>1.1181818181818182</c:v>
                </c:pt>
                <c:pt idx="5">
                  <c:v>3.6666666666666667E-2</c:v>
                </c:pt>
                <c:pt idx="6">
                  <c:v>5.2</c:v>
                </c:pt>
                <c:pt idx="7">
                  <c:v>9.5599999999999991E-2</c:v>
                </c:pt>
                <c:pt idx="8">
                  <c:v>0</c:v>
                </c:pt>
                <c:pt idx="9">
                  <c:v>0</c:v>
                </c:pt>
                <c:pt idx="10">
                  <c:v>0.23574999999999999</c:v>
                </c:pt>
                <c:pt idx="11">
                  <c:v>4.5307499999999994</c:v>
                </c:pt>
                <c:pt idx="12">
                  <c:v>0</c:v>
                </c:pt>
                <c:pt idx="13">
                  <c:v>0</c:v>
                </c:pt>
              </c:numCache>
            </c:numRef>
          </c:val>
          <c:extLst>
            <c:ext xmlns:c16="http://schemas.microsoft.com/office/drawing/2014/chart" uri="{C3380CC4-5D6E-409C-BE32-E72D297353CC}">
              <c16:uniqueId val="{00000000-09D1-479D-85FE-A320325DA1E4}"/>
            </c:ext>
          </c:extLst>
        </c:ser>
        <c:ser>
          <c:idx val="1"/>
          <c:order val="1"/>
          <c:tx>
            <c:strRef>
              <c:f>'Material compositions overview'!$J$37</c:f>
              <c:strCache>
                <c:ptCount val="1"/>
                <c:pt idx="0">
                  <c:v>Concrete</c:v>
                </c:pt>
              </c:strCache>
            </c:strRef>
          </c:tx>
          <c:spPr>
            <a:solidFill>
              <a:schemeClr val="accent2"/>
            </a:solidFill>
            <a:ln>
              <a:noFill/>
            </a:ln>
            <a:effectLst/>
          </c:spPr>
          <c:invertIfNegative val="0"/>
          <c:cat>
            <c:strRef>
              <c:f>'Material compositions overview'!$H$38:$H$51</c:f>
              <c:strCache>
                <c:ptCount val="14"/>
                <c:pt idx="0">
                  <c:v>Armchair</c:v>
                </c:pt>
                <c:pt idx="1">
                  <c:v>Bar stool</c:v>
                </c:pt>
                <c:pt idx="2">
                  <c:v>Big closet</c:v>
                </c:pt>
                <c:pt idx="3">
                  <c:v>Office chair</c:v>
                </c:pt>
                <c:pt idx="4">
                  <c:v>Chair</c:v>
                </c:pt>
                <c:pt idx="5">
                  <c:v>Desk</c:v>
                </c:pt>
                <c:pt idx="6">
                  <c:v>Dining table</c:v>
                </c:pt>
                <c:pt idx="7">
                  <c:v>Small closet</c:v>
                </c:pt>
                <c:pt idx="8">
                  <c:v>(Double) bed</c:v>
                </c:pt>
                <c:pt idx="9">
                  <c:v>Mattress</c:v>
                </c:pt>
                <c:pt idx="10">
                  <c:v>Side table</c:v>
                </c:pt>
                <c:pt idx="11">
                  <c:v>Sofa</c:v>
                </c:pt>
                <c:pt idx="12">
                  <c:v>Stool</c:v>
                </c:pt>
                <c:pt idx="13">
                  <c:v>Container</c:v>
                </c:pt>
              </c:strCache>
            </c:strRef>
          </c:cat>
          <c:val>
            <c:numRef>
              <c:f>'Material compositions overview'!$J$38:$J$51</c:f>
              <c:numCache>
                <c:formatCode>General</c:formatCode>
                <c:ptCount val="14"/>
                <c:pt idx="0">
                  <c:v>0</c:v>
                </c:pt>
                <c:pt idx="1">
                  <c:v>0</c:v>
                </c:pt>
                <c:pt idx="2">
                  <c:v>0</c:v>
                </c:pt>
                <c:pt idx="3">
                  <c:v>0</c:v>
                </c:pt>
                <c:pt idx="4">
                  <c:v>0</c:v>
                </c:pt>
                <c:pt idx="5">
                  <c:v>0</c:v>
                </c:pt>
                <c:pt idx="6">
                  <c:v>0</c:v>
                </c:pt>
                <c:pt idx="7">
                  <c:v>3.5159999999999996</c:v>
                </c:pt>
                <c:pt idx="8">
                  <c:v>0</c:v>
                </c:pt>
                <c:pt idx="9">
                  <c:v>0</c:v>
                </c:pt>
                <c:pt idx="10">
                  <c:v>0</c:v>
                </c:pt>
                <c:pt idx="11">
                  <c:v>0</c:v>
                </c:pt>
                <c:pt idx="12">
                  <c:v>0</c:v>
                </c:pt>
                <c:pt idx="13">
                  <c:v>21.568571428571428</c:v>
                </c:pt>
              </c:numCache>
            </c:numRef>
          </c:val>
          <c:extLst>
            <c:ext xmlns:c16="http://schemas.microsoft.com/office/drawing/2014/chart" uri="{C3380CC4-5D6E-409C-BE32-E72D297353CC}">
              <c16:uniqueId val="{00000001-09D1-479D-85FE-A320325DA1E4}"/>
            </c:ext>
          </c:extLst>
        </c:ser>
        <c:ser>
          <c:idx val="2"/>
          <c:order val="2"/>
          <c:tx>
            <c:strRef>
              <c:f>'Material compositions overview'!$K$37</c:f>
              <c:strCache>
                <c:ptCount val="1"/>
                <c:pt idx="0">
                  <c:v>Glass (fibre)</c:v>
                </c:pt>
              </c:strCache>
            </c:strRef>
          </c:tx>
          <c:spPr>
            <a:solidFill>
              <a:schemeClr val="accent3"/>
            </a:solidFill>
            <a:ln>
              <a:noFill/>
            </a:ln>
            <a:effectLst/>
          </c:spPr>
          <c:invertIfNegative val="0"/>
          <c:cat>
            <c:strRef>
              <c:f>'Material compositions overview'!$H$38:$H$51</c:f>
              <c:strCache>
                <c:ptCount val="14"/>
                <c:pt idx="0">
                  <c:v>Armchair</c:v>
                </c:pt>
                <c:pt idx="1">
                  <c:v>Bar stool</c:v>
                </c:pt>
                <c:pt idx="2">
                  <c:v>Big closet</c:v>
                </c:pt>
                <c:pt idx="3">
                  <c:v>Office chair</c:v>
                </c:pt>
                <c:pt idx="4">
                  <c:v>Chair</c:v>
                </c:pt>
                <c:pt idx="5">
                  <c:v>Desk</c:v>
                </c:pt>
                <c:pt idx="6">
                  <c:v>Dining table</c:v>
                </c:pt>
                <c:pt idx="7">
                  <c:v>Small closet</c:v>
                </c:pt>
                <c:pt idx="8">
                  <c:v>(Double) bed</c:v>
                </c:pt>
                <c:pt idx="9">
                  <c:v>Mattress</c:v>
                </c:pt>
                <c:pt idx="10">
                  <c:v>Side table</c:v>
                </c:pt>
                <c:pt idx="11">
                  <c:v>Sofa</c:v>
                </c:pt>
                <c:pt idx="12">
                  <c:v>Stool</c:v>
                </c:pt>
                <c:pt idx="13">
                  <c:v>Container</c:v>
                </c:pt>
              </c:strCache>
            </c:strRef>
          </c:cat>
          <c:val>
            <c:numRef>
              <c:f>'Material compositions overview'!$K$38:$K$51</c:f>
              <c:numCache>
                <c:formatCode>General</c:formatCode>
                <c:ptCount val="14"/>
                <c:pt idx="0">
                  <c:v>0</c:v>
                </c:pt>
                <c:pt idx="1">
                  <c:v>0.05</c:v>
                </c:pt>
                <c:pt idx="2">
                  <c:v>0</c:v>
                </c:pt>
                <c:pt idx="3">
                  <c:v>0.64</c:v>
                </c:pt>
                <c:pt idx="4">
                  <c:v>0.38127272727272726</c:v>
                </c:pt>
                <c:pt idx="5">
                  <c:v>0</c:v>
                </c:pt>
                <c:pt idx="6">
                  <c:v>0</c:v>
                </c:pt>
                <c:pt idx="7">
                  <c:v>0</c:v>
                </c:pt>
                <c:pt idx="8">
                  <c:v>0</c:v>
                </c:pt>
                <c:pt idx="9">
                  <c:v>0</c:v>
                </c:pt>
                <c:pt idx="10">
                  <c:v>7.1805000000000003</c:v>
                </c:pt>
                <c:pt idx="11">
                  <c:v>0</c:v>
                </c:pt>
                <c:pt idx="12">
                  <c:v>0</c:v>
                </c:pt>
                <c:pt idx="13">
                  <c:v>0</c:v>
                </c:pt>
              </c:numCache>
            </c:numRef>
          </c:val>
          <c:extLst>
            <c:ext xmlns:c16="http://schemas.microsoft.com/office/drawing/2014/chart" uri="{C3380CC4-5D6E-409C-BE32-E72D297353CC}">
              <c16:uniqueId val="{00000002-09D1-479D-85FE-A320325DA1E4}"/>
            </c:ext>
          </c:extLst>
        </c:ser>
        <c:ser>
          <c:idx val="3"/>
          <c:order val="3"/>
          <c:tx>
            <c:strRef>
              <c:f>'Material compositions overview'!$L$37</c:f>
              <c:strCache>
                <c:ptCount val="1"/>
                <c:pt idx="0">
                  <c:v>Coatings</c:v>
                </c:pt>
              </c:strCache>
            </c:strRef>
          </c:tx>
          <c:spPr>
            <a:solidFill>
              <a:schemeClr val="accent4"/>
            </a:solidFill>
            <a:ln>
              <a:noFill/>
            </a:ln>
            <a:effectLst/>
          </c:spPr>
          <c:invertIfNegative val="0"/>
          <c:cat>
            <c:strRef>
              <c:f>'Material compositions overview'!$H$38:$H$51</c:f>
              <c:strCache>
                <c:ptCount val="14"/>
                <c:pt idx="0">
                  <c:v>Armchair</c:v>
                </c:pt>
                <c:pt idx="1">
                  <c:v>Bar stool</c:v>
                </c:pt>
                <c:pt idx="2">
                  <c:v>Big closet</c:v>
                </c:pt>
                <c:pt idx="3">
                  <c:v>Office chair</c:v>
                </c:pt>
                <c:pt idx="4">
                  <c:v>Chair</c:v>
                </c:pt>
                <c:pt idx="5">
                  <c:v>Desk</c:v>
                </c:pt>
                <c:pt idx="6">
                  <c:v>Dining table</c:v>
                </c:pt>
                <c:pt idx="7">
                  <c:v>Small closet</c:v>
                </c:pt>
                <c:pt idx="8">
                  <c:v>(Double) bed</c:v>
                </c:pt>
                <c:pt idx="9">
                  <c:v>Mattress</c:v>
                </c:pt>
                <c:pt idx="10">
                  <c:v>Side table</c:v>
                </c:pt>
                <c:pt idx="11">
                  <c:v>Sofa</c:v>
                </c:pt>
                <c:pt idx="12">
                  <c:v>Stool</c:v>
                </c:pt>
                <c:pt idx="13">
                  <c:v>Container</c:v>
                </c:pt>
              </c:strCache>
            </c:strRef>
          </c:cat>
          <c:val>
            <c:numRef>
              <c:f>'Material compositions overview'!$L$38:$L$51</c:f>
              <c:numCache>
                <c:formatCode>General</c:formatCode>
                <c:ptCount val="14"/>
                <c:pt idx="0">
                  <c:v>0.48000000000000004</c:v>
                </c:pt>
                <c:pt idx="1">
                  <c:v>0.05</c:v>
                </c:pt>
                <c:pt idx="2">
                  <c:v>4.9820000000000002</c:v>
                </c:pt>
                <c:pt idx="3">
                  <c:v>1.0333333333333333E-2</c:v>
                </c:pt>
                <c:pt idx="4">
                  <c:v>5.8545454545454546E-2</c:v>
                </c:pt>
                <c:pt idx="5">
                  <c:v>0.13333333333333333</c:v>
                </c:pt>
                <c:pt idx="6">
                  <c:v>1.1636</c:v>
                </c:pt>
                <c:pt idx="7">
                  <c:v>1.6992</c:v>
                </c:pt>
                <c:pt idx="8">
                  <c:v>0</c:v>
                </c:pt>
                <c:pt idx="9">
                  <c:v>0</c:v>
                </c:pt>
                <c:pt idx="10">
                  <c:v>0.31295812499999998</c:v>
                </c:pt>
                <c:pt idx="11">
                  <c:v>0.45021249999999996</c:v>
                </c:pt>
                <c:pt idx="12">
                  <c:v>6.5000000000000002E-2</c:v>
                </c:pt>
                <c:pt idx="13">
                  <c:v>0</c:v>
                </c:pt>
              </c:numCache>
            </c:numRef>
          </c:val>
          <c:extLst>
            <c:ext xmlns:c16="http://schemas.microsoft.com/office/drawing/2014/chart" uri="{C3380CC4-5D6E-409C-BE32-E72D297353CC}">
              <c16:uniqueId val="{00000003-09D1-479D-85FE-A320325DA1E4}"/>
            </c:ext>
          </c:extLst>
        </c:ser>
        <c:ser>
          <c:idx val="4"/>
          <c:order val="4"/>
          <c:tx>
            <c:strRef>
              <c:f>'Material compositions overview'!$M$37</c:f>
              <c:strCache>
                <c:ptCount val="1"/>
                <c:pt idx="0">
                  <c:v>MDF</c:v>
                </c:pt>
              </c:strCache>
            </c:strRef>
          </c:tx>
          <c:spPr>
            <a:solidFill>
              <a:schemeClr val="accent5"/>
            </a:solidFill>
            <a:ln>
              <a:noFill/>
            </a:ln>
            <a:effectLst/>
          </c:spPr>
          <c:invertIfNegative val="0"/>
          <c:cat>
            <c:strRef>
              <c:f>'Material compositions overview'!$H$38:$H$51</c:f>
              <c:strCache>
                <c:ptCount val="14"/>
                <c:pt idx="0">
                  <c:v>Armchair</c:v>
                </c:pt>
                <c:pt idx="1">
                  <c:v>Bar stool</c:v>
                </c:pt>
                <c:pt idx="2">
                  <c:v>Big closet</c:v>
                </c:pt>
                <c:pt idx="3">
                  <c:v>Office chair</c:v>
                </c:pt>
                <c:pt idx="4">
                  <c:v>Chair</c:v>
                </c:pt>
                <c:pt idx="5">
                  <c:v>Desk</c:v>
                </c:pt>
                <c:pt idx="6">
                  <c:v>Dining table</c:v>
                </c:pt>
                <c:pt idx="7">
                  <c:v>Small closet</c:v>
                </c:pt>
                <c:pt idx="8">
                  <c:v>(Double) bed</c:v>
                </c:pt>
                <c:pt idx="9">
                  <c:v>Mattress</c:v>
                </c:pt>
                <c:pt idx="10">
                  <c:v>Side table</c:v>
                </c:pt>
                <c:pt idx="11">
                  <c:v>Sofa</c:v>
                </c:pt>
                <c:pt idx="12">
                  <c:v>Stool</c:v>
                </c:pt>
                <c:pt idx="13">
                  <c:v>Container</c:v>
                </c:pt>
              </c:strCache>
            </c:strRef>
          </c:cat>
          <c:val>
            <c:numRef>
              <c:f>'Material compositions overview'!$M$38:$M$51</c:f>
              <c:numCache>
                <c:formatCode>General</c:formatCode>
                <c:ptCount val="14"/>
                <c:pt idx="0">
                  <c:v>0</c:v>
                </c:pt>
                <c:pt idx="1">
                  <c:v>0.47</c:v>
                </c:pt>
                <c:pt idx="2">
                  <c:v>112.85</c:v>
                </c:pt>
                <c:pt idx="3">
                  <c:v>0</c:v>
                </c:pt>
                <c:pt idx="4">
                  <c:v>0</c:v>
                </c:pt>
                <c:pt idx="5">
                  <c:v>0</c:v>
                </c:pt>
                <c:pt idx="6">
                  <c:v>0</c:v>
                </c:pt>
                <c:pt idx="7">
                  <c:v>0</c:v>
                </c:pt>
                <c:pt idx="8">
                  <c:v>94.581466666666685</c:v>
                </c:pt>
                <c:pt idx="9">
                  <c:v>0</c:v>
                </c:pt>
                <c:pt idx="10">
                  <c:v>3.5648</c:v>
                </c:pt>
                <c:pt idx="11">
                  <c:v>15.6525</c:v>
                </c:pt>
                <c:pt idx="12">
                  <c:v>0</c:v>
                </c:pt>
                <c:pt idx="13">
                  <c:v>0</c:v>
                </c:pt>
              </c:numCache>
            </c:numRef>
          </c:val>
          <c:extLst>
            <c:ext xmlns:c16="http://schemas.microsoft.com/office/drawing/2014/chart" uri="{C3380CC4-5D6E-409C-BE32-E72D297353CC}">
              <c16:uniqueId val="{00000004-09D1-479D-85FE-A320325DA1E4}"/>
            </c:ext>
          </c:extLst>
        </c:ser>
        <c:ser>
          <c:idx val="5"/>
          <c:order val="5"/>
          <c:tx>
            <c:strRef>
              <c:f>'Material compositions overview'!$N$37</c:f>
              <c:strCache>
                <c:ptCount val="1"/>
                <c:pt idx="0">
                  <c:v>Metals excl. Steel &amp; Aluminium</c:v>
                </c:pt>
              </c:strCache>
            </c:strRef>
          </c:tx>
          <c:spPr>
            <a:solidFill>
              <a:schemeClr val="accent6"/>
            </a:solidFill>
            <a:ln>
              <a:noFill/>
            </a:ln>
            <a:effectLst/>
          </c:spPr>
          <c:invertIfNegative val="0"/>
          <c:cat>
            <c:strRef>
              <c:f>'Material compositions overview'!$H$38:$H$51</c:f>
              <c:strCache>
                <c:ptCount val="14"/>
                <c:pt idx="0">
                  <c:v>Armchair</c:v>
                </c:pt>
                <c:pt idx="1">
                  <c:v>Bar stool</c:v>
                </c:pt>
                <c:pt idx="2">
                  <c:v>Big closet</c:v>
                </c:pt>
                <c:pt idx="3">
                  <c:v>Office chair</c:v>
                </c:pt>
                <c:pt idx="4">
                  <c:v>Chair</c:v>
                </c:pt>
                <c:pt idx="5">
                  <c:v>Desk</c:v>
                </c:pt>
                <c:pt idx="6">
                  <c:v>Dining table</c:v>
                </c:pt>
                <c:pt idx="7">
                  <c:v>Small closet</c:v>
                </c:pt>
                <c:pt idx="8">
                  <c:v>(Double) bed</c:v>
                </c:pt>
                <c:pt idx="9">
                  <c:v>Mattress</c:v>
                </c:pt>
                <c:pt idx="10">
                  <c:v>Side table</c:v>
                </c:pt>
                <c:pt idx="11">
                  <c:v>Sofa</c:v>
                </c:pt>
                <c:pt idx="12">
                  <c:v>Stool</c:v>
                </c:pt>
                <c:pt idx="13">
                  <c:v>Container</c:v>
                </c:pt>
              </c:strCache>
            </c:strRef>
          </c:cat>
          <c:val>
            <c:numRef>
              <c:f>'Material compositions overview'!$N$38:$N$51</c:f>
              <c:numCache>
                <c:formatCode>General</c:formatCode>
                <c:ptCount val="14"/>
                <c:pt idx="0">
                  <c:v>2.08</c:v>
                </c:pt>
                <c:pt idx="1">
                  <c:v>0.01</c:v>
                </c:pt>
                <c:pt idx="2">
                  <c:v>0</c:v>
                </c:pt>
                <c:pt idx="3">
                  <c:v>5.1666666666666666E-3</c:v>
                </c:pt>
                <c:pt idx="4">
                  <c:v>1.4727272727272728E-2</c:v>
                </c:pt>
                <c:pt idx="5">
                  <c:v>0</c:v>
                </c:pt>
                <c:pt idx="6">
                  <c:v>1.0204</c:v>
                </c:pt>
                <c:pt idx="7">
                  <c:v>0.16699999999999998</c:v>
                </c:pt>
                <c:pt idx="8">
                  <c:v>0</c:v>
                </c:pt>
                <c:pt idx="9">
                  <c:v>1.1428571428571429E-2</c:v>
                </c:pt>
                <c:pt idx="10">
                  <c:v>5.6375000000000001E-2</c:v>
                </c:pt>
                <c:pt idx="11">
                  <c:v>0.32824999999999999</c:v>
                </c:pt>
                <c:pt idx="12">
                  <c:v>0.01</c:v>
                </c:pt>
                <c:pt idx="13">
                  <c:v>9.0571428571428567E-2</c:v>
                </c:pt>
              </c:numCache>
            </c:numRef>
          </c:val>
          <c:extLst>
            <c:ext xmlns:c16="http://schemas.microsoft.com/office/drawing/2014/chart" uri="{C3380CC4-5D6E-409C-BE32-E72D297353CC}">
              <c16:uniqueId val="{00000005-09D1-479D-85FE-A320325DA1E4}"/>
            </c:ext>
          </c:extLst>
        </c:ser>
        <c:ser>
          <c:idx val="6"/>
          <c:order val="6"/>
          <c:tx>
            <c:strRef>
              <c:f>'Material compositions overview'!$O$37</c:f>
              <c:strCache>
                <c:ptCount val="1"/>
                <c:pt idx="0">
                  <c:v>Paper &amp; Cardboard</c:v>
                </c:pt>
              </c:strCache>
            </c:strRef>
          </c:tx>
          <c:spPr>
            <a:solidFill>
              <a:schemeClr val="accent1">
                <a:lumMod val="60000"/>
              </a:schemeClr>
            </a:solidFill>
            <a:ln>
              <a:noFill/>
            </a:ln>
            <a:effectLst/>
          </c:spPr>
          <c:invertIfNegative val="0"/>
          <c:cat>
            <c:strRef>
              <c:f>'Material compositions overview'!$H$38:$H$51</c:f>
              <c:strCache>
                <c:ptCount val="14"/>
                <c:pt idx="0">
                  <c:v>Armchair</c:v>
                </c:pt>
                <c:pt idx="1">
                  <c:v>Bar stool</c:v>
                </c:pt>
                <c:pt idx="2">
                  <c:v>Big closet</c:v>
                </c:pt>
                <c:pt idx="3">
                  <c:v>Office chair</c:v>
                </c:pt>
                <c:pt idx="4">
                  <c:v>Chair</c:v>
                </c:pt>
                <c:pt idx="5">
                  <c:v>Desk</c:v>
                </c:pt>
                <c:pt idx="6">
                  <c:v>Dining table</c:v>
                </c:pt>
                <c:pt idx="7">
                  <c:v>Small closet</c:v>
                </c:pt>
                <c:pt idx="8">
                  <c:v>(Double) bed</c:v>
                </c:pt>
                <c:pt idx="9">
                  <c:v>Mattress</c:v>
                </c:pt>
                <c:pt idx="10">
                  <c:v>Side table</c:v>
                </c:pt>
                <c:pt idx="11">
                  <c:v>Sofa</c:v>
                </c:pt>
                <c:pt idx="12">
                  <c:v>Stool</c:v>
                </c:pt>
                <c:pt idx="13">
                  <c:v>Container</c:v>
                </c:pt>
              </c:strCache>
            </c:strRef>
          </c:cat>
          <c:val>
            <c:numRef>
              <c:f>'Material compositions overview'!$O$38:$O$51</c:f>
              <c:numCache>
                <c:formatCode>General</c:formatCode>
                <c:ptCount val="14"/>
                <c:pt idx="0">
                  <c:v>0.27</c:v>
                </c:pt>
                <c:pt idx="1">
                  <c:v>0</c:v>
                </c:pt>
                <c:pt idx="2">
                  <c:v>4.7080000000000002</c:v>
                </c:pt>
                <c:pt idx="3">
                  <c:v>0</c:v>
                </c:pt>
                <c:pt idx="4">
                  <c:v>0</c:v>
                </c:pt>
                <c:pt idx="5">
                  <c:v>1.9800000000000002</c:v>
                </c:pt>
                <c:pt idx="6">
                  <c:v>0</c:v>
                </c:pt>
                <c:pt idx="7">
                  <c:v>0.39400000000000002</c:v>
                </c:pt>
                <c:pt idx="8">
                  <c:v>0.41899999999999998</c:v>
                </c:pt>
                <c:pt idx="9">
                  <c:v>0.54714285714285715</c:v>
                </c:pt>
                <c:pt idx="10">
                  <c:v>0.32074999999999998</c:v>
                </c:pt>
                <c:pt idx="11">
                  <c:v>0.85624999999999996</c:v>
                </c:pt>
                <c:pt idx="12">
                  <c:v>0</c:v>
                </c:pt>
                <c:pt idx="13">
                  <c:v>0</c:v>
                </c:pt>
              </c:numCache>
            </c:numRef>
          </c:val>
          <c:extLst>
            <c:ext xmlns:c16="http://schemas.microsoft.com/office/drawing/2014/chart" uri="{C3380CC4-5D6E-409C-BE32-E72D297353CC}">
              <c16:uniqueId val="{00000006-09D1-479D-85FE-A320325DA1E4}"/>
            </c:ext>
          </c:extLst>
        </c:ser>
        <c:ser>
          <c:idx val="7"/>
          <c:order val="7"/>
          <c:tx>
            <c:strRef>
              <c:f>'Material compositions overview'!$P$37</c:f>
              <c:strCache>
                <c:ptCount val="1"/>
                <c:pt idx="0">
                  <c:v>Plastics</c:v>
                </c:pt>
              </c:strCache>
            </c:strRef>
          </c:tx>
          <c:spPr>
            <a:solidFill>
              <a:schemeClr val="accent2">
                <a:lumMod val="60000"/>
              </a:schemeClr>
            </a:solidFill>
            <a:ln>
              <a:noFill/>
            </a:ln>
            <a:effectLst/>
          </c:spPr>
          <c:invertIfNegative val="0"/>
          <c:cat>
            <c:strRef>
              <c:f>'Material compositions overview'!$H$38:$H$51</c:f>
              <c:strCache>
                <c:ptCount val="14"/>
                <c:pt idx="0">
                  <c:v>Armchair</c:v>
                </c:pt>
                <c:pt idx="1">
                  <c:v>Bar stool</c:v>
                </c:pt>
                <c:pt idx="2">
                  <c:v>Big closet</c:v>
                </c:pt>
                <c:pt idx="3">
                  <c:v>Office chair</c:v>
                </c:pt>
                <c:pt idx="4">
                  <c:v>Chair</c:v>
                </c:pt>
                <c:pt idx="5">
                  <c:v>Desk</c:v>
                </c:pt>
                <c:pt idx="6">
                  <c:v>Dining table</c:v>
                </c:pt>
                <c:pt idx="7">
                  <c:v>Small closet</c:v>
                </c:pt>
                <c:pt idx="8">
                  <c:v>(Double) bed</c:v>
                </c:pt>
                <c:pt idx="9">
                  <c:v>Mattress</c:v>
                </c:pt>
                <c:pt idx="10">
                  <c:v>Side table</c:v>
                </c:pt>
                <c:pt idx="11">
                  <c:v>Sofa</c:v>
                </c:pt>
                <c:pt idx="12">
                  <c:v>Stool</c:v>
                </c:pt>
                <c:pt idx="13">
                  <c:v>Container</c:v>
                </c:pt>
              </c:strCache>
            </c:strRef>
          </c:cat>
          <c:val>
            <c:numRef>
              <c:f>'Material compositions overview'!$P$38:$P$51</c:f>
              <c:numCache>
                <c:formatCode>General</c:formatCode>
                <c:ptCount val="14"/>
                <c:pt idx="0">
                  <c:v>6.8046666666666669</c:v>
                </c:pt>
                <c:pt idx="1">
                  <c:v>0.98499999999999999</c:v>
                </c:pt>
                <c:pt idx="2">
                  <c:v>6.2451999999999996</c:v>
                </c:pt>
                <c:pt idx="3">
                  <c:v>6.4289999999999994</c:v>
                </c:pt>
                <c:pt idx="4">
                  <c:v>2.7678181818181824</c:v>
                </c:pt>
                <c:pt idx="5">
                  <c:v>1.4563333333333333</c:v>
                </c:pt>
                <c:pt idx="6">
                  <c:v>3.2000000000000002E-3</c:v>
                </c:pt>
                <c:pt idx="7">
                  <c:v>0.53139999999999998</c:v>
                </c:pt>
                <c:pt idx="8">
                  <c:v>2.8556666666666666</c:v>
                </c:pt>
                <c:pt idx="9">
                  <c:v>13.039142857142858</c:v>
                </c:pt>
                <c:pt idx="10">
                  <c:v>0.10912500000000001</c:v>
                </c:pt>
                <c:pt idx="11">
                  <c:v>13.831375000000001</c:v>
                </c:pt>
                <c:pt idx="12">
                  <c:v>0</c:v>
                </c:pt>
                <c:pt idx="13">
                  <c:v>0.4048571428571428</c:v>
                </c:pt>
              </c:numCache>
            </c:numRef>
          </c:val>
          <c:extLst>
            <c:ext xmlns:c16="http://schemas.microsoft.com/office/drawing/2014/chart" uri="{C3380CC4-5D6E-409C-BE32-E72D297353CC}">
              <c16:uniqueId val="{00000007-09D1-479D-85FE-A320325DA1E4}"/>
            </c:ext>
          </c:extLst>
        </c:ser>
        <c:ser>
          <c:idx val="8"/>
          <c:order val="8"/>
          <c:tx>
            <c:strRef>
              <c:f>'Material compositions overview'!$Q$37</c:f>
              <c:strCache>
                <c:ptCount val="1"/>
                <c:pt idx="0">
                  <c:v>Steel</c:v>
                </c:pt>
              </c:strCache>
            </c:strRef>
          </c:tx>
          <c:spPr>
            <a:solidFill>
              <a:schemeClr val="accent3">
                <a:lumMod val="60000"/>
              </a:schemeClr>
            </a:solidFill>
            <a:ln>
              <a:noFill/>
            </a:ln>
            <a:effectLst/>
          </c:spPr>
          <c:invertIfNegative val="0"/>
          <c:cat>
            <c:strRef>
              <c:f>'Material compositions overview'!$H$38:$H$51</c:f>
              <c:strCache>
                <c:ptCount val="14"/>
                <c:pt idx="0">
                  <c:v>Armchair</c:v>
                </c:pt>
                <c:pt idx="1">
                  <c:v>Bar stool</c:v>
                </c:pt>
                <c:pt idx="2">
                  <c:v>Big closet</c:v>
                </c:pt>
                <c:pt idx="3">
                  <c:v>Office chair</c:v>
                </c:pt>
                <c:pt idx="4">
                  <c:v>Chair</c:v>
                </c:pt>
                <c:pt idx="5">
                  <c:v>Desk</c:v>
                </c:pt>
                <c:pt idx="6">
                  <c:v>Dining table</c:v>
                </c:pt>
                <c:pt idx="7">
                  <c:v>Small closet</c:v>
                </c:pt>
                <c:pt idx="8">
                  <c:v>(Double) bed</c:v>
                </c:pt>
                <c:pt idx="9">
                  <c:v>Mattress</c:v>
                </c:pt>
                <c:pt idx="10">
                  <c:v>Side table</c:v>
                </c:pt>
                <c:pt idx="11">
                  <c:v>Sofa</c:v>
                </c:pt>
                <c:pt idx="12">
                  <c:v>Stool</c:v>
                </c:pt>
                <c:pt idx="13">
                  <c:v>Container</c:v>
                </c:pt>
              </c:strCache>
            </c:strRef>
          </c:cat>
          <c:val>
            <c:numRef>
              <c:f>'Material compositions overview'!$Q$38:$Q$51</c:f>
              <c:numCache>
                <c:formatCode>General</c:formatCode>
                <c:ptCount val="14"/>
                <c:pt idx="0">
                  <c:v>6.1943333333333328</c:v>
                </c:pt>
                <c:pt idx="1">
                  <c:v>4.6050000000000004</c:v>
                </c:pt>
                <c:pt idx="2">
                  <c:v>19.6128</c:v>
                </c:pt>
                <c:pt idx="3">
                  <c:v>4.4999999999999991</c:v>
                </c:pt>
                <c:pt idx="4">
                  <c:v>1.6883636363636365</c:v>
                </c:pt>
                <c:pt idx="5">
                  <c:v>21.99133333333333</c:v>
                </c:pt>
                <c:pt idx="6">
                  <c:v>2.6000000000000002E-2</c:v>
                </c:pt>
                <c:pt idx="7">
                  <c:v>34.292000000000002</c:v>
                </c:pt>
                <c:pt idx="8">
                  <c:v>9.9433333333333334</c:v>
                </c:pt>
                <c:pt idx="9">
                  <c:v>11.813714285714285</c:v>
                </c:pt>
                <c:pt idx="10">
                  <c:v>2.7328749999999999</c:v>
                </c:pt>
                <c:pt idx="11">
                  <c:v>9.9746250000000014</c:v>
                </c:pt>
                <c:pt idx="12">
                  <c:v>0</c:v>
                </c:pt>
                <c:pt idx="13">
                  <c:v>41.31</c:v>
                </c:pt>
              </c:numCache>
            </c:numRef>
          </c:val>
          <c:extLst>
            <c:ext xmlns:c16="http://schemas.microsoft.com/office/drawing/2014/chart" uri="{C3380CC4-5D6E-409C-BE32-E72D297353CC}">
              <c16:uniqueId val="{00000008-09D1-479D-85FE-A320325DA1E4}"/>
            </c:ext>
          </c:extLst>
        </c:ser>
        <c:ser>
          <c:idx val="9"/>
          <c:order val="9"/>
          <c:tx>
            <c:strRef>
              <c:f>'Material compositions overview'!$R$37</c:f>
              <c:strCache>
                <c:ptCount val="1"/>
                <c:pt idx="0">
                  <c:v>Textiles &amp; Leather</c:v>
                </c:pt>
              </c:strCache>
            </c:strRef>
          </c:tx>
          <c:spPr>
            <a:solidFill>
              <a:schemeClr val="accent4">
                <a:lumMod val="60000"/>
              </a:schemeClr>
            </a:solidFill>
            <a:ln>
              <a:noFill/>
            </a:ln>
            <a:effectLst/>
          </c:spPr>
          <c:invertIfNegative val="0"/>
          <c:cat>
            <c:strRef>
              <c:f>'Material compositions overview'!$H$38:$H$51</c:f>
              <c:strCache>
                <c:ptCount val="14"/>
                <c:pt idx="0">
                  <c:v>Armchair</c:v>
                </c:pt>
                <c:pt idx="1">
                  <c:v>Bar stool</c:v>
                </c:pt>
                <c:pt idx="2">
                  <c:v>Big closet</c:v>
                </c:pt>
                <c:pt idx="3">
                  <c:v>Office chair</c:v>
                </c:pt>
                <c:pt idx="4">
                  <c:v>Chair</c:v>
                </c:pt>
                <c:pt idx="5">
                  <c:v>Desk</c:v>
                </c:pt>
                <c:pt idx="6">
                  <c:v>Dining table</c:v>
                </c:pt>
                <c:pt idx="7">
                  <c:v>Small closet</c:v>
                </c:pt>
                <c:pt idx="8">
                  <c:v>(Double) bed</c:v>
                </c:pt>
                <c:pt idx="9">
                  <c:v>Mattress</c:v>
                </c:pt>
                <c:pt idx="10">
                  <c:v>Side table</c:v>
                </c:pt>
                <c:pt idx="11">
                  <c:v>Sofa</c:v>
                </c:pt>
                <c:pt idx="12">
                  <c:v>Stool</c:v>
                </c:pt>
                <c:pt idx="13">
                  <c:v>Container</c:v>
                </c:pt>
              </c:strCache>
            </c:strRef>
          </c:cat>
          <c:val>
            <c:numRef>
              <c:f>'Material compositions overview'!$R$38:$R$51</c:f>
              <c:numCache>
                <c:formatCode>General</c:formatCode>
                <c:ptCount val="14"/>
                <c:pt idx="0">
                  <c:v>1.5799999999999998</c:v>
                </c:pt>
                <c:pt idx="1">
                  <c:v>0.30500000000000005</c:v>
                </c:pt>
                <c:pt idx="2">
                  <c:v>0</c:v>
                </c:pt>
                <c:pt idx="3">
                  <c:v>0.11266666666666668</c:v>
                </c:pt>
                <c:pt idx="4">
                  <c:v>0.16909090909090907</c:v>
                </c:pt>
                <c:pt idx="5">
                  <c:v>0</c:v>
                </c:pt>
                <c:pt idx="6">
                  <c:v>0</c:v>
                </c:pt>
                <c:pt idx="7">
                  <c:v>0</c:v>
                </c:pt>
                <c:pt idx="8">
                  <c:v>0.66999999999999993</c:v>
                </c:pt>
                <c:pt idx="9">
                  <c:v>5.9984285714285717</c:v>
                </c:pt>
                <c:pt idx="10">
                  <c:v>1.7999999999999999E-2</c:v>
                </c:pt>
                <c:pt idx="11">
                  <c:v>2.7837499999999999</c:v>
                </c:pt>
                <c:pt idx="12">
                  <c:v>0.14500000000000002</c:v>
                </c:pt>
                <c:pt idx="13">
                  <c:v>0</c:v>
                </c:pt>
              </c:numCache>
            </c:numRef>
          </c:val>
          <c:extLst>
            <c:ext xmlns:c16="http://schemas.microsoft.com/office/drawing/2014/chart" uri="{C3380CC4-5D6E-409C-BE32-E72D297353CC}">
              <c16:uniqueId val="{00000009-09D1-479D-85FE-A320325DA1E4}"/>
            </c:ext>
          </c:extLst>
        </c:ser>
        <c:ser>
          <c:idx val="10"/>
          <c:order val="10"/>
          <c:tx>
            <c:strRef>
              <c:f>'Material compositions overview'!$S$37</c:f>
              <c:strCache>
                <c:ptCount val="1"/>
                <c:pt idx="0">
                  <c:v>Wood</c:v>
                </c:pt>
              </c:strCache>
            </c:strRef>
          </c:tx>
          <c:spPr>
            <a:solidFill>
              <a:schemeClr val="accent5">
                <a:lumMod val="60000"/>
              </a:schemeClr>
            </a:solidFill>
            <a:ln>
              <a:noFill/>
            </a:ln>
            <a:effectLst/>
          </c:spPr>
          <c:invertIfNegative val="0"/>
          <c:cat>
            <c:strRef>
              <c:f>'Material compositions overview'!$H$38:$H$51</c:f>
              <c:strCache>
                <c:ptCount val="14"/>
                <c:pt idx="0">
                  <c:v>Armchair</c:v>
                </c:pt>
                <c:pt idx="1">
                  <c:v>Bar stool</c:v>
                </c:pt>
                <c:pt idx="2">
                  <c:v>Big closet</c:v>
                </c:pt>
                <c:pt idx="3">
                  <c:v>Office chair</c:v>
                </c:pt>
                <c:pt idx="4">
                  <c:v>Chair</c:v>
                </c:pt>
                <c:pt idx="5">
                  <c:v>Desk</c:v>
                </c:pt>
                <c:pt idx="6">
                  <c:v>Dining table</c:v>
                </c:pt>
                <c:pt idx="7">
                  <c:v>Small closet</c:v>
                </c:pt>
                <c:pt idx="8">
                  <c:v>(Double) bed</c:v>
                </c:pt>
                <c:pt idx="9">
                  <c:v>Mattress</c:v>
                </c:pt>
                <c:pt idx="10">
                  <c:v>Side table</c:v>
                </c:pt>
                <c:pt idx="11">
                  <c:v>Sofa</c:v>
                </c:pt>
                <c:pt idx="12">
                  <c:v>Stool</c:v>
                </c:pt>
                <c:pt idx="13">
                  <c:v>Container</c:v>
                </c:pt>
              </c:strCache>
            </c:strRef>
          </c:cat>
          <c:val>
            <c:numRef>
              <c:f>'Material compositions overview'!$S$38:$S$51</c:f>
              <c:numCache>
                <c:formatCode>General</c:formatCode>
                <c:ptCount val="14"/>
                <c:pt idx="0">
                  <c:v>4.57</c:v>
                </c:pt>
                <c:pt idx="1">
                  <c:v>2.1850000000000001</c:v>
                </c:pt>
                <c:pt idx="2">
                  <c:v>27</c:v>
                </c:pt>
                <c:pt idx="3">
                  <c:v>0</c:v>
                </c:pt>
                <c:pt idx="4">
                  <c:v>1.078090909090909</c:v>
                </c:pt>
                <c:pt idx="5">
                  <c:v>10.733333333333334</c:v>
                </c:pt>
                <c:pt idx="6">
                  <c:v>56.796000000000006</c:v>
                </c:pt>
                <c:pt idx="7">
                  <c:v>11.200000000000001</c:v>
                </c:pt>
                <c:pt idx="8">
                  <c:v>0</c:v>
                </c:pt>
                <c:pt idx="9">
                  <c:v>2.6285714285714286</c:v>
                </c:pt>
                <c:pt idx="10">
                  <c:v>9.3149999999999995</c:v>
                </c:pt>
                <c:pt idx="11">
                  <c:v>14.10862</c:v>
                </c:pt>
                <c:pt idx="12">
                  <c:v>4.8600000000000003</c:v>
                </c:pt>
                <c:pt idx="13">
                  <c:v>0</c:v>
                </c:pt>
              </c:numCache>
            </c:numRef>
          </c:val>
          <c:extLst>
            <c:ext xmlns:c16="http://schemas.microsoft.com/office/drawing/2014/chart" uri="{C3380CC4-5D6E-409C-BE32-E72D297353CC}">
              <c16:uniqueId val="{0000000A-09D1-479D-85FE-A320325DA1E4}"/>
            </c:ext>
          </c:extLst>
        </c:ser>
        <c:dLbls>
          <c:showLegendKey val="0"/>
          <c:showVal val="0"/>
          <c:showCatName val="0"/>
          <c:showSerName val="0"/>
          <c:showPercent val="0"/>
          <c:showBubbleSize val="0"/>
        </c:dLbls>
        <c:gapWidth val="150"/>
        <c:overlap val="100"/>
        <c:axId val="1274312239"/>
        <c:axId val="1274307663"/>
      </c:barChart>
      <c:catAx>
        <c:axId val="12743122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274307663"/>
        <c:crosses val="autoZero"/>
        <c:auto val="1"/>
        <c:lblAlgn val="ctr"/>
        <c:lblOffset val="100"/>
        <c:noMultiLvlLbl val="0"/>
      </c:catAx>
      <c:valAx>
        <c:axId val="127430766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27431223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Small closet material composition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60C-4278-A1E6-2436E838414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60C-4278-A1E6-2436E838414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7-260C-4278-A1E6-2436E838414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9-260C-4278-A1E6-2436E838414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B-260C-4278-A1E6-2436E838414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D-260C-4278-A1E6-2436E8384145}"/>
              </c:ext>
            </c:extLst>
          </c:dPt>
          <c:dLbls>
            <c:dLbl>
              <c:idx val="3"/>
              <c:layout>
                <c:manualLayout>
                  <c:x val="6.9779400780268725E-3"/>
                  <c:y val="1.1100576400556342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260C-4278-A1E6-2436E838414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'Small closet'!$T$2:$T$12</c15:sqref>
                  </c15:fullRef>
                </c:ext>
              </c:extLst>
              <c:f>('Small closet'!$T$3,'Small closet'!$T$5,'Small closet'!$T$8:$T$10,'Small closet'!$T$12)</c:f>
              <c:strCache>
                <c:ptCount val="6"/>
                <c:pt idx="0">
                  <c:v>Concrete</c:v>
                </c:pt>
                <c:pt idx="1">
                  <c:v>Coatings</c:v>
                </c:pt>
                <c:pt idx="2">
                  <c:v>Paper &amp; Cardboard</c:v>
                </c:pt>
                <c:pt idx="3">
                  <c:v>Plastics</c:v>
                </c:pt>
                <c:pt idx="4">
                  <c:v>Steel</c:v>
                </c:pt>
                <c:pt idx="5">
                  <c:v>Wood</c:v>
                </c:pt>
              </c:strCache>
            </c:strRef>
          </c:cat>
          <c:val>
            <c:numRef>
              <c:extLst>
                <c:ext xmlns:c15="http://schemas.microsoft.com/office/drawing/2012/chart" uri="{02D57815-91ED-43cb-92C2-25804820EDAC}">
                  <c15:fullRef>
                    <c15:sqref>'Small closet'!$U$2:$U$12</c15:sqref>
                  </c15:fullRef>
                </c:ext>
              </c:extLst>
              <c:f>('Small closet'!$U$3,'Small closet'!$U$5,'Small closet'!$U$8:$U$10,'Small closet'!$U$12)</c:f>
              <c:numCache>
                <c:formatCode>General</c:formatCode>
                <c:ptCount val="6"/>
                <c:pt idx="0">
                  <c:v>3.5159999999999996</c:v>
                </c:pt>
                <c:pt idx="1">
                  <c:v>1.6992</c:v>
                </c:pt>
                <c:pt idx="2">
                  <c:v>0.39400000000000002</c:v>
                </c:pt>
                <c:pt idx="3">
                  <c:v>0.53139999999999998</c:v>
                </c:pt>
                <c:pt idx="4">
                  <c:v>34.292000000000002</c:v>
                </c:pt>
                <c:pt idx="5">
                  <c:v>11.200000000000001</c:v>
                </c:pt>
              </c:numCache>
            </c:numRef>
          </c:val>
          <c:extLst>
            <c:ext xmlns:c15="http://schemas.microsoft.com/office/drawing/2012/chart" uri="{02D57815-91ED-43cb-92C2-25804820EDAC}">
              <c15:categoryFilterExceptions>
                <c15:categoryFilterException>
                  <c15:sqref>'Small closet'!$U$2</c15:sqref>
                  <c15:dLbl>
                    <c:idx val="-1"/>
                    <c:layout>
                      <c:manualLayout>
                        <c:x val="0.44486694664389448"/>
                        <c:y val="0.13247567808534544"/>
                      </c:manualLayout>
                    </c:layout>
                    <c:dLblPos val="bestFit"/>
                    <c:showLegendKey val="0"/>
                    <c:showVal val="0"/>
                    <c:showCatName val="0"/>
                    <c:showSerName val="0"/>
                    <c:showPercent val="1"/>
                    <c:showBubbleSize val="0"/>
                    <c:extLst>
                      <c:ext uri="{CE6537A1-D6FC-4f65-9D91-7224C49458BB}"/>
                      <c:ext xmlns:c16="http://schemas.microsoft.com/office/drawing/2014/chart" uri="{C3380CC4-5D6E-409C-BE32-E72D297353CC}">
                        <c16:uniqueId val="{0000000C-E56B-43D4-B3B0-CB05AC2F53D5}"/>
                      </c:ext>
                    </c:extLst>
                  </c15:dLbl>
                </c15:categoryFilterException>
                <c15:categoryFilterException>
                  <c15:sqref>'Small closet'!$U$4</c15:sqref>
                  <c15:dLbl>
                    <c:idx val="0"/>
                    <c:delete val="1"/>
                    <c:extLst>
                      <c:ext uri="{CE6537A1-D6FC-4f65-9D91-7224C49458BB}"/>
                      <c:ext xmlns:c16="http://schemas.microsoft.com/office/drawing/2014/chart" uri="{C3380CC4-5D6E-409C-BE32-E72D297353CC}">
                        <c16:uniqueId val="{0000000D-E56B-43D4-B3B0-CB05AC2F53D5}"/>
                      </c:ext>
                    </c:extLst>
                  </c15:dLbl>
                </c15:categoryFilterException>
                <c15:categoryFilterException>
                  <c15:sqref>'Small closet'!$U$6</c15:sqref>
                  <c15:dLbl>
                    <c:idx val="1"/>
                    <c:layout>
                      <c:manualLayout>
                        <c:x val="0.36712495290166952"/>
                        <c:y val="-9.3238039292474401E-2"/>
                      </c:manualLayout>
                    </c:layout>
                    <c:dLblPos val="bestFit"/>
                    <c:showLegendKey val="0"/>
                    <c:showVal val="0"/>
                    <c:showCatName val="0"/>
                    <c:showSerName val="0"/>
                    <c:showPercent val="1"/>
                    <c:showBubbleSize val="0"/>
                    <c:extLst>
                      <c:ext uri="{CE6537A1-D6FC-4f65-9D91-7224C49458BB}"/>
                      <c:ext xmlns:c16="http://schemas.microsoft.com/office/drawing/2014/chart" uri="{C3380CC4-5D6E-409C-BE32-E72D297353CC}">
                        <c16:uniqueId val="{0000000E-E56B-43D4-B3B0-CB05AC2F53D5}"/>
                      </c:ext>
                    </c:extLst>
                  </c15:dLbl>
                </c15:categoryFilterException>
                <c15:categoryFilterException>
                  <c15:sqref>'Small closet'!$U$7</c15:sqref>
                  <c15:spPr xmlns:c15="http://schemas.microsoft.com/office/drawing/2012/chart">
                    <a:solidFill>
                      <a:schemeClr val="accent6"/>
                    </a:solidFill>
                    <a:ln w="19050">
                      <a:solidFill>
                        <a:schemeClr val="lt1"/>
                      </a:solidFill>
                    </a:ln>
                    <a:effectLst/>
                  </c15:spPr>
                  <c15:bubble3D val="0"/>
                  <c15:dLbl>
                    <c:idx val="1"/>
                    <c:delete val="1"/>
                    <c:extLst>
                      <c:ext uri="{CE6537A1-D6FC-4f65-9D91-7224C49458BB}"/>
                      <c:ext xmlns:c16="http://schemas.microsoft.com/office/drawing/2014/chart" uri="{C3380CC4-5D6E-409C-BE32-E72D297353CC}">
                        <c16:uniqueId val="{00000010-E56B-43D4-B3B0-CB05AC2F53D5}"/>
                      </c:ext>
                    </c:extLst>
                  </c15:dLbl>
                </c15:categoryFilterException>
              </c15:categoryFilterExceptions>
            </c:ext>
            <c:ext xmlns:c16="http://schemas.microsoft.com/office/drawing/2014/chart" uri="{C3380CC4-5D6E-409C-BE32-E72D297353CC}">
              <c16:uniqueId val="{00000000-1129-42DF-8D01-9B8A4D8212B5}"/>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layout>
        <c:manualLayout>
          <c:xMode val="edge"/>
          <c:yMode val="edge"/>
          <c:x val="0.71143992086563757"/>
          <c:y val="0.32866520408829292"/>
          <c:w val="0.28856007913436249"/>
          <c:h val="0.4804661020883825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(Double) bed material composition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2DC-4489-9755-A9F45547AC4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2DC-4489-9755-A9F45547AC4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2DC-4489-9755-A9F45547AC4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2DC-4489-9755-A9F45547AC4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'(Double) bed'!$Q$2:$Q$12</c15:sqref>
                  </c15:fullRef>
                </c:ext>
              </c:extLst>
              <c:f>('(Double) bed'!$Q$6,'(Double) bed'!$Q$9:$Q$11)</c:f>
              <c:strCache>
                <c:ptCount val="4"/>
                <c:pt idx="0">
                  <c:v>MDF</c:v>
                </c:pt>
                <c:pt idx="1">
                  <c:v>Plastics</c:v>
                </c:pt>
                <c:pt idx="2">
                  <c:v>Steel</c:v>
                </c:pt>
                <c:pt idx="3">
                  <c:v>Textiles &amp; Leather</c:v>
                </c:pt>
              </c:strCache>
            </c:strRef>
          </c:cat>
          <c:val>
            <c:numRef>
              <c:extLst>
                <c:ext xmlns:c15="http://schemas.microsoft.com/office/drawing/2012/chart" uri="{02D57815-91ED-43cb-92C2-25804820EDAC}">
                  <c15:fullRef>
                    <c15:sqref>'(Double) bed'!$R$2:$R$12</c15:sqref>
                  </c15:fullRef>
                </c:ext>
              </c:extLst>
              <c:f>('(Double) bed'!$R$6,'(Double) bed'!$R$9:$R$11)</c:f>
              <c:numCache>
                <c:formatCode>General</c:formatCode>
                <c:ptCount val="4"/>
                <c:pt idx="0">
                  <c:v>94.581466666666685</c:v>
                </c:pt>
                <c:pt idx="1">
                  <c:v>2.8556666666666666</c:v>
                </c:pt>
                <c:pt idx="2">
                  <c:v>9.9433333333333334</c:v>
                </c:pt>
                <c:pt idx="3">
                  <c:v>0.66999999999999993</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0-2F40-444D-B23A-D15AF9ABBCF2}"/>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Side table material composition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84F-4B3C-9A95-3903DFB38B9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84F-4B3C-9A95-3903DFB38B9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84F-4B3C-9A95-3903DFB38B9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84F-4B3C-9A95-3903DFB38B9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2-212B-4F1C-A263-0BE4047C265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3-212B-4F1C-A263-0BE4047C265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484F-4B3C-9A95-3903DFB38B9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484F-4B3C-9A95-3903DFB38B9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484F-4B3C-9A95-3903DFB38B9B}"/>
              </c:ext>
            </c:extLst>
          </c:dPt>
          <c:dLbls>
            <c:dLbl>
              <c:idx val="4"/>
              <c:layout>
                <c:manualLayout>
                  <c:x val="6.3816369652552529E-3"/>
                  <c:y val="-2.2173407284536001E-16"/>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212B-4F1C-A263-0BE4047C265A}"/>
                </c:ext>
              </c:extLst>
            </c:dLbl>
            <c:dLbl>
              <c:idx val="5"/>
              <c:layout>
                <c:manualLayout>
                  <c:x val="-2.127212321751829E-3"/>
                  <c:y val="-1.1086703642268001E-16"/>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12B-4F1C-A263-0BE4047C265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'Side table'!$Q$2:$Q$12</c15:sqref>
                  </c15:fullRef>
                </c:ext>
              </c:extLst>
              <c:f>('Side table'!$Q$2,'Side table'!$Q$4:$Q$6,'Side table'!$Q$8:$Q$12)</c:f>
              <c:strCache>
                <c:ptCount val="9"/>
                <c:pt idx="0">
                  <c:v>Aluminium</c:v>
                </c:pt>
                <c:pt idx="1">
                  <c:v>Glass (fibre)</c:v>
                </c:pt>
                <c:pt idx="2">
                  <c:v>Coatings</c:v>
                </c:pt>
                <c:pt idx="3">
                  <c:v>MDF</c:v>
                </c:pt>
                <c:pt idx="4">
                  <c:v>Paper &amp; Cardboard</c:v>
                </c:pt>
                <c:pt idx="5">
                  <c:v>Plastics</c:v>
                </c:pt>
                <c:pt idx="6">
                  <c:v>Steel</c:v>
                </c:pt>
                <c:pt idx="7">
                  <c:v>Textiles &amp; Leather</c:v>
                </c:pt>
                <c:pt idx="8">
                  <c:v>Wood</c:v>
                </c:pt>
              </c:strCache>
            </c:strRef>
          </c:cat>
          <c:val>
            <c:numRef>
              <c:extLst>
                <c:ext xmlns:c15="http://schemas.microsoft.com/office/drawing/2012/chart" uri="{02D57815-91ED-43cb-92C2-25804820EDAC}">
                  <c15:fullRef>
                    <c15:sqref>'Side table'!$R$2:$R$12</c15:sqref>
                  </c15:fullRef>
                </c:ext>
              </c:extLst>
              <c:f>('Side table'!$R$2,'Side table'!$R$4:$R$6,'Side table'!$R$8:$R$12)</c:f>
              <c:numCache>
                <c:formatCode>General</c:formatCode>
                <c:ptCount val="9"/>
                <c:pt idx="0">
                  <c:v>0.23574999999999999</c:v>
                </c:pt>
                <c:pt idx="1">
                  <c:v>7.1805000000000003</c:v>
                </c:pt>
                <c:pt idx="2">
                  <c:v>0.31295812499999998</c:v>
                </c:pt>
                <c:pt idx="3">
                  <c:v>3.5648</c:v>
                </c:pt>
                <c:pt idx="4">
                  <c:v>0.32074999999999998</c:v>
                </c:pt>
                <c:pt idx="5">
                  <c:v>0.10912500000000001</c:v>
                </c:pt>
                <c:pt idx="6">
                  <c:v>2.7328749999999999</c:v>
                </c:pt>
                <c:pt idx="7">
                  <c:v>1.7999999999999999E-2</c:v>
                </c:pt>
                <c:pt idx="8">
                  <c:v>9.3149999999999995</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0-212B-4F1C-A263-0BE4047C265A}"/>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Sofa material composition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CB0-4E70-8370-7943F9AEE99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CB0-4E70-8370-7943F9AEE99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CB0-4E70-8370-7943F9AEE99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2-B4A6-4D9E-957E-5C2B32663E6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3-B4A6-4D9E-957E-5C2B32663E6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CB0-4E70-8370-7943F9AEE99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6CB0-4E70-8370-7943F9AEE99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6CB0-4E70-8370-7943F9AEE99E}"/>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6CB0-4E70-8370-7943F9AEE99E}"/>
              </c:ext>
            </c:extLst>
          </c:dPt>
          <c:dLbls>
            <c:dLbl>
              <c:idx val="3"/>
              <c:layout>
                <c:manualLayout>
                  <c:x val="2.7777777777777779E-3"/>
                  <c:y val="-1.3850415512465459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4A6-4D9E-957E-5C2B32663E6E}"/>
                </c:ext>
              </c:extLst>
            </c:dLbl>
            <c:dLbl>
              <c:idx val="4"/>
              <c:layout>
                <c:manualLayout>
                  <c:x val="-8.3333333333334356E-3"/>
                  <c:y val="1.3850415512465374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4A6-4D9E-957E-5C2B32663E6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Sofa!$Q$2:$Q$12</c15:sqref>
                  </c15:fullRef>
                </c:ext>
              </c:extLst>
              <c:f>(Sofa!$Q$2,Sofa!$Q$5:$Q$12)</c:f>
              <c:strCache>
                <c:ptCount val="9"/>
                <c:pt idx="0">
                  <c:v>Aluminium</c:v>
                </c:pt>
                <c:pt idx="1">
                  <c:v>Coatings</c:v>
                </c:pt>
                <c:pt idx="2">
                  <c:v>MDF</c:v>
                </c:pt>
                <c:pt idx="3">
                  <c:v>Metals excl. Steel &amp; Aluminium</c:v>
                </c:pt>
                <c:pt idx="4">
                  <c:v>Paper &amp; Cardboard</c:v>
                </c:pt>
                <c:pt idx="5">
                  <c:v>Plastics</c:v>
                </c:pt>
                <c:pt idx="6">
                  <c:v>Steel</c:v>
                </c:pt>
                <c:pt idx="7">
                  <c:v>Textiles &amp; Leather</c:v>
                </c:pt>
                <c:pt idx="8">
                  <c:v>Wood</c:v>
                </c:pt>
              </c:strCache>
            </c:strRef>
          </c:cat>
          <c:val>
            <c:numRef>
              <c:extLst>
                <c:ext xmlns:c15="http://schemas.microsoft.com/office/drawing/2012/chart" uri="{02D57815-91ED-43cb-92C2-25804820EDAC}">
                  <c15:fullRef>
                    <c15:sqref>Sofa!$R$2:$R$12</c15:sqref>
                  </c15:fullRef>
                </c:ext>
              </c:extLst>
              <c:f>(Sofa!$R$2,Sofa!$R$5:$R$12)</c:f>
              <c:numCache>
                <c:formatCode>General</c:formatCode>
                <c:ptCount val="9"/>
                <c:pt idx="0">
                  <c:v>4.5307499999999994</c:v>
                </c:pt>
                <c:pt idx="1">
                  <c:v>0.45021249999999996</c:v>
                </c:pt>
                <c:pt idx="2">
                  <c:v>15.6525</c:v>
                </c:pt>
                <c:pt idx="3">
                  <c:v>0.32824999999999999</c:v>
                </c:pt>
                <c:pt idx="4">
                  <c:v>0.85624999999999996</c:v>
                </c:pt>
                <c:pt idx="5">
                  <c:v>13.831375000000001</c:v>
                </c:pt>
                <c:pt idx="6">
                  <c:v>9.9746250000000014</c:v>
                </c:pt>
                <c:pt idx="7">
                  <c:v>2.7837499999999999</c:v>
                </c:pt>
                <c:pt idx="8">
                  <c:v>14.10862</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0-B4A6-4D9E-957E-5C2B32663E6E}"/>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Stool material composition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872-4A51-9CAF-D200983D706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872-4A51-9CAF-D200983D706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872-4A51-9CAF-D200983D706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Stool!$R$2:$R$12</c15:sqref>
                  </c15:fullRef>
                </c:ext>
              </c:extLst>
              <c:f>(Stool!$R$5,Stool!$R$11:$R$12)</c:f>
              <c:strCache>
                <c:ptCount val="3"/>
                <c:pt idx="0">
                  <c:v>Coatings</c:v>
                </c:pt>
                <c:pt idx="1">
                  <c:v>Textiles &amp; Leather</c:v>
                </c:pt>
                <c:pt idx="2">
                  <c:v>Wood</c:v>
                </c:pt>
              </c:strCache>
            </c:strRef>
          </c:cat>
          <c:val>
            <c:numRef>
              <c:extLst>
                <c:ext xmlns:c15="http://schemas.microsoft.com/office/drawing/2012/chart" uri="{02D57815-91ED-43cb-92C2-25804820EDAC}">
                  <c15:fullRef>
                    <c15:sqref>Stool!$S$2:$S$12</c15:sqref>
                  </c15:fullRef>
                </c:ext>
              </c:extLst>
              <c:f>(Stool!$S$5,Stool!$S$11:$S$12)</c:f>
              <c:numCache>
                <c:formatCode>General</c:formatCode>
                <c:ptCount val="3"/>
                <c:pt idx="0">
                  <c:v>6.5000000000000002E-2</c:v>
                </c:pt>
                <c:pt idx="1">
                  <c:v>0.14500000000000002</c:v>
                </c:pt>
                <c:pt idx="2">
                  <c:v>4.8600000000000003</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0-CCD0-4F48-80CA-480348FE63B7}"/>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Container material composition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906-4521-B155-B1304EEDA00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906-4521-B155-B1304EEDA00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906-4521-B155-B1304EEDA00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'Container_ Filing cabinet'!$T$2:$T$12</c15:sqref>
                  </c15:fullRef>
                </c:ext>
              </c:extLst>
              <c:f>('Container_ Filing cabinet'!$T$3,'Container_ Filing cabinet'!$T$9:$T$10)</c:f>
              <c:strCache>
                <c:ptCount val="3"/>
                <c:pt idx="0">
                  <c:v>Concrete</c:v>
                </c:pt>
                <c:pt idx="1">
                  <c:v>Plastics</c:v>
                </c:pt>
                <c:pt idx="2">
                  <c:v>Steel</c:v>
                </c:pt>
              </c:strCache>
            </c:strRef>
          </c:cat>
          <c:val>
            <c:numRef>
              <c:extLst>
                <c:ext xmlns:c15="http://schemas.microsoft.com/office/drawing/2012/chart" uri="{02D57815-91ED-43cb-92C2-25804820EDAC}">
                  <c15:fullRef>
                    <c15:sqref>'Container_ Filing cabinet'!$U$2:$U$12</c15:sqref>
                  </c15:fullRef>
                </c:ext>
              </c:extLst>
              <c:f>('Container_ Filing cabinet'!$U$3,'Container_ Filing cabinet'!$U$9:$U$10)</c:f>
              <c:numCache>
                <c:formatCode>General</c:formatCode>
                <c:ptCount val="3"/>
                <c:pt idx="0">
                  <c:v>21.568571428571428</c:v>
                </c:pt>
                <c:pt idx="1">
                  <c:v>0.4048571428571428</c:v>
                </c:pt>
                <c:pt idx="2">
                  <c:v>41.31</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0-3159-46DC-B95B-6D2A307DBABA}"/>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Armchair</a:t>
            </a:r>
            <a:r>
              <a:rPr lang="en-GB" baseline="0"/>
              <a:t> material composition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326-4DC4-A27F-55A3D47A366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326-4DC4-A27F-55A3D47A366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326-4DC4-A27F-55A3D47A366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326-4DC4-A27F-55A3D47A366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326-4DC4-A27F-55A3D47A366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326-4DC4-A27F-55A3D47A366F}"/>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2-AD82-40E1-B3D4-96FA665293B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3326-4DC4-A27F-55A3D47A366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Armchair!$P$2:$P$12</c15:sqref>
                  </c15:fullRef>
                </c:ext>
              </c:extLst>
              <c:f>(Armchair!$P$2,Armchair!$P$5,Armchair!$P$7:$P$12)</c:f>
              <c:strCache>
                <c:ptCount val="8"/>
                <c:pt idx="0">
                  <c:v>Aluminium</c:v>
                </c:pt>
                <c:pt idx="1">
                  <c:v>Coatings</c:v>
                </c:pt>
                <c:pt idx="2">
                  <c:v>Metals excl. Steel &amp; Aluminium</c:v>
                </c:pt>
                <c:pt idx="3">
                  <c:v>Paper &amp; Cardboard</c:v>
                </c:pt>
                <c:pt idx="4">
                  <c:v>Plastics</c:v>
                </c:pt>
                <c:pt idx="5">
                  <c:v>Steel</c:v>
                </c:pt>
                <c:pt idx="6">
                  <c:v>Textiles &amp; Leather</c:v>
                </c:pt>
                <c:pt idx="7">
                  <c:v>Wood</c:v>
                </c:pt>
              </c:strCache>
            </c:strRef>
          </c:cat>
          <c:val>
            <c:numRef>
              <c:extLst>
                <c:ext xmlns:c15="http://schemas.microsoft.com/office/drawing/2012/chart" uri="{02D57815-91ED-43cb-92C2-25804820EDAC}">
                  <c15:fullRef>
                    <c15:sqref>Armchair!$Q$2:$Q$12</c15:sqref>
                  </c15:fullRef>
                </c:ext>
              </c:extLst>
              <c:f>(Armchair!$Q$2,Armchair!$Q$5,Armchair!$Q$7:$Q$12)</c:f>
              <c:numCache>
                <c:formatCode>General</c:formatCode>
                <c:ptCount val="8"/>
                <c:pt idx="0">
                  <c:v>1.9833333333333334</c:v>
                </c:pt>
                <c:pt idx="1">
                  <c:v>0.48000000000000004</c:v>
                </c:pt>
                <c:pt idx="2">
                  <c:v>2.08</c:v>
                </c:pt>
                <c:pt idx="3">
                  <c:v>0.27</c:v>
                </c:pt>
                <c:pt idx="4">
                  <c:v>6.8046666666666669</c:v>
                </c:pt>
                <c:pt idx="5">
                  <c:v>6.1943333333333328</c:v>
                </c:pt>
                <c:pt idx="6">
                  <c:v>1.5799999999999998</c:v>
                </c:pt>
                <c:pt idx="7">
                  <c:v>4.57</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0-AD82-40E1-B3D4-96FA665293BA}"/>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layout>
        <c:manualLayout>
          <c:xMode val="edge"/>
          <c:yMode val="edge"/>
          <c:x val="0.71291744729912088"/>
          <c:y val="0.16225739948596388"/>
          <c:w val="0.27044361759272606"/>
          <c:h val="0.8239017700642090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Bar stool material composition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5-F276-4165-9848-80410E1677A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4-F276-4165-9848-80410E1677A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BA4-4304-981A-7AD37C7817F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BA4-4304-981A-7AD37C7817F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3-F276-4165-9848-80410E1677A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5BA4-4304-981A-7AD37C7817F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5BA4-4304-981A-7AD37C7817F8}"/>
              </c:ext>
            </c:extLst>
          </c:dPt>
          <c:dLbls>
            <c:dLbl>
              <c:idx val="0"/>
              <c:layout>
                <c:manualLayout>
                  <c:x val="-1.6673075548363812E-2"/>
                  <c:y val="3.321785821584669E-6"/>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276-4165-9848-80410E1677A2}"/>
                </c:ext>
              </c:extLst>
            </c:dLbl>
            <c:dLbl>
              <c:idx val="1"/>
              <c:layout>
                <c:manualLayout>
                  <c:x val="1.3887343446031226E-2"/>
                  <c:y val="6.6435716431693379E-6"/>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F276-4165-9848-80410E1677A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'Bar stool'!$Q$2:$Q$12</c15:sqref>
                  </c15:fullRef>
                </c:ext>
              </c:extLst>
              <c:f>('Bar stool'!$Q$4:$Q$6,'Bar stool'!$Q$9:$Q$12)</c:f>
              <c:strCache>
                <c:ptCount val="7"/>
                <c:pt idx="0">
                  <c:v>Glass (fibre)</c:v>
                </c:pt>
                <c:pt idx="1">
                  <c:v>Coatings</c:v>
                </c:pt>
                <c:pt idx="2">
                  <c:v>MDF</c:v>
                </c:pt>
                <c:pt idx="3">
                  <c:v>Plastics</c:v>
                </c:pt>
                <c:pt idx="4">
                  <c:v>Steel</c:v>
                </c:pt>
                <c:pt idx="5">
                  <c:v>Textiles &amp; Leather</c:v>
                </c:pt>
                <c:pt idx="6">
                  <c:v>Wood</c:v>
                </c:pt>
              </c:strCache>
            </c:strRef>
          </c:cat>
          <c:val>
            <c:numRef>
              <c:extLst>
                <c:ext xmlns:c15="http://schemas.microsoft.com/office/drawing/2012/chart" uri="{02D57815-91ED-43cb-92C2-25804820EDAC}">
                  <c15:fullRef>
                    <c15:sqref>'Bar stool'!$R$2:$R$12</c15:sqref>
                  </c15:fullRef>
                </c:ext>
              </c:extLst>
              <c:f>('Bar stool'!$R$4:$R$6,'Bar stool'!$R$9:$R$12)</c:f>
              <c:numCache>
                <c:formatCode>General</c:formatCode>
                <c:ptCount val="7"/>
                <c:pt idx="0">
                  <c:v>0.05</c:v>
                </c:pt>
                <c:pt idx="1">
                  <c:v>0.05</c:v>
                </c:pt>
                <c:pt idx="2">
                  <c:v>0.47</c:v>
                </c:pt>
                <c:pt idx="3">
                  <c:v>0.98499999999999999</c:v>
                </c:pt>
                <c:pt idx="4">
                  <c:v>4.6050000000000004</c:v>
                </c:pt>
                <c:pt idx="5">
                  <c:v>0.30500000000000005</c:v>
                </c:pt>
                <c:pt idx="6">
                  <c:v>2.1850000000000001</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0-F276-4165-9848-80410E1677A2}"/>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layout>
        <c:manualLayout>
          <c:xMode val="edge"/>
          <c:yMode val="edge"/>
          <c:x val="0.71291744729912088"/>
          <c:y val="0.17542418848129421"/>
          <c:w val="0.27044361759272606"/>
          <c:h val="0.8245758115187058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Big</a:t>
            </a:r>
            <a:r>
              <a:rPr lang="en-GB" baseline="0"/>
              <a:t> closet material composition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978-4EE3-BBC6-858A469C48F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978-4EE3-BBC6-858A469C48F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978-4EE3-BBC6-858A469C48F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978-4EE3-BBC6-858A469C48F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978-4EE3-BBC6-858A469C48F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978-4EE3-BBC6-858A469C48F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0978-4EE3-BBC6-858A469C48F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'Big closet'!$Q$2:$Q$12</c15:sqref>
                  </c15:fullRef>
                </c:ext>
              </c:extLst>
              <c:f>('Big closet'!$Q$2,'Big closet'!$Q$5:$Q$6,'Big closet'!$Q$8:$Q$10,'Big closet'!$Q$12)</c:f>
              <c:strCache>
                <c:ptCount val="7"/>
                <c:pt idx="0">
                  <c:v>Aluminium</c:v>
                </c:pt>
                <c:pt idx="1">
                  <c:v>Coatings</c:v>
                </c:pt>
                <c:pt idx="2">
                  <c:v>MDF</c:v>
                </c:pt>
                <c:pt idx="3">
                  <c:v>Paper &amp; Cardboard</c:v>
                </c:pt>
                <c:pt idx="4">
                  <c:v>Plastics</c:v>
                </c:pt>
                <c:pt idx="5">
                  <c:v>Steel</c:v>
                </c:pt>
                <c:pt idx="6">
                  <c:v>Wood</c:v>
                </c:pt>
              </c:strCache>
            </c:strRef>
          </c:cat>
          <c:val>
            <c:numRef>
              <c:extLst>
                <c:ext xmlns:c15="http://schemas.microsoft.com/office/drawing/2012/chart" uri="{02D57815-91ED-43cb-92C2-25804820EDAC}">
                  <c15:fullRef>
                    <c15:sqref>'Big closet'!$R$2:$R$12</c15:sqref>
                  </c15:fullRef>
                </c:ext>
              </c:extLst>
              <c:f>('Big closet'!$R$2,'Big closet'!$R$5:$R$6,'Big closet'!$R$8:$R$10,'Big closet'!$R$12)</c:f>
              <c:numCache>
                <c:formatCode>General</c:formatCode>
                <c:ptCount val="7"/>
                <c:pt idx="0">
                  <c:v>2.4159999999999999</c:v>
                </c:pt>
                <c:pt idx="1">
                  <c:v>4.9820000000000002</c:v>
                </c:pt>
                <c:pt idx="2">
                  <c:v>112.85</c:v>
                </c:pt>
                <c:pt idx="3">
                  <c:v>4.7080000000000002</c:v>
                </c:pt>
                <c:pt idx="4">
                  <c:v>6.2451999999999996</c:v>
                </c:pt>
                <c:pt idx="5">
                  <c:v>19.6128</c:v>
                </c:pt>
                <c:pt idx="6">
                  <c:v>27</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0-CB5B-4C0D-8055-D3EA8672D46D}"/>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layout>
        <c:manualLayout>
          <c:xMode val="edge"/>
          <c:yMode val="edge"/>
          <c:x val="0.71207907522198022"/>
          <c:y val="0.2866576135563027"/>
          <c:w val="0.27123339870376029"/>
          <c:h val="0.6310886730257466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Office</a:t>
            </a:r>
            <a:r>
              <a:rPr lang="en-GB" baseline="0"/>
              <a:t> chair material composition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708-4B15-B2F8-100014B08BE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708-4B15-B2F8-100014B08BE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708-4B15-B2F8-100014B08BE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708-4B15-B2F8-100014B08BE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708-4B15-B2F8-100014B08BE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'Office chair'!$Q$2:$Q$12</c15:sqref>
                  </c15:fullRef>
                </c:ext>
              </c:extLst>
              <c:f>('Office chair'!$Q$2,'Office chair'!$Q$4,'Office chair'!$Q$9:$Q$11)</c:f>
              <c:strCache>
                <c:ptCount val="5"/>
                <c:pt idx="0">
                  <c:v>Aluminium</c:v>
                </c:pt>
                <c:pt idx="1">
                  <c:v>Glass (fibre)</c:v>
                </c:pt>
                <c:pt idx="2">
                  <c:v>Plastics</c:v>
                </c:pt>
                <c:pt idx="3">
                  <c:v>Steel</c:v>
                </c:pt>
                <c:pt idx="4">
                  <c:v>Textiles &amp; Leather</c:v>
                </c:pt>
              </c:strCache>
            </c:strRef>
          </c:cat>
          <c:val>
            <c:numRef>
              <c:extLst>
                <c:ext xmlns:c15="http://schemas.microsoft.com/office/drawing/2012/chart" uri="{02D57815-91ED-43cb-92C2-25804820EDAC}">
                  <c15:fullRef>
                    <c15:sqref>'Office chair'!$R$2:$R$12</c15:sqref>
                  </c15:fullRef>
                </c:ext>
              </c:extLst>
              <c:f>('Office chair'!$R$2,'Office chair'!$R$4,'Office chair'!$R$9:$R$11)</c:f>
              <c:numCache>
                <c:formatCode>General</c:formatCode>
                <c:ptCount val="5"/>
                <c:pt idx="0">
                  <c:v>3.19</c:v>
                </c:pt>
                <c:pt idx="1">
                  <c:v>0.64</c:v>
                </c:pt>
                <c:pt idx="2">
                  <c:v>6.4289999999999994</c:v>
                </c:pt>
                <c:pt idx="3">
                  <c:v>4.4999999999999991</c:v>
                </c:pt>
                <c:pt idx="4">
                  <c:v>0.11266666666666668</c:v>
                </c:pt>
              </c:numCache>
            </c:numRef>
          </c:val>
          <c:extLst>
            <c:ext xmlns:c15="http://schemas.microsoft.com/office/drawing/2012/chart" uri="{02D57815-91ED-43cb-92C2-25804820EDAC}">
              <c15:categoryFilterExceptions>
                <c15:categoryFilterException>
                  <c15:sqref>'Office chair'!$R$7</c15:sqref>
                  <c15:dLbl>
                    <c:idx val="1"/>
                    <c:layout>
                      <c:manualLayout>
                        <c:x val="-8.2248204511741034E-17"/>
                        <c:y val="3.2136245535086198E-2"/>
                      </c:manualLayout>
                    </c:layout>
                    <c:dLblPos val="bestFit"/>
                    <c:showLegendKey val="0"/>
                    <c:showVal val="0"/>
                    <c:showCatName val="0"/>
                    <c:showSerName val="0"/>
                    <c:showPercent val="1"/>
                    <c:showBubbleSize val="0"/>
                    <c:extLst>
                      <c:ext uri="{CE6537A1-D6FC-4f65-9D91-7224C49458BB}"/>
                      <c:ext xmlns:c16="http://schemas.microsoft.com/office/drawing/2014/chart" uri="{C3380CC4-5D6E-409C-BE32-E72D297353CC}">
                        <c16:uniqueId val="{0000000A-6D3B-4130-81E6-B42F506959FC}"/>
                      </c:ext>
                    </c:extLst>
                  </c15:dLbl>
                </c15:categoryFilterException>
              </c15:categoryFilterExceptions>
            </c:ext>
            <c:ext xmlns:c16="http://schemas.microsoft.com/office/drawing/2014/chart" uri="{C3380CC4-5D6E-409C-BE32-E72D297353CC}">
              <c16:uniqueId val="{00000000-1BA9-412F-96AD-95E8336072B4}"/>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Chair material</a:t>
            </a:r>
            <a:r>
              <a:rPr lang="en-GB" baseline="0"/>
              <a:t> composition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22E-4925-A925-FA5551B1BD8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22E-4925-A925-FA5551B1BD8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3-54C9-4DCC-BD40-3F7944739EE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22E-4925-A925-FA5551B1BD8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22E-4925-A925-FA5551B1BD8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22E-4925-A925-FA5551B1BD8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22E-4925-A925-FA5551B1BD8A}"/>
              </c:ext>
            </c:extLst>
          </c:dPt>
          <c:dLbls>
            <c:dLbl>
              <c:idx val="2"/>
              <c:layout>
                <c:manualLayout>
                  <c:x val="4.6808240093099626E-3"/>
                  <c:y val="-5.6701377285383612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4C9-4DCC-BD40-3F7944739EE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Chair!$T$2:$T$12</c15:sqref>
                  </c15:fullRef>
                </c:ext>
              </c:extLst>
              <c:f>(Chair!$T$2,Chair!$T$4:$T$5,Chair!$T$9:$T$12)</c:f>
              <c:strCache>
                <c:ptCount val="7"/>
                <c:pt idx="0">
                  <c:v>Aluminium</c:v>
                </c:pt>
                <c:pt idx="1">
                  <c:v>Glass (fibre)</c:v>
                </c:pt>
                <c:pt idx="2">
                  <c:v>Coatings</c:v>
                </c:pt>
                <c:pt idx="3">
                  <c:v>Plastics</c:v>
                </c:pt>
                <c:pt idx="4">
                  <c:v>Steel</c:v>
                </c:pt>
                <c:pt idx="5">
                  <c:v>Textiles &amp; Leather</c:v>
                </c:pt>
                <c:pt idx="6">
                  <c:v>Wood</c:v>
                </c:pt>
              </c:strCache>
            </c:strRef>
          </c:cat>
          <c:val>
            <c:numRef>
              <c:extLst>
                <c:ext xmlns:c15="http://schemas.microsoft.com/office/drawing/2012/chart" uri="{02D57815-91ED-43cb-92C2-25804820EDAC}">
                  <c15:fullRef>
                    <c15:sqref>Chair!$U$2:$U$12</c15:sqref>
                  </c15:fullRef>
                </c:ext>
              </c:extLst>
              <c:f>(Chair!$U$2,Chair!$U$4:$U$5,Chair!$U$9:$U$12)</c:f>
              <c:numCache>
                <c:formatCode>General</c:formatCode>
                <c:ptCount val="7"/>
                <c:pt idx="0">
                  <c:v>1.1181818181818182</c:v>
                </c:pt>
                <c:pt idx="1">
                  <c:v>0.38127272727272726</c:v>
                </c:pt>
                <c:pt idx="2">
                  <c:v>5.8545454545454546E-2</c:v>
                </c:pt>
                <c:pt idx="3">
                  <c:v>2.7678181818181824</c:v>
                </c:pt>
                <c:pt idx="4">
                  <c:v>1.6883636363636365</c:v>
                </c:pt>
                <c:pt idx="5">
                  <c:v>0.16909090909090907</c:v>
                </c:pt>
                <c:pt idx="6">
                  <c:v>1.078090909090909</c:v>
                </c:pt>
              </c:numCache>
            </c:numRef>
          </c:val>
          <c:extLst>
            <c:ext xmlns:c15="http://schemas.microsoft.com/office/drawing/2012/chart" uri="{02D57815-91ED-43cb-92C2-25804820EDAC}">
              <c15:categoryFilterExceptions>
                <c15:categoryFilterException>
                  <c15:sqref>Chair!$U$7</c15:sqref>
                  <c15:dLbl>
                    <c:idx val="2"/>
                    <c:layout>
                      <c:manualLayout>
                        <c:x val="4.6808240093099626E-3"/>
                        <c:y val="1.7010413185615084E-2"/>
                      </c:manualLayout>
                    </c:layout>
                    <c:dLblPos val="bestFit"/>
                    <c:showLegendKey val="0"/>
                    <c:showVal val="0"/>
                    <c:showCatName val="0"/>
                    <c:showSerName val="0"/>
                    <c:showPercent val="1"/>
                    <c:showBubbleSize val="0"/>
                    <c:extLst>
                      <c:ext uri="{CE6537A1-D6FC-4f65-9D91-7224C49458BB}"/>
                      <c:ext xmlns:c16="http://schemas.microsoft.com/office/drawing/2014/chart" uri="{C3380CC4-5D6E-409C-BE32-E72D297353CC}">
                        <c16:uniqueId val="{0000000E-0AC6-4BBC-862D-6B2A1548BCC8}"/>
                      </c:ext>
                    </c:extLst>
                  </c15:dLbl>
                </c15:categoryFilterException>
              </c15:categoryFilterExceptions>
            </c:ext>
            <c:ext xmlns:c16="http://schemas.microsoft.com/office/drawing/2014/chart" uri="{C3380CC4-5D6E-409C-BE32-E72D297353CC}">
              <c16:uniqueId val="{00000000-54C9-4DCC-BD40-3F7944739EE4}"/>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Desk material composition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A30-45E3-B968-A605B348F02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A30-45E3-B968-A605B348F02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A30-45E3-B968-A605B348F02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A30-45E3-B968-A605B348F02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Desk!$R$2:$R$12</c15:sqref>
                  </c15:fullRef>
                </c:ext>
              </c:extLst>
              <c:f>(Desk!$R$8:$R$10,Desk!$R$12)</c:f>
              <c:strCache>
                <c:ptCount val="4"/>
                <c:pt idx="0">
                  <c:v>Paper &amp; Cardboard</c:v>
                </c:pt>
                <c:pt idx="1">
                  <c:v>Plastics</c:v>
                </c:pt>
                <c:pt idx="2">
                  <c:v>Steel</c:v>
                </c:pt>
                <c:pt idx="3">
                  <c:v>Wood</c:v>
                </c:pt>
              </c:strCache>
            </c:strRef>
          </c:cat>
          <c:val>
            <c:numRef>
              <c:extLst>
                <c:ext xmlns:c15="http://schemas.microsoft.com/office/drawing/2012/chart" uri="{02D57815-91ED-43cb-92C2-25804820EDAC}">
                  <c15:fullRef>
                    <c15:sqref>Desk!$S$2:$S$12</c15:sqref>
                  </c15:fullRef>
                </c:ext>
              </c:extLst>
              <c:f>(Desk!$S$8:$S$10,Desk!$S$12)</c:f>
              <c:numCache>
                <c:formatCode>General</c:formatCode>
                <c:ptCount val="4"/>
                <c:pt idx="0">
                  <c:v>1.9800000000000002</c:v>
                </c:pt>
                <c:pt idx="1">
                  <c:v>1.4563333333333333</c:v>
                </c:pt>
                <c:pt idx="2">
                  <c:v>21.99133333333333</c:v>
                </c:pt>
                <c:pt idx="3">
                  <c:v>10.733333333333334</c:v>
                </c:pt>
              </c:numCache>
            </c:numRef>
          </c:val>
          <c:extLst>
            <c:ext xmlns:c15="http://schemas.microsoft.com/office/drawing/2012/chart" uri="{02D57815-91ED-43cb-92C2-25804820EDAC}">
              <c15:categoryFilterExceptions>
                <c15:categoryFilterException>
                  <c15:sqref>Desk!$S$2</c15:sqref>
                  <c15:dLbl>
                    <c:idx val="-1"/>
                    <c:layout>
                      <c:manualLayout>
                        <c:x val="5.5555555555555558E-3"/>
                        <c:y val="-1.3812154696132596E-2"/>
                      </c:manualLayout>
                    </c:layout>
                    <c:dLblPos val="bestFit"/>
                    <c:showLegendKey val="0"/>
                    <c:showVal val="0"/>
                    <c:showCatName val="0"/>
                    <c:showSerName val="0"/>
                    <c:showPercent val="1"/>
                    <c:showBubbleSize val="0"/>
                    <c:extLst>
                      <c:ext uri="{CE6537A1-D6FC-4f65-9D91-7224C49458BB}"/>
                      <c:ext xmlns:c16="http://schemas.microsoft.com/office/drawing/2014/chart" uri="{C3380CC4-5D6E-409C-BE32-E72D297353CC}">
                        <c16:uniqueId val="{00000008-180E-4481-A02E-374BEA00FA1F}"/>
                      </c:ext>
                    </c:extLst>
                  </c15:dLbl>
                </c15:categoryFilterException>
                <c15:categoryFilterException>
                  <c15:sqref>Desk!$S$5</c15:sqref>
                  <c15:dLbl>
                    <c:idx val="-1"/>
                    <c:layout>
                      <c:manualLayout>
                        <c:x val="-3.7500109361329831E-2"/>
                        <c:y val="-1.381233595800525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bestFit"/>
                    <c:showLegendKey val="0"/>
                    <c:showVal val="0"/>
                    <c:showCatName val="0"/>
                    <c:showSerName val="0"/>
                    <c:showPercent val="1"/>
                    <c:showBubbleSize val="0"/>
                    <c:extLst>
                      <c:ext uri="{CE6537A1-D6FC-4f65-9D91-7224C49458BB}">
                        <c15:layout>
                          <c:manualLayout>
                            <c:w val="4.9986220472440931E-2"/>
                            <c:h val="4.5971636142167309E-2"/>
                          </c:manualLayout>
                        </c15:layout>
                      </c:ext>
                      <c:ext xmlns:c16="http://schemas.microsoft.com/office/drawing/2014/chart" uri="{C3380CC4-5D6E-409C-BE32-E72D297353CC}">
                        <c16:uniqueId val="{00000009-180E-4481-A02E-374BEA00FA1F}"/>
                      </c:ext>
                    </c:extLst>
                  </c15:dLbl>
                </c15:categoryFilterException>
                <c15:categoryFilterException>
                  <c15:sqref>Desk!$S$7</c15:sqref>
                  <c15:dLbl>
                    <c:idx val="-1"/>
                    <c:layout>
                      <c:manualLayout>
                        <c:x val="-1.6666666666666666E-2"/>
                        <c:y val="-2.1101659239812143E-17"/>
                      </c:manualLayout>
                    </c:layout>
                    <c:dLblPos val="bestFit"/>
                    <c:showLegendKey val="0"/>
                    <c:showVal val="0"/>
                    <c:showCatName val="0"/>
                    <c:showSerName val="0"/>
                    <c:showPercent val="1"/>
                    <c:showBubbleSize val="0"/>
                    <c:extLst>
                      <c:ext uri="{CE6537A1-D6FC-4f65-9D91-7224C49458BB}"/>
                      <c:ext xmlns:c16="http://schemas.microsoft.com/office/drawing/2014/chart" uri="{C3380CC4-5D6E-409C-BE32-E72D297353CC}">
                        <c16:uniqueId val="{0000000A-180E-4481-A02E-374BEA00FA1F}"/>
                      </c:ext>
                    </c:extLst>
                  </c15:dLbl>
                </c15:categoryFilterException>
              </c15:categoryFilterExceptions>
            </c:ext>
            <c:ext xmlns:c16="http://schemas.microsoft.com/office/drawing/2014/chart" uri="{C3380CC4-5D6E-409C-BE32-E72D297353CC}">
              <c16:uniqueId val="{00000000-0451-4F95-8B62-1E30DA233B56}"/>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(Dining)</a:t>
            </a:r>
            <a:r>
              <a:rPr lang="en-GB" baseline="0"/>
              <a:t> table material composition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1C8-45D8-9B66-27072717072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1C8-45D8-9B66-27072717072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1C8-45D8-9B66-27072717072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1C8-45D8-9B66-27072717072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'Dining table'!$R$2:$R$12</c15:sqref>
                  </c15:fullRef>
                </c:ext>
              </c:extLst>
              <c:f>('Dining table'!$R$2,'Dining table'!$R$5,'Dining table'!$R$7,'Dining table'!$R$12)</c:f>
              <c:strCache>
                <c:ptCount val="4"/>
                <c:pt idx="0">
                  <c:v>Aluminium</c:v>
                </c:pt>
                <c:pt idx="1">
                  <c:v>Coatings</c:v>
                </c:pt>
                <c:pt idx="2">
                  <c:v>Metals excl. Steel &amp; Aluminium</c:v>
                </c:pt>
                <c:pt idx="3">
                  <c:v>Wood</c:v>
                </c:pt>
              </c:strCache>
            </c:strRef>
          </c:cat>
          <c:val>
            <c:numRef>
              <c:extLst>
                <c:ext xmlns:c15="http://schemas.microsoft.com/office/drawing/2012/chart" uri="{02D57815-91ED-43cb-92C2-25804820EDAC}">
                  <c15:fullRef>
                    <c15:sqref>'Dining table'!$S$2:$S$12</c15:sqref>
                  </c15:fullRef>
                </c:ext>
              </c:extLst>
              <c:f>('Dining table'!$S$2,'Dining table'!$S$5,'Dining table'!$S$7,'Dining table'!$S$12)</c:f>
              <c:numCache>
                <c:formatCode>General</c:formatCode>
                <c:ptCount val="4"/>
                <c:pt idx="0">
                  <c:v>5.2</c:v>
                </c:pt>
                <c:pt idx="1">
                  <c:v>1.1636</c:v>
                </c:pt>
                <c:pt idx="2">
                  <c:v>1.0204</c:v>
                </c:pt>
                <c:pt idx="3">
                  <c:v>56.796000000000006</c:v>
                </c:pt>
              </c:numCache>
            </c:numRef>
          </c:val>
          <c:extLst>
            <c:ext xmlns:c15="http://schemas.microsoft.com/office/drawing/2012/chart" uri="{02D57815-91ED-43cb-92C2-25804820EDAC}">
              <c15:categoryFilterExceptions>
                <c15:categoryFilterException>
                  <c15:sqref>'Dining table'!$S$9</c15:sqref>
                  <c15:dLbl>
                    <c:idx val="2"/>
                    <c:layout>
                      <c:manualLayout>
                        <c:x val="3.173440742096912E-2"/>
                        <c:y val="6.8417334968926991E-2"/>
                      </c:manualLayout>
                    </c:layout>
                    <c:dLblPos val="bestFit"/>
                    <c:showLegendKey val="0"/>
                    <c:showVal val="0"/>
                    <c:showCatName val="0"/>
                    <c:showSerName val="0"/>
                    <c:showPercent val="1"/>
                    <c:showBubbleSize val="0"/>
                    <c:extLst>
                      <c:ext uri="{CE6537A1-D6FC-4f65-9D91-7224C49458BB}"/>
                      <c:ext xmlns:c16="http://schemas.microsoft.com/office/drawing/2014/chart" uri="{C3380CC4-5D6E-409C-BE32-E72D297353CC}">
                        <c16:uniqueId val="{00000008-A284-426B-A5F8-3BDC89FBB29E}"/>
                      </c:ext>
                    </c:extLst>
                  </c15:dLbl>
                </c15:categoryFilterException>
                <c15:categoryFilterException>
                  <c15:sqref>'Dining table'!$S$10</c15:sqref>
                  <c15:dLbl>
                    <c:idx val="2"/>
                    <c:layout>
                      <c:manualLayout>
                        <c:x val="2.4411082631514709E-2"/>
                        <c:y val="3.6220942042373118E-2"/>
                      </c:manualLayout>
                    </c:layout>
                    <c:dLblPos val="bestFit"/>
                    <c:showLegendKey val="0"/>
                    <c:showVal val="0"/>
                    <c:showCatName val="0"/>
                    <c:showSerName val="0"/>
                    <c:showPercent val="1"/>
                    <c:showBubbleSize val="0"/>
                    <c:extLst>
                      <c:ext uri="{CE6537A1-D6FC-4f65-9D91-7224C49458BB}"/>
                      <c:ext xmlns:c16="http://schemas.microsoft.com/office/drawing/2014/chart" uri="{C3380CC4-5D6E-409C-BE32-E72D297353CC}">
                        <c16:uniqueId val="{00000009-A284-426B-A5F8-3BDC89FBB29E}"/>
                      </c:ext>
                    </c:extLst>
                  </c15:dLbl>
                </c15:categoryFilterException>
              </c15:categoryFilterExceptions>
            </c:ext>
            <c:ext xmlns:c16="http://schemas.microsoft.com/office/drawing/2014/chart" uri="{C3380CC4-5D6E-409C-BE32-E72D297353CC}">
              <c16:uniqueId val="{00000000-0E9C-4DCA-BD09-7F449FDB85ED}"/>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Mattress material composition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FF4-4D16-8438-F567FBCDAF6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FF4-4D16-8438-F567FBCDAF6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FF4-4D16-8438-F567FBCDAF6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FF4-4D16-8438-F567FBCDAF6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FF4-4D16-8438-F567FBCDAF6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extLst>
                <c:ext xmlns:c15="http://schemas.microsoft.com/office/drawing/2012/chart" uri="{02D57815-91ED-43cb-92C2-25804820EDAC}">
                  <c15:fullRef>
                    <c15:sqref>Mattress!$Q$2:$Q$12</c15:sqref>
                  </c15:fullRef>
                </c:ext>
              </c:extLst>
              <c:f>Mattress!$Q$8:$Q$12</c:f>
              <c:strCache>
                <c:ptCount val="5"/>
                <c:pt idx="0">
                  <c:v>Paper &amp; Cardboard</c:v>
                </c:pt>
                <c:pt idx="1">
                  <c:v>Plastics</c:v>
                </c:pt>
                <c:pt idx="2">
                  <c:v>Steel</c:v>
                </c:pt>
                <c:pt idx="3">
                  <c:v>Textiles &amp; Leather</c:v>
                </c:pt>
                <c:pt idx="4">
                  <c:v>Wood</c:v>
                </c:pt>
              </c:strCache>
            </c:strRef>
          </c:cat>
          <c:val>
            <c:numRef>
              <c:extLst>
                <c:ext xmlns:c15="http://schemas.microsoft.com/office/drawing/2012/chart" uri="{02D57815-91ED-43cb-92C2-25804820EDAC}">
                  <c15:fullRef>
                    <c15:sqref>Mattress!$R$2:$R$12</c15:sqref>
                  </c15:fullRef>
                </c:ext>
              </c:extLst>
              <c:f>Mattress!$R$8:$R$12</c:f>
              <c:numCache>
                <c:formatCode>General</c:formatCode>
                <c:ptCount val="5"/>
                <c:pt idx="0">
                  <c:v>0.54714285714285715</c:v>
                </c:pt>
                <c:pt idx="1">
                  <c:v>13.039142857142858</c:v>
                </c:pt>
                <c:pt idx="2">
                  <c:v>11.813714285714285</c:v>
                </c:pt>
                <c:pt idx="3">
                  <c:v>5.9984285714285717</c:v>
                </c:pt>
                <c:pt idx="4">
                  <c:v>2.6285714285714286</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0-D5CA-4081-9962-2A1F886B4E74}"/>
            </c:ext>
          </c:extLst>
        </c:ser>
        <c:dLbls>
          <c:dLblPos val="outEnd"/>
          <c:showLegendKey val="0"/>
          <c:showVal val="1"/>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167640</xdr:colOff>
      <xdr:row>0</xdr:row>
      <xdr:rowOff>57149</xdr:rowOff>
    </xdr:from>
    <xdr:to>
      <xdr:col>12</xdr:col>
      <xdr:colOff>447260</xdr:colOff>
      <xdr:row>166</xdr:row>
      <xdr:rowOff>173935</xdr:rowOff>
    </xdr:to>
    <xdr:sp macro="" textlink="">
      <xdr:nvSpPr>
        <xdr:cNvPr id="2" name="TextBox 1">
          <a:extLst>
            <a:ext uri="{FF2B5EF4-FFF2-40B4-BE49-F238E27FC236}">
              <a16:creationId xmlns:a16="http://schemas.microsoft.com/office/drawing/2014/main" id="{4B9F92BE-F658-4ED8-A7F9-ADEB17127620}"/>
            </a:ext>
          </a:extLst>
        </xdr:cNvPr>
        <xdr:cNvSpPr txBox="1"/>
      </xdr:nvSpPr>
      <xdr:spPr>
        <a:xfrm>
          <a:off x="167640" y="57149"/>
          <a:ext cx="7634577" cy="30364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baseline="0"/>
            <a:t>Material database for the IMAGE Furniture Graduation project supplementary material</a:t>
          </a:r>
        </a:p>
        <a:p>
          <a:r>
            <a:rPr lang="en-GB" sz="1100" baseline="0"/>
            <a:t>Industrial Ecology</a:t>
          </a:r>
          <a:br>
            <a:rPr lang="en-GB" sz="1100" baseline="0"/>
          </a:br>
          <a:r>
            <a:rPr lang="en-GB" sz="1100" baseline="0"/>
            <a:t>Author: Boris van Beijnum</a:t>
          </a:r>
          <a:br>
            <a:rPr lang="en-GB" sz="1100" baseline="0"/>
          </a:br>
          <a:r>
            <a:rPr lang="en-GB" sz="1100" baseline="0"/>
            <a:t>Year: 2020-2021</a:t>
          </a:r>
        </a:p>
        <a:p>
          <a:endParaRPr lang="en-GB" sz="1100" baseline="0"/>
        </a:p>
        <a:p>
          <a:r>
            <a:rPr lang="en-GB" sz="1100" b="1" baseline="0"/>
            <a:t>Description</a:t>
          </a:r>
        </a:p>
        <a:p>
          <a:r>
            <a:rPr lang="en-GB" sz="1100" baseline="0"/>
            <a:t>Material database for material composition per furniture product category. </a:t>
          </a:r>
        </a:p>
        <a:p>
          <a:br>
            <a:rPr lang="en-GB" sz="1100" baseline="0"/>
          </a:br>
          <a:r>
            <a:rPr lang="en-GB" sz="1100" baseline="0"/>
            <a:t>For each furniture product category, the tab shows information on the product, product lifetime, material composition and source. Allocation of products to product categories is based on physical similarity and/ or manufacture description. In some instances, the product is not marketed for home use, which is included in the notes. </a:t>
          </a:r>
        </a:p>
        <a:p>
          <a:endParaRPr lang="en-GB" sz="1100" baseline="0"/>
        </a:p>
        <a:p>
          <a:r>
            <a:rPr lang="en-GB" sz="1100" baseline="0"/>
            <a:t>Product lifetimes are only based on 'modelled lifetimes' of those furniture products for which product environmental passports (PED's) are available. This is the assumed (minimum) service lifetime of the product as presented in the PED and is often significantly shorter than the expected (technical) lifetime. Products for which no (modeled) lifetime is available are excluded from the calculation of the lifetime averages. If a (modeled/ minimum) product lifetime is available, it is included directly below the product name in the material database.</a:t>
          </a:r>
        </a:p>
        <a:p>
          <a:endParaRPr lang="en-GB" sz="1100" baseline="0"/>
        </a:p>
        <a:p>
          <a:r>
            <a:rPr lang="en-GB" sz="1100" baseline="0"/>
            <a:t>The material compositions overview shows the average material composition, expressed in the model material categories, per furniture product category. The individual product category tabs show the different furniture products and their original material compositions, as expressed by the original source. </a:t>
          </a:r>
        </a:p>
        <a:p>
          <a:endParaRPr lang="en-GB" sz="1100" baseline="0"/>
        </a:p>
        <a:p>
          <a:r>
            <a:rPr lang="en-GB" sz="1100" baseline="0"/>
            <a:t>Individual products within the database are short referenced (see below for the abbreviations/ reference codes). Hyperlinks to the original source are included directly below the short reference. All environmental product declarations are short referenced with the name of the database (EN20). All of the individual EPD report references are included below and in the report (Appendix F). Also the full literature references are included below. </a:t>
          </a:r>
        </a:p>
        <a:p>
          <a:endParaRPr lang="en-GB" sz="1100" baseline="0"/>
        </a:p>
        <a:p>
          <a:pPr marL="0" marR="0" lvl="0" indent="0" defTabSz="914400" eaLnBrk="1" fontAlgn="auto" latinLnBrk="0" hangingPunct="1">
            <a:lnSpc>
              <a:spcPct val="100000"/>
            </a:lnSpc>
            <a:spcBef>
              <a:spcPts val="0"/>
            </a:spcBef>
            <a:spcAft>
              <a:spcPts val="0"/>
            </a:spcAft>
            <a:buClrTx/>
            <a:buSzTx/>
            <a:buFontTx/>
            <a:buNone/>
            <a:tabLst/>
            <a:defRPr/>
          </a:pPr>
          <a:r>
            <a:rPr lang="en-GB" sz="1100" b="1" baseline="0"/>
            <a:t>Short source references/ codes (see literature references and individual EPD report references below)</a:t>
          </a:r>
          <a:br>
            <a:rPr lang="en-GB" sz="1100" baseline="0"/>
          </a:br>
          <a:r>
            <a:rPr lang="en-GB" sz="1100" baseline="0">
              <a:solidFill>
                <a:schemeClr val="dk1"/>
              </a:solidFill>
              <a:effectLst/>
              <a:latin typeface="+mn-lt"/>
              <a:ea typeface="+mn-ea"/>
              <a:cs typeface="+mn-cs"/>
            </a:rPr>
            <a:t>AN03	Andersson et al. 2003</a:t>
          </a:r>
          <a:endParaRPr lang="en-N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DN97 	Deliege et al. 1997</a:t>
          </a:r>
          <a:endParaRPr lang="en-N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EI37	</a:t>
          </a:r>
          <a:r>
            <a:rPr lang="en-GB" sz="1100" b="0" i="0">
              <a:solidFill>
                <a:schemeClr val="dk1"/>
              </a:solidFill>
              <a:effectLst/>
              <a:latin typeface="+mn-lt"/>
              <a:ea typeface="+mn-ea"/>
              <a:cs typeface="+mn-cs"/>
            </a:rPr>
            <a:t>EcoInvent v.3.7</a:t>
          </a:r>
          <a:r>
            <a:rPr lang="en-GB" sz="1100">
              <a:solidFill>
                <a:schemeClr val="dk1"/>
              </a:solidFill>
              <a:effectLst/>
              <a:latin typeface="+mn-lt"/>
              <a:ea typeface="+mn-ea"/>
              <a:cs typeface="+mn-cs"/>
            </a:rPr>
            <a:t> </a:t>
          </a:r>
          <a:endParaRPr lang="en-N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EN20	Environdec database (see individual EPD report references below)</a:t>
          </a:r>
          <a:endParaRPr lang="en-N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GB08	</a:t>
          </a:r>
          <a:r>
            <a:rPr lang="en-GB" sz="1100" b="0" i="0">
              <a:solidFill>
                <a:schemeClr val="dk1"/>
              </a:solidFill>
              <a:effectLst/>
              <a:latin typeface="+mn-lt"/>
              <a:ea typeface="+mn-ea"/>
              <a:cs typeface="+mn-cs"/>
            </a:rPr>
            <a:t>Gamage, Boyle &amp; McLaren 2008</a:t>
          </a:r>
          <a:r>
            <a:rPr lang="en-GB" sz="1100">
              <a:solidFill>
                <a:schemeClr val="dk1"/>
              </a:solidFill>
              <a:effectLst/>
              <a:latin typeface="+mn-lt"/>
              <a:ea typeface="+mn-ea"/>
              <a:cs typeface="+mn-cs"/>
            </a:rPr>
            <a:t> </a:t>
          </a:r>
          <a:endParaRPr lang="en-N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GE19	Geng et al. 2019</a:t>
          </a:r>
          <a:endParaRPr lang="en-N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GL12	Glew et al. 2012</a:t>
          </a:r>
          <a:endParaRPr lang="en-N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HA16	</a:t>
          </a:r>
          <a:r>
            <a:rPr lang="en-GB" sz="1100" b="0" i="0">
              <a:solidFill>
                <a:schemeClr val="dk1"/>
              </a:solidFill>
              <a:effectLst/>
              <a:latin typeface="+mn-lt"/>
              <a:ea typeface="+mn-ea"/>
              <a:cs typeface="+mn-cs"/>
            </a:rPr>
            <a:t>Hahiarova et al. 2016</a:t>
          </a:r>
          <a:r>
            <a:rPr lang="en-GB" sz="1100">
              <a:solidFill>
                <a:schemeClr val="dk1"/>
              </a:solidFill>
              <a:effectLst/>
              <a:latin typeface="+mn-lt"/>
              <a:ea typeface="+mn-ea"/>
              <a:cs typeface="+mn-cs"/>
            </a:rPr>
            <a:t> </a:t>
          </a:r>
          <a:endParaRPr lang="en-N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HJ17 	</a:t>
          </a:r>
          <a:r>
            <a:rPr lang="en-GB" sz="1100" b="0" i="0">
              <a:solidFill>
                <a:schemeClr val="dk1"/>
              </a:solidFill>
              <a:effectLst/>
              <a:latin typeface="+mn-lt"/>
              <a:ea typeface="+mn-ea"/>
              <a:cs typeface="+mn-cs"/>
            </a:rPr>
            <a:t>Hoxha &amp; Jusselme 2017</a:t>
          </a:r>
          <a:r>
            <a:rPr lang="en-GB" sz="1100">
              <a:solidFill>
                <a:schemeClr val="dk1"/>
              </a:solidFill>
              <a:effectLst/>
              <a:latin typeface="+mn-lt"/>
              <a:ea typeface="+mn-ea"/>
              <a:cs typeface="+mn-cs"/>
            </a:rPr>
            <a:t> </a:t>
          </a:r>
          <a:endParaRPr lang="en-N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IR15	Iritani et al. 2015</a:t>
          </a:r>
          <a:endParaRPr lang="en-GB" sz="1100" baseline="0"/>
        </a:p>
        <a:p>
          <a:r>
            <a:rPr lang="en-GB" sz="1100" baseline="0"/>
            <a:t>WA16	Wang et al. 2016</a:t>
          </a:r>
        </a:p>
        <a:p>
          <a:endParaRPr lang="en-GB" sz="1100" baseline="0"/>
        </a:p>
        <a:p>
          <a:r>
            <a:rPr lang="en-GB" sz="1100" b="1"/>
            <a:t>Index</a:t>
          </a:r>
          <a:br>
            <a:rPr lang="en-GB" sz="1100"/>
          </a:br>
          <a:r>
            <a:rPr lang="en-GB" sz="1100"/>
            <a:t>Material compositions overview</a:t>
          </a:r>
        </a:p>
        <a:p>
          <a:r>
            <a:rPr lang="en-GB" sz="1100"/>
            <a:t>Material categories allocation</a:t>
          </a:r>
        </a:p>
        <a:p>
          <a:r>
            <a:rPr lang="en-GB" sz="1100" b="0" i="0" u="none" strike="noStrike">
              <a:solidFill>
                <a:schemeClr val="dk1"/>
              </a:solidFill>
              <a:effectLst/>
              <a:latin typeface="+mn-lt"/>
              <a:ea typeface="+mn-ea"/>
              <a:cs typeface="+mn-cs"/>
            </a:rPr>
            <a:t>Arm chair</a:t>
          </a:r>
          <a:r>
            <a:rPr lang="en-GB"/>
            <a:t> </a:t>
          </a:r>
        </a:p>
        <a:p>
          <a:r>
            <a:rPr lang="en-GB" sz="1100" b="0" i="0" u="none" strike="noStrike">
              <a:solidFill>
                <a:schemeClr val="dk1"/>
              </a:solidFill>
              <a:effectLst/>
              <a:latin typeface="+mn-lt"/>
              <a:ea typeface="+mn-ea"/>
              <a:cs typeface="+mn-cs"/>
            </a:rPr>
            <a:t>Bar stool</a:t>
          </a:r>
          <a:r>
            <a:rPr lang="en-GB"/>
            <a:t> </a:t>
          </a:r>
          <a:br>
            <a:rPr lang="en-GB"/>
          </a:br>
          <a:r>
            <a:rPr lang="en-GB" sz="1100" b="0" i="0" u="none" strike="noStrike">
              <a:solidFill>
                <a:schemeClr val="dk1"/>
              </a:solidFill>
              <a:effectLst/>
              <a:latin typeface="+mn-lt"/>
              <a:ea typeface="+mn-ea"/>
              <a:cs typeface="+mn-cs"/>
            </a:rPr>
            <a:t>Big Closet</a:t>
          </a:r>
          <a:br>
            <a:rPr lang="en-GB"/>
          </a:br>
          <a:r>
            <a:rPr lang="en-GB" sz="1100" b="0" i="0" u="none" strike="noStrike">
              <a:solidFill>
                <a:schemeClr val="dk1"/>
              </a:solidFill>
              <a:effectLst/>
              <a:latin typeface="+mn-lt"/>
              <a:ea typeface="+mn-ea"/>
              <a:cs typeface="+mn-cs"/>
            </a:rPr>
            <a:t>Office chair</a:t>
          </a:r>
          <a:r>
            <a:rPr lang="en-GB"/>
            <a:t> </a:t>
          </a:r>
        </a:p>
        <a:p>
          <a:r>
            <a:rPr lang="en-GB" sz="1100" b="0" i="0" u="none" strike="noStrike">
              <a:solidFill>
                <a:schemeClr val="dk1"/>
              </a:solidFill>
              <a:effectLst/>
              <a:latin typeface="+mn-lt"/>
              <a:ea typeface="+mn-ea"/>
              <a:cs typeface="+mn-cs"/>
            </a:rPr>
            <a:t>Chair</a:t>
          </a:r>
          <a:r>
            <a:rPr lang="en-GB"/>
            <a:t> </a:t>
          </a:r>
          <a:br>
            <a:rPr lang="en-GB"/>
          </a:br>
          <a:r>
            <a:rPr lang="en-GB" sz="1100" b="0" i="0" u="none" strike="noStrike">
              <a:solidFill>
                <a:schemeClr val="dk1"/>
              </a:solidFill>
              <a:effectLst/>
              <a:latin typeface="+mn-lt"/>
              <a:ea typeface="+mn-ea"/>
              <a:cs typeface="+mn-cs"/>
            </a:rPr>
            <a:t>Desk</a:t>
          </a:r>
          <a:r>
            <a:rPr lang="en-GB"/>
            <a:t> </a:t>
          </a:r>
          <a:br>
            <a:rPr lang="en-GB"/>
          </a:br>
          <a:r>
            <a:rPr lang="en-GB" sz="1100" b="0" i="0" u="none" strike="noStrike">
              <a:solidFill>
                <a:schemeClr val="dk1"/>
              </a:solidFill>
              <a:effectLst/>
              <a:latin typeface="+mn-lt"/>
              <a:ea typeface="+mn-ea"/>
              <a:cs typeface="+mn-cs"/>
            </a:rPr>
            <a:t>Dining table</a:t>
          </a:r>
          <a:r>
            <a:rPr lang="en-GB"/>
            <a:t> </a:t>
          </a:r>
          <a:br>
            <a:rPr lang="en-GB"/>
          </a:br>
          <a:r>
            <a:rPr lang="en-GB" sz="1100" b="0" i="0" u="none" strike="noStrike">
              <a:solidFill>
                <a:schemeClr val="dk1"/>
              </a:solidFill>
              <a:effectLst/>
              <a:latin typeface="+mn-lt"/>
              <a:ea typeface="+mn-ea"/>
              <a:cs typeface="+mn-cs"/>
            </a:rPr>
            <a:t>Small closet</a:t>
          </a:r>
          <a:br>
            <a:rPr lang="en-GB"/>
          </a:br>
          <a:r>
            <a:rPr lang="en-GB"/>
            <a:t>(</a:t>
          </a:r>
          <a:r>
            <a:rPr lang="en-GB" sz="1100" b="0" i="0" u="none" strike="noStrike">
              <a:solidFill>
                <a:schemeClr val="dk1"/>
              </a:solidFill>
              <a:effectLst/>
              <a:latin typeface="+mn-lt"/>
              <a:ea typeface="+mn-ea"/>
              <a:cs typeface="+mn-cs"/>
            </a:rPr>
            <a:t>Double) bed</a:t>
          </a:r>
          <a:r>
            <a:rPr lang="en-GB"/>
            <a:t> </a:t>
          </a:r>
          <a:br>
            <a:rPr lang="en-GB"/>
          </a:br>
          <a:r>
            <a:rPr lang="en-GB" sz="1100" b="0" i="0" u="none" strike="noStrike">
              <a:solidFill>
                <a:schemeClr val="dk1"/>
              </a:solidFill>
              <a:effectLst/>
              <a:latin typeface="+mn-lt"/>
              <a:ea typeface="+mn-ea"/>
              <a:cs typeface="+mn-cs"/>
            </a:rPr>
            <a:t>Mattress</a:t>
          </a:r>
          <a:r>
            <a:rPr lang="en-GB"/>
            <a:t> </a:t>
          </a:r>
          <a:br>
            <a:rPr lang="en-GB"/>
          </a:br>
          <a:r>
            <a:rPr lang="en-GB" sz="1100" b="0" i="0" u="none" strike="noStrike">
              <a:solidFill>
                <a:schemeClr val="dk1"/>
              </a:solidFill>
              <a:effectLst/>
              <a:latin typeface="+mn-lt"/>
              <a:ea typeface="+mn-ea"/>
              <a:cs typeface="+mn-cs"/>
            </a:rPr>
            <a:t>Side table</a:t>
          </a:r>
          <a:r>
            <a:rPr lang="en-GB"/>
            <a:t> </a:t>
          </a:r>
          <a:br>
            <a:rPr lang="en-GB"/>
          </a:br>
          <a:r>
            <a:rPr lang="en-GB" sz="1100" b="0" i="0" u="none" strike="noStrike">
              <a:solidFill>
                <a:schemeClr val="dk1"/>
              </a:solidFill>
              <a:effectLst/>
              <a:latin typeface="+mn-lt"/>
              <a:ea typeface="+mn-ea"/>
              <a:cs typeface="+mn-cs"/>
            </a:rPr>
            <a:t>Sofa</a:t>
          </a:r>
          <a:r>
            <a:rPr lang="en-GB"/>
            <a:t> </a:t>
          </a:r>
        </a:p>
        <a:p>
          <a:r>
            <a:rPr lang="en-GB" sz="1100" b="0" i="0" u="none" strike="noStrike">
              <a:solidFill>
                <a:schemeClr val="dk1"/>
              </a:solidFill>
              <a:effectLst/>
              <a:latin typeface="+mn-lt"/>
              <a:ea typeface="+mn-ea"/>
              <a:cs typeface="+mn-cs"/>
            </a:rPr>
            <a:t>Stool</a:t>
          </a:r>
          <a:r>
            <a:rPr lang="en-GB"/>
            <a:t> </a:t>
          </a:r>
        </a:p>
        <a:p>
          <a:r>
            <a:rPr lang="en-GB" sz="1100" b="0" i="0" u="none" strike="noStrike">
              <a:solidFill>
                <a:schemeClr val="dk1"/>
              </a:solidFill>
              <a:effectLst/>
              <a:latin typeface="+mn-lt"/>
              <a:ea typeface="+mn-ea"/>
              <a:cs typeface="+mn-cs"/>
            </a:rPr>
            <a:t>Container</a:t>
          </a:r>
          <a:r>
            <a:rPr lang="en-GB"/>
            <a:t> </a:t>
          </a:r>
          <a:br>
            <a:rPr lang="en-GB" sz="1100"/>
          </a:br>
          <a:endParaRPr lang="en-GB" sz="1100"/>
        </a:p>
        <a:p>
          <a:r>
            <a:rPr lang="en-GB" sz="1100" b="1"/>
            <a:t>Literature references:</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Andersson, P., Simonson, M., Rosell, L., Blomqvist, P. S., &amp; Stripple, H. I. (2003). </a:t>
          </a:r>
          <a:r>
            <a:rPr lang="en-US" sz="1100" i="1">
              <a:solidFill>
                <a:schemeClr val="dk1"/>
              </a:solidFill>
              <a:effectLst/>
              <a:latin typeface="+mn-lt"/>
              <a:ea typeface="+mn-ea"/>
              <a:cs typeface="+mn-cs"/>
            </a:rPr>
            <a:t>Fire-LCA Model: Furniture Study</a:t>
          </a:r>
          <a:r>
            <a:rPr lang="en-US" sz="1100">
              <a:solidFill>
                <a:schemeClr val="dk1"/>
              </a:solidFill>
              <a:effectLst/>
              <a:latin typeface="+mn-lt"/>
              <a:ea typeface="+mn-ea"/>
              <a:cs typeface="+mn-cs"/>
            </a:rPr>
            <a:t>. Boras: SP Swedish National Testing and Research Institute.  Retrieved from </a:t>
          </a:r>
          <a:r>
            <a:rPr lang="en-US" sz="1100" u="sng">
              <a:solidFill>
                <a:schemeClr val="dk1"/>
              </a:solidFill>
              <a:effectLst/>
              <a:latin typeface="+mn-lt"/>
              <a:ea typeface="+mn-ea"/>
              <a:cs typeface="+mn-cs"/>
              <a:hlinkClick xmlns:r="http://schemas.openxmlformats.org/officeDocument/2006/relationships" r:id=""/>
            </a:rPr>
            <a:t>https://www.researchgate.net/publication/324031633_Fire-LCA_Model_Furniture_Study/link/5aba23d1a6fdcc206605b295/download</a:t>
          </a:r>
          <a:br>
            <a:rPr lang="en-US" sz="1100" u="sng">
              <a:solidFill>
                <a:schemeClr val="dk1"/>
              </a:solidFill>
              <a:effectLst/>
              <a:latin typeface="+mn-lt"/>
              <a:ea typeface="+mn-ea"/>
              <a:cs typeface="+mn-cs"/>
            </a:rPr>
          </a:br>
          <a:br>
            <a:rPr lang="en-US" sz="1100" u="sng">
              <a:solidFill>
                <a:schemeClr val="dk1"/>
              </a:solidFill>
              <a:effectLst/>
              <a:latin typeface="+mn-lt"/>
              <a:ea typeface="+mn-ea"/>
              <a:cs typeface="+mn-cs"/>
            </a:rPr>
          </a:br>
          <a:r>
            <a:rPr lang="en-US" sz="1100">
              <a:solidFill>
                <a:schemeClr val="dk1"/>
              </a:solidFill>
              <a:effectLst/>
              <a:latin typeface="+mn-lt"/>
              <a:ea typeface="+mn-ea"/>
              <a:cs typeface="+mn-cs"/>
            </a:rPr>
            <a:t>Deliege, E. J. M., Nijdam, D. S. C., &amp; Vlaanderen, A. C. (1997). </a:t>
          </a:r>
          <a:r>
            <a:rPr lang="en-US" sz="1100" i="1">
              <a:solidFill>
                <a:schemeClr val="dk1"/>
              </a:solidFill>
              <a:effectLst/>
              <a:latin typeface="+mn-lt"/>
              <a:ea typeface="+mn-ea"/>
              <a:cs typeface="+mn-cs"/>
            </a:rPr>
            <a:t>European Ecolabel Bed Mattresses; LCA and criteria proposals final report for the EC</a:t>
          </a:r>
          <a:r>
            <a:rPr lang="en-US" sz="1100">
              <a:solidFill>
                <a:schemeClr val="dk1"/>
              </a:solidFill>
              <a:effectLst/>
              <a:latin typeface="+mn-lt"/>
              <a:ea typeface="+mn-ea"/>
              <a:cs typeface="+mn-cs"/>
            </a:rPr>
            <a:t>. Deventer: Tauw Milieu International.  Retrieved from </a:t>
          </a:r>
          <a:r>
            <a:rPr lang="en-US" sz="1100" u="sng">
              <a:solidFill>
                <a:schemeClr val="dk1"/>
              </a:solidFill>
              <a:effectLst/>
              <a:latin typeface="+mn-lt"/>
              <a:ea typeface="+mn-ea"/>
              <a:cs typeface="+mn-cs"/>
              <a:hlinkClick xmlns:r="http://schemas.openxmlformats.org/officeDocument/2006/relationships" r:id=""/>
            </a:rPr>
            <a:t>https://ec.europa.eu/environment/ecolabel/documents/bed_mattresses_report.pdf</a:t>
          </a:r>
          <a:endParaRPr lang="en-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Rocha, M. S. R. (2013). mattress production, polyurethane foam, GLO. Retrieved from </a:t>
          </a:r>
          <a:r>
            <a:rPr lang="en-US" sz="1100" u="sng">
              <a:solidFill>
                <a:schemeClr val="dk1"/>
              </a:solidFill>
              <a:effectLst/>
              <a:latin typeface="+mn-lt"/>
              <a:ea typeface="+mn-ea"/>
              <a:cs typeface="+mn-cs"/>
              <a:hlinkClick xmlns:r="http://schemas.openxmlformats.org/officeDocument/2006/relationships" r:id=""/>
            </a:rPr>
            <a:t>https://v371.ecoquery.ecoinvent.org/Details/UPR/3ce8a92d-ac5d-413b-a6dd-d0bb536e0578/8b738ea0-f89e-4627-8679-433616064e82</a:t>
          </a:r>
          <a:r>
            <a:rPr lang="en-US" sz="1100">
              <a:solidFill>
                <a:schemeClr val="dk1"/>
              </a:solidFill>
              <a:effectLst/>
              <a:latin typeface="+mn-lt"/>
              <a:ea typeface="+mn-ea"/>
              <a:cs typeface="+mn-cs"/>
            </a:rPr>
            <a:t>. Available from EcoInvent Version 3  Retrieved 09/04/2021, from CRPHTLU </a:t>
          </a:r>
          <a:r>
            <a:rPr lang="en-US" sz="1100" u="sng">
              <a:solidFill>
                <a:schemeClr val="dk1"/>
              </a:solidFill>
              <a:effectLst/>
              <a:latin typeface="+mn-lt"/>
              <a:ea typeface="+mn-ea"/>
              <a:cs typeface="+mn-cs"/>
              <a:hlinkClick xmlns:r="http://schemas.openxmlformats.org/officeDocument/2006/relationships" r:id=""/>
            </a:rPr>
            <a:t>https://v371.ecoquery.ecoinvent.org/Details/UPR/3ce8a92d-ac5d-413b-a6dd-d0bb536e0578/8b738ea0-f89e-4627-8679-433616064e82</a:t>
          </a:r>
          <a:br>
            <a:rPr lang="en-US" sz="1100" u="sng">
              <a:solidFill>
                <a:schemeClr val="dk1"/>
              </a:solidFill>
              <a:effectLst/>
              <a:latin typeface="+mn-lt"/>
              <a:ea typeface="+mn-ea"/>
              <a:cs typeface="+mn-cs"/>
            </a:rPr>
          </a:br>
          <a:endParaRPr lang="en-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Gamage, G. B. B., Carol, McLaren, S. J., &amp; McLaren, J. (2008). Life cycle assessment of commercial furniture: a case study of Formway LIFE chair. </a:t>
          </a:r>
          <a:r>
            <a:rPr lang="en-US" sz="1100" i="1">
              <a:solidFill>
                <a:schemeClr val="dk1"/>
              </a:solidFill>
              <a:effectLst/>
              <a:latin typeface="+mn-lt"/>
              <a:ea typeface="+mn-ea"/>
              <a:cs typeface="+mn-cs"/>
            </a:rPr>
            <a:t>International Journal Life Cycle Assessment, 13</a:t>
          </a:r>
          <a:r>
            <a:rPr lang="en-US" sz="1100">
              <a:solidFill>
                <a:schemeClr val="dk1"/>
              </a:solidFill>
              <a:effectLst/>
              <a:latin typeface="+mn-lt"/>
              <a:ea typeface="+mn-ea"/>
              <a:cs typeface="+mn-cs"/>
            </a:rPr>
            <a:t>, 401-411. </a:t>
          </a:r>
          <a:endParaRPr lang="en-NL" sz="1100">
            <a:solidFill>
              <a:schemeClr val="dk1"/>
            </a:solidFill>
            <a:effectLst/>
            <a:latin typeface="+mn-lt"/>
            <a:ea typeface="+mn-ea"/>
            <a:cs typeface="+mn-cs"/>
          </a:endParaRPr>
        </a:p>
        <a:p>
          <a:br>
            <a:rPr lang="en-US" sz="1100">
              <a:solidFill>
                <a:schemeClr val="dk1"/>
              </a:solidFill>
              <a:effectLst/>
              <a:latin typeface="+mn-lt"/>
              <a:ea typeface="+mn-ea"/>
              <a:cs typeface="+mn-cs"/>
            </a:rPr>
          </a:br>
          <a:r>
            <a:rPr lang="en-US" sz="1100">
              <a:solidFill>
                <a:schemeClr val="dk1"/>
              </a:solidFill>
              <a:effectLst/>
              <a:latin typeface="+mn-lt"/>
              <a:ea typeface="+mn-ea"/>
              <a:cs typeface="+mn-cs"/>
            </a:rPr>
            <a:t>Geng, A., Ning, Z., Zhang, H., &amp; Yang, H. (2019). Quantifying the climate change mitigation potential of China’s furniture sector: Wood substitution benefits on emission reduction. </a:t>
          </a:r>
          <a:r>
            <a:rPr lang="en-US" sz="1100" i="1">
              <a:solidFill>
                <a:schemeClr val="dk1"/>
              </a:solidFill>
              <a:effectLst/>
              <a:latin typeface="+mn-lt"/>
              <a:ea typeface="+mn-ea"/>
              <a:cs typeface="+mn-cs"/>
            </a:rPr>
            <a:t>Ecological Indicators, 103</a:t>
          </a:r>
          <a:r>
            <a:rPr lang="en-US" sz="1100">
              <a:solidFill>
                <a:schemeClr val="dk1"/>
              </a:solidFill>
              <a:effectLst/>
              <a:latin typeface="+mn-lt"/>
              <a:ea typeface="+mn-ea"/>
              <a:cs typeface="+mn-cs"/>
            </a:rPr>
            <a:t>, 363-372. doi:10.1016/j.ecolind.2019.04.036</a:t>
          </a:r>
          <a:endParaRPr lang="en-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br>
            <a:rPr lang="en-US" sz="1100">
              <a:solidFill>
                <a:schemeClr val="dk1"/>
              </a:solidFill>
              <a:effectLst/>
              <a:latin typeface="+mn-lt"/>
              <a:ea typeface="+mn-ea"/>
              <a:cs typeface="+mn-cs"/>
            </a:rPr>
          </a:br>
          <a:r>
            <a:rPr lang="en-US" sz="1100">
              <a:solidFill>
                <a:schemeClr val="dk1"/>
              </a:solidFill>
              <a:effectLst/>
              <a:latin typeface="+mn-lt"/>
              <a:ea typeface="+mn-ea"/>
              <a:cs typeface="+mn-cs"/>
            </a:rPr>
            <a:t>Glew, D., Stringer, L. C., Acquaye, A. A., &amp; McQueen-Mason, S. (2012). How do end of life scenarios influence the environmental impact of product supply chains? comparing biomaterial and petrochemical products. </a:t>
          </a:r>
          <a:r>
            <a:rPr lang="en-US" sz="1100" i="1">
              <a:solidFill>
                <a:schemeClr val="dk1"/>
              </a:solidFill>
              <a:effectLst/>
              <a:latin typeface="+mn-lt"/>
              <a:ea typeface="+mn-ea"/>
              <a:cs typeface="+mn-cs"/>
            </a:rPr>
            <a:t>Journal of Cleaner Production, 29-30</a:t>
          </a:r>
          <a:r>
            <a:rPr lang="en-US" sz="1100">
              <a:solidFill>
                <a:schemeClr val="dk1"/>
              </a:solidFill>
              <a:effectLst/>
              <a:latin typeface="+mn-lt"/>
              <a:ea typeface="+mn-ea"/>
              <a:cs typeface="+mn-cs"/>
            </a:rPr>
            <a:t>, 122-131. doi:10.1016/j.jclepro.2012.02.005</a:t>
          </a:r>
          <a:endParaRPr lang="en-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br>
            <a:rPr lang="en-US" sz="1100">
              <a:solidFill>
                <a:schemeClr val="dk1"/>
              </a:solidFill>
              <a:effectLst/>
              <a:latin typeface="+mn-lt"/>
              <a:ea typeface="+mn-ea"/>
              <a:cs typeface="+mn-cs"/>
            </a:rPr>
          </a:br>
          <a:r>
            <a:rPr lang="en-US" sz="1100">
              <a:solidFill>
                <a:schemeClr val="dk1"/>
              </a:solidFill>
              <a:effectLst/>
              <a:latin typeface="+mn-lt"/>
              <a:ea typeface="+mn-ea"/>
              <a:cs typeface="+mn-cs"/>
            </a:rPr>
            <a:t>Hoxha, E., &amp; Jusselme, T. (2017). On the necessity of improving the environmental impacts of furniture and appliances in net-zero energy buildings. </a:t>
          </a:r>
          <a:r>
            <a:rPr lang="en-US" sz="1100" i="1">
              <a:solidFill>
                <a:schemeClr val="dk1"/>
              </a:solidFill>
              <a:effectLst/>
              <a:latin typeface="+mn-lt"/>
              <a:ea typeface="+mn-ea"/>
              <a:cs typeface="+mn-cs"/>
            </a:rPr>
            <a:t>Sci Total Environ, 596-597</a:t>
          </a:r>
          <a:r>
            <a:rPr lang="en-US" sz="1100">
              <a:solidFill>
                <a:schemeClr val="dk1"/>
              </a:solidFill>
              <a:effectLst/>
              <a:latin typeface="+mn-lt"/>
              <a:ea typeface="+mn-ea"/>
              <a:cs typeface="+mn-cs"/>
            </a:rPr>
            <a:t>, 405-416. doi:10.1016/j.scitotenv.2017.03.107</a:t>
          </a:r>
          <a:endParaRPr lang="en-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br>
            <a:rPr lang="en-US" sz="1100">
              <a:solidFill>
                <a:schemeClr val="dk1"/>
              </a:solidFill>
              <a:effectLst/>
              <a:latin typeface="+mn-lt"/>
              <a:ea typeface="+mn-ea"/>
              <a:cs typeface="+mn-cs"/>
            </a:rPr>
          </a:br>
          <a:r>
            <a:rPr lang="en-US" sz="1100">
              <a:solidFill>
                <a:schemeClr val="dk1"/>
              </a:solidFill>
              <a:effectLst/>
              <a:latin typeface="+mn-lt"/>
              <a:ea typeface="+mn-ea"/>
              <a:cs typeface="+mn-cs"/>
            </a:rPr>
            <a:t>Iritani, D. R., Silva, D. A. L., Saavedra, Y. M. B., Grael, P. F. F., &amp; Ometto, A. R. (2015). Sustainable strategies analysis through Life Cycle Assessment: a case study in a furniture industry. </a:t>
          </a:r>
          <a:r>
            <a:rPr lang="en-US" sz="1100" i="1">
              <a:solidFill>
                <a:schemeClr val="dk1"/>
              </a:solidFill>
              <a:effectLst/>
              <a:latin typeface="+mn-lt"/>
              <a:ea typeface="+mn-ea"/>
              <a:cs typeface="+mn-cs"/>
            </a:rPr>
            <a:t>Journal of Cleaner Production, 96</a:t>
          </a:r>
          <a:r>
            <a:rPr lang="en-US" sz="1100">
              <a:solidFill>
                <a:schemeClr val="dk1"/>
              </a:solidFill>
              <a:effectLst/>
              <a:latin typeface="+mn-lt"/>
              <a:ea typeface="+mn-ea"/>
              <a:cs typeface="+mn-cs"/>
            </a:rPr>
            <a:t>, 308-318. doi:10.1016/j.jclepro.2014.05.029</a:t>
          </a:r>
          <a:endParaRPr lang="en-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br>
            <a:rPr lang="en-US" sz="1100">
              <a:solidFill>
                <a:schemeClr val="dk1"/>
              </a:solidFill>
              <a:effectLst/>
              <a:latin typeface="+mn-lt"/>
              <a:ea typeface="+mn-ea"/>
              <a:cs typeface="+mn-cs"/>
            </a:rPr>
          </a:br>
          <a:r>
            <a:rPr lang="en-US" sz="1100">
              <a:solidFill>
                <a:schemeClr val="dk1"/>
              </a:solidFill>
              <a:effectLst/>
              <a:latin typeface="+mn-lt"/>
              <a:ea typeface="+mn-ea"/>
              <a:cs typeface="+mn-cs"/>
            </a:rPr>
            <a:t>Wang, S., Su, D., &amp; Zhu, S. (2016). A comparative study on life cycle assessment of typical wood base furniture. </a:t>
          </a:r>
          <a:r>
            <a:rPr lang="en-US" sz="1100" i="1">
              <a:solidFill>
                <a:schemeClr val="dk1"/>
              </a:solidFill>
              <a:effectLst/>
              <a:latin typeface="+mn-lt"/>
              <a:ea typeface="+mn-ea"/>
              <a:cs typeface="+mn-cs"/>
            </a:rPr>
            <a:t>Advances in Engineering Research, 63</a:t>
          </a:r>
          <a:r>
            <a:rPr lang="en-US" sz="1100">
              <a:solidFill>
                <a:schemeClr val="dk1"/>
              </a:solidFill>
              <a:effectLst/>
              <a:latin typeface="+mn-lt"/>
              <a:ea typeface="+mn-ea"/>
              <a:cs typeface="+mn-cs"/>
            </a:rPr>
            <a:t>, 634-640. </a:t>
          </a:r>
          <a:endParaRPr lang="en-NL" sz="1100">
            <a:solidFill>
              <a:schemeClr val="dk1"/>
            </a:solidFill>
            <a:effectLst/>
            <a:latin typeface="+mn-lt"/>
            <a:ea typeface="+mn-ea"/>
            <a:cs typeface="+mn-cs"/>
          </a:endParaRPr>
        </a:p>
        <a:p>
          <a:endParaRPr lang="en-GB" sz="1100"/>
        </a:p>
        <a:p>
          <a:r>
            <a:rPr lang="en-GB" sz="1100" b="1"/>
            <a:t>Environmental</a:t>
          </a:r>
          <a:r>
            <a:rPr lang="en-GB" sz="1100" b="1" baseline="0"/>
            <a:t> Product Declarations references (EN20):</a:t>
          </a:r>
        </a:p>
        <a:p>
          <a:r>
            <a:rPr lang="en-US" sz="1100">
              <a:solidFill>
                <a:schemeClr val="dk1"/>
              </a:solidFill>
              <a:effectLst/>
              <a:latin typeface="+mn-lt"/>
              <a:ea typeface="+mn-ea"/>
              <a:cs typeface="+mn-cs"/>
            </a:rPr>
            <a:t>Arper SpA. (2018a). </a:t>
          </a:r>
          <a:r>
            <a:rPr lang="en-US" sz="1100" i="1">
              <a:solidFill>
                <a:schemeClr val="dk1"/>
              </a:solidFill>
              <a:effectLst/>
              <a:latin typeface="+mn-lt"/>
              <a:ea typeface="+mn-ea"/>
              <a:cs typeface="+mn-cs"/>
            </a:rPr>
            <a:t>Environmental Product Declaration: Catifa 46</a:t>
          </a:r>
          <a:r>
            <a:rPr lang="en-US" sz="1100">
              <a:solidFill>
                <a:schemeClr val="dk1"/>
              </a:solidFill>
              <a:effectLst/>
              <a:latin typeface="+mn-lt"/>
              <a:ea typeface="+mn-ea"/>
              <a:cs typeface="+mn-cs"/>
            </a:rPr>
            <a:t> (S-P-01494).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https://environdec.com/library/epd1498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Arper SpA. (2018b). </a:t>
          </a:r>
          <a:r>
            <a:rPr lang="en-US" sz="1100" i="1">
              <a:solidFill>
                <a:schemeClr val="dk1"/>
              </a:solidFill>
              <a:effectLst/>
              <a:latin typeface="+mn-lt"/>
              <a:ea typeface="+mn-ea"/>
              <a:cs typeface="+mn-cs"/>
            </a:rPr>
            <a:t>Environmental Product Declaration: Ginger</a:t>
          </a:r>
          <a:r>
            <a:rPr lang="en-US" sz="1100">
              <a:solidFill>
                <a:schemeClr val="dk1"/>
              </a:solidFill>
              <a:effectLst/>
              <a:latin typeface="+mn-lt"/>
              <a:ea typeface="+mn-ea"/>
              <a:cs typeface="+mn-cs"/>
            </a:rPr>
            <a:t> (S-P-01496).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https://www.environdec.com/library/epd1496</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Arper SpA. (2019a). </a:t>
          </a:r>
          <a:r>
            <a:rPr lang="en-US" sz="1100" i="1">
              <a:solidFill>
                <a:schemeClr val="dk1"/>
              </a:solidFill>
              <a:effectLst/>
              <a:latin typeface="+mn-lt"/>
              <a:ea typeface="+mn-ea"/>
              <a:cs typeface="+mn-cs"/>
            </a:rPr>
            <a:t>Environmental Product Declaration: BABAR (barstool)</a:t>
          </a:r>
          <a:r>
            <a:rPr lang="en-US" sz="1100">
              <a:solidFill>
                <a:schemeClr val="dk1"/>
              </a:solidFill>
              <a:effectLst/>
              <a:latin typeface="+mn-lt"/>
              <a:ea typeface="+mn-ea"/>
              <a:cs typeface="+mn-cs"/>
            </a:rPr>
            <a:t> (S-P-01668).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https://environdec.com/library/epd1668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Arper SpA. (2019b). </a:t>
          </a:r>
          <a:r>
            <a:rPr lang="en-US" sz="1100" i="1">
              <a:solidFill>
                <a:schemeClr val="dk1"/>
              </a:solidFill>
              <a:effectLst/>
              <a:latin typeface="+mn-lt"/>
              <a:ea typeface="+mn-ea"/>
              <a:cs typeface="+mn-cs"/>
            </a:rPr>
            <a:t>Environmental Product Declaration: Catifa 53</a:t>
          </a:r>
          <a:r>
            <a:rPr lang="en-US" sz="1100">
              <a:solidFill>
                <a:schemeClr val="dk1"/>
              </a:solidFill>
              <a:effectLst/>
              <a:latin typeface="+mn-lt"/>
              <a:ea typeface="+mn-ea"/>
              <a:cs typeface="+mn-cs"/>
            </a:rPr>
            <a:t> (S-P-01495).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https://environdec.com/library/epd1495</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Arper SpA. (2019c). </a:t>
          </a:r>
          <a:r>
            <a:rPr lang="en-US" sz="1100" i="1">
              <a:solidFill>
                <a:schemeClr val="dk1"/>
              </a:solidFill>
              <a:effectLst/>
              <a:latin typeface="+mn-lt"/>
              <a:ea typeface="+mn-ea"/>
              <a:cs typeface="+mn-cs"/>
            </a:rPr>
            <a:t>Environmental Product Declaration: DUNA 02 eco</a:t>
          </a:r>
          <a:r>
            <a:rPr lang="en-US" sz="1100">
              <a:solidFill>
                <a:schemeClr val="dk1"/>
              </a:solidFill>
              <a:effectLst/>
              <a:latin typeface="+mn-lt"/>
              <a:ea typeface="+mn-ea"/>
              <a:cs typeface="+mn-cs"/>
            </a:rPr>
            <a:t> (S-P-01498).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https://environdec.com/library/epd1498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Arper SpA. (2019d). </a:t>
          </a:r>
          <a:r>
            <a:rPr lang="en-US" sz="1100" i="1">
              <a:solidFill>
                <a:schemeClr val="dk1"/>
              </a:solidFill>
              <a:effectLst/>
              <a:latin typeface="+mn-lt"/>
              <a:ea typeface="+mn-ea"/>
              <a:cs typeface="+mn-cs"/>
            </a:rPr>
            <a:t>Environmental Product Declaration: Juno</a:t>
          </a:r>
          <a:r>
            <a:rPr lang="en-US" sz="1100">
              <a:solidFill>
                <a:schemeClr val="dk1"/>
              </a:solidFill>
              <a:effectLst/>
              <a:latin typeface="+mn-lt"/>
              <a:ea typeface="+mn-ea"/>
              <a:cs typeface="+mn-cs"/>
            </a:rPr>
            <a:t> (S-P-01715).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https://www.environdec.com/library/epd1715</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Arper SpA. (2020). </a:t>
          </a:r>
          <a:r>
            <a:rPr lang="en-US" sz="1100" i="1">
              <a:solidFill>
                <a:schemeClr val="dk1"/>
              </a:solidFill>
              <a:effectLst/>
              <a:latin typeface="+mn-lt"/>
              <a:ea typeface="+mn-ea"/>
              <a:cs typeface="+mn-cs"/>
            </a:rPr>
            <a:t>Environmental Product Declaration: Storage Collection 800 Series</a:t>
          </a:r>
          <a:r>
            <a:rPr lang="en-US" sz="1100">
              <a:solidFill>
                <a:schemeClr val="dk1"/>
              </a:solidFill>
              <a:effectLst/>
              <a:latin typeface="+mn-lt"/>
              <a:ea typeface="+mn-ea"/>
              <a:cs typeface="+mn-cs"/>
            </a:rPr>
            <a:t> (S-P-02068).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https://www.environdec.com/library/epd2068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EuGeos Limited. (2019a). </a:t>
          </a:r>
          <a:r>
            <a:rPr lang="en-US" sz="1100" i="1">
              <a:solidFill>
                <a:schemeClr val="dk1"/>
              </a:solidFill>
              <a:effectLst/>
              <a:latin typeface="+mn-lt"/>
              <a:ea typeface="+mn-ea"/>
              <a:cs typeface="+mn-cs"/>
            </a:rPr>
            <a:t>Environmental Product Declaration: Office Storage Drawer Units</a:t>
          </a:r>
          <a:r>
            <a:rPr lang="en-US" sz="1100">
              <a:solidFill>
                <a:schemeClr val="dk1"/>
              </a:solidFill>
              <a:effectLst/>
              <a:latin typeface="+mn-lt"/>
              <a:ea typeface="+mn-ea"/>
              <a:cs typeface="+mn-cs"/>
            </a:rPr>
            <a:t> (S-P-01608).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https://www.environdec.com/library/epd1608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EuGeos Limited. (2019b). </a:t>
          </a:r>
          <a:r>
            <a:rPr lang="en-US" sz="1100" i="1">
              <a:solidFill>
                <a:schemeClr val="dk1"/>
              </a:solidFill>
              <a:effectLst/>
              <a:latin typeface="+mn-lt"/>
              <a:ea typeface="+mn-ea"/>
              <a:cs typeface="+mn-cs"/>
            </a:rPr>
            <a:t>Environmental Product Declaration: Storage Furniture Caddy</a:t>
          </a:r>
          <a:r>
            <a:rPr lang="en-US" sz="1100">
              <a:solidFill>
                <a:schemeClr val="dk1"/>
              </a:solidFill>
              <a:effectLst/>
              <a:latin typeface="+mn-lt"/>
              <a:ea typeface="+mn-ea"/>
              <a:cs typeface="+mn-cs"/>
            </a:rPr>
            <a:t> (S-P-01612).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https://www.environdec.com/library/epd1612</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Greenize. (2019). </a:t>
          </a:r>
          <a:r>
            <a:rPr lang="en-US" sz="1100" i="1">
              <a:solidFill>
                <a:schemeClr val="dk1"/>
              </a:solidFill>
              <a:effectLst/>
              <a:latin typeface="+mn-lt"/>
              <a:ea typeface="+mn-ea"/>
              <a:cs typeface="+mn-cs"/>
            </a:rPr>
            <a:t>Environmental Product Declaration: Siénteme Armchair Sutega</a:t>
          </a:r>
          <a:r>
            <a:rPr lang="en-US" sz="1100">
              <a:solidFill>
                <a:schemeClr val="dk1"/>
              </a:solidFill>
              <a:effectLst/>
              <a:latin typeface="+mn-lt"/>
              <a:ea typeface="+mn-ea"/>
              <a:cs typeface="+mn-cs"/>
            </a:rPr>
            <a:t> (S-P-01628).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https://www.environdec.com/library/epd1628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Ltd., G. I. (2020). </a:t>
          </a:r>
          <a:r>
            <a:rPr lang="en-US" sz="1100" i="1">
              <a:solidFill>
                <a:schemeClr val="dk1"/>
              </a:solidFill>
              <a:effectLst/>
              <a:latin typeface="+mn-lt"/>
              <a:ea typeface="+mn-ea"/>
              <a:cs typeface="+mn-cs"/>
            </a:rPr>
            <a:t>Environmental Product Declaration: Postura+ Chair</a:t>
          </a:r>
          <a:r>
            <a:rPr lang="en-US" sz="1100">
              <a:solidFill>
                <a:schemeClr val="dk1"/>
              </a:solidFill>
              <a:effectLst/>
              <a:latin typeface="+mn-lt"/>
              <a:ea typeface="+mn-ea"/>
              <a:cs typeface="+mn-cs"/>
            </a:rPr>
            <a:t> (S-P-02067).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https://environdec.com/library/epd2067</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(2009). </a:t>
          </a:r>
          <a:r>
            <a:rPr lang="en-US" sz="1100" i="1">
              <a:solidFill>
                <a:schemeClr val="dk1"/>
              </a:solidFill>
              <a:effectLst/>
              <a:latin typeface="+mn-lt"/>
              <a:ea typeface="+mn-ea"/>
              <a:cs typeface="+mn-cs"/>
            </a:rPr>
            <a:t>Environmental Product Declaration: OVO Chair</a:t>
          </a:r>
          <a:r>
            <a:rPr lang="en-US" sz="1100">
              <a:solidFill>
                <a:schemeClr val="dk1"/>
              </a:solidFill>
              <a:effectLst/>
              <a:latin typeface="+mn-lt"/>
              <a:ea typeface="+mn-ea"/>
              <a:cs typeface="+mn-cs"/>
            </a:rPr>
            <a:t> (S-P-01958).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https://www.environdec.com/library/epd1958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(2018a). </a:t>
          </a:r>
          <a:r>
            <a:rPr lang="en-US" sz="1100" i="1">
              <a:solidFill>
                <a:schemeClr val="dk1"/>
              </a:solidFill>
              <a:effectLst/>
              <a:latin typeface="+mn-lt"/>
              <a:ea typeface="+mn-ea"/>
              <a:cs typeface="+mn-cs"/>
            </a:rPr>
            <a:t>Environmental Product Declaration: Asanda Chairs</a:t>
          </a:r>
          <a:r>
            <a:rPr lang="en-US" sz="1100">
              <a:solidFill>
                <a:schemeClr val="dk1"/>
              </a:solidFill>
              <a:effectLst/>
              <a:latin typeface="+mn-lt"/>
              <a:ea typeface="+mn-ea"/>
              <a:cs typeface="+mn-cs"/>
            </a:rPr>
            <a:t> (S-P-01285).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https://www.environdec.com/library/epd1285</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(2018b). </a:t>
          </a:r>
          <a:r>
            <a:rPr lang="en-US" sz="1100" i="1">
              <a:solidFill>
                <a:schemeClr val="dk1"/>
              </a:solidFill>
              <a:effectLst/>
              <a:latin typeface="+mn-lt"/>
              <a:ea typeface="+mn-ea"/>
              <a:cs typeface="+mn-cs"/>
            </a:rPr>
            <a:t>Environmental Product Declaration: Cantata Chairs</a:t>
          </a:r>
          <a:r>
            <a:rPr lang="en-US" sz="1100">
              <a:solidFill>
                <a:schemeClr val="dk1"/>
              </a:solidFill>
              <a:effectLst/>
              <a:latin typeface="+mn-lt"/>
              <a:ea typeface="+mn-ea"/>
              <a:cs typeface="+mn-cs"/>
            </a:rPr>
            <a:t> (S-P-01286).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https://www.environdec.com/library/epd1286</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(2018c). </a:t>
          </a:r>
          <a:r>
            <a:rPr lang="en-US" sz="1100" i="1">
              <a:solidFill>
                <a:schemeClr val="dk1"/>
              </a:solidFill>
              <a:effectLst/>
              <a:latin typeface="+mn-lt"/>
              <a:ea typeface="+mn-ea"/>
              <a:cs typeface="+mn-cs"/>
            </a:rPr>
            <a:t>Environmental Product Declaration: Cantata desk systems</a:t>
          </a:r>
          <a:r>
            <a:rPr lang="en-US" sz="1100">
              <a:solidFill>
                <a:schemeClr val="dk1"/>
              </a:solidFill>
              <a:effectLst/>
              <a:latin typeface="+mn-lt"/>
              <a:ea typeface="+mn-ea"/>
              <a:cs typeface="+mn-cs"/>
            </a:rPr>
            <a:t> (S-P-01286).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https://www.environdec.com/library/epd1286</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(2018d). </a:t>
          </a:r>
          <a:r>
            <a:rPr lang="en-US" sz="1100" i="1">
              <a:solidFill>
                <a:schemeClr val="dk1"/>
              </a:solidFill>
              <a:effectLst/>
              <a:latin typeface="+mn-lt"/>
              <a:ea typeface="+mn-ea"/>
              <a:cs typeface="+mn-cs"/>
            </a:rPr>
            <a:t>Environmental Product Declaration: Clarus Office Chairs</a:t>
          </a:r>
          <a:r>
            <a:rPr lang="en-US" sz="1100">
              <a:solidFill>
                <a:schemeClr val="dk1"/>
              </a:solidFill>
              <a:effectLst/>
              <a:latin typeface="+mn-lt"/>
              <a:ea typeface="+mn-ea"/>
              <a:cs typeface="+mn-cs"/>
            </a:rPr>
            <a:t> (S-P-01195).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https://www.environdec.com/library/epd1195</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(2018e). </a:t>
          </a:r>
          <a:r>
            <a:rPr lang="en-US" sz="1100" i="1">
              <a:solidFill>
                <a:schemeClr val="dk1"/>
              </a:solidFill>
              <a:effectLst/>
              <a:latin typeface="+mn-lt"/>
              <a:ea typeface="+mn-ea"/>
              <a:cs typeface="+mn-cs"/>
            </a:rPr>
            <a:t>Environmental Product Declaration: Gala Office Chairs</a:t>
          </a:r>
          <a:r>
            <a:rPr lang="en-US" sz="1100">
              <a:solidFill>
                <a:schemeClr val="dk1"/>
              </a:solidFill>
              <a:effectLst/>
              <a:latin typeface="+mn-lt"/>
              <a:ea typeface="+mn-ea"/>
              <a:cs typeface="+mn-cs"/>
            </a:rPr>
            <a:t> (S-P-01268).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https://www.environdec.com/library/epd1268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(2018f). </a:t>
          </a:r>
          <a:r>
            <a:rPr lang="en-US" sz="1100" i="1">
              <a:solidFill>
                <a:schemeClr val="dk1"/>
              </a:solidFill>
              <a:effectLst/>
              <a:latin typeface="+mn-lt"/>
              <a:ea typeface="+mn-ea"/>
              <a:cs typeface="+mn-cs"/>
            </a:rPr>
            <a:t>Environmental Product Declaration: Hanoba Sofas</a:t>
          </a:r>
          <a:r>
            <a:rPr lang="en-US" sz="1100">
              <a:solidFill>
                <a:schemeClr val="dk1"/>
              </a:solidFill>
              <a:effectLst/>
              <a:latin typeface="+mn-lt"/>
              <a:ea typeface="+mn-ea"/>
              <a:cs typeface="+mn-cs"/>
            </a:rPr>
            <a:t> (S-P-01284).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https://www.environdec.com/library/epd1284</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(2018g). </a:t>
          </a:r>
          <a:r>
            <a:rPr lang="en-US" sz="1100" i="1">
              <a:solidFill>
                <a:schemeClr val="dk1"/>
              </a:solidFill>
              <a:effectLst/>
              <a:latin typeface="+mn-lt"/>
              <a:ea typeface="+mn-ea"/>
              <a:cs typeface="+mn-cs"/>
            </a:rPr>
            <a:t>Environmental Product Declaration: Helen Chairs</a:t>
          </a:r>
          <a:r>
            <a:rPr lang="en-US" sz="1100">
              <a:solidFill>
                <a:schemeClr val="dk1"/>
              </a:solidFill>
              <a:effectLst/>
              <a:latin typeface="+mn-lt"/>
              <a:ea typeface="+mn-ea"/>
              <a:cs typeface="+mn-cs"/>
            </a:rPr>
            <a:t> (S-P-01288).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https://environdec.com/library/epd1288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(2018h). </a:t>
          </a:r>
          <a:r>
            <a:rPr lang="en-US" sz="1100" i="1">
              <a:solidFill>
                <a:schemeClr val="dk1"/>
              </a:solidFill>
              <a:effectLst/>
              <a:latin typeface="+mn-lt"/>
              <a:ea typeface="+mn-ea"/>
              <a:cs typeface="+mn-cs"/>
            </a:rPr>
            <a:t>Environmental Product Declaration: Kaffa Sofas</a:t>
          </a:r>
          <a:r>
            <a:rPr lang="en-US" sz="1100">
              <a:solidFill>
                <a:schemeClr val="dk1"/>
              </a:solidFill>
              <a:effectLst/>
              <a:latin typeface="+mn-lt"/>
              <a:ea typeface="+mn-ea"/>
              <a:cs typeface="+mn-cs"/>
            </a:rPr>
            <a:t> (S-P-01198).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https://www.environdec.com/library/epd1198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(2018i). </a:t>
          </a:r>
          <a:r>
            <a:rPr lang="en-US" sz="1100" i="1">
              <a:solidFill>
                <a:schemeClr val="dk1"/>
              </a:solidFill>
              <a:effectLst/>
              <a:latin typeface="+mn-lt"/>
              <a:ea typeface="+mn-ea"/>
              <a:cs typeface="+mn-cs"/>
            </a:rPr>
            <a:t>Environmental Product Declaration: Lean Desk Systems</a:t>
          </a:r>
          <a:r>
            <a:rPr lang="en-US" sz="1100">
              <a:solidFill>
                <a:schemeClr val="dk1"/>
              </a:solidFill>
              <a:effectLst/>
              <a:latin typeface="+mn-lt"/>
              <a:ea typeface="+mn-ea"/>
              <a:cs typeface="+mn-cs"/>
            </a:rPr>
            <a:t> (S-P-01295).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https://environdec.com/library/epd1295</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(2018j). </a:t>
          </a:r>
          <a:r>
            <a:rPr lang="en-US" sz="1100" i="1">
              <a:solidFill>
                <a:schemeClr val="dk1"/>
              </a:solidFill>
              <a:effectLst/>
              <a:latin typeface="+mn-lt"/>
              <a:ea typeface="+mn-ea"/>
              <a:cs typeface="+mn-cs"/>
            </a:rPr>
            <a:t>Environmental Product Declaration: Miranda Chairs</a:t>
          </a:r>
          <a:r>
            <a:rPr lang="en-US" sz="1100">
              <a:solidFill>
                <a:schemeClr val="dk1"/>
              </a:solidFill>
              <a:effectLst/>
              <a:latin typeface="+mn-lt"/>
              <a:ea typeface="+mn-ea"/>
              <a:cs typeface="+mn-cs"/>
            </a:rPr>
            <a:t> (S-P-01278).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https://environdec.com/library/epd1278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(2018k). </a:t>
          </a:r>
          <a:r>
            <a:rPr lang="en-US" sz="1100" i="1">
              <a:solidFill>
                <a:schemeClr val="dk1"/>
              </a:solidFill>
              <a:effectLst/>
              <a:latin typeface="+mn-lt"/>
              <a:ea typeface="+mn-ea"/>
              <a:cs typeface="+mn-cs"/>
            </a:rPr>
            <a:t>Environmental Product Declaration: Narcissus Coffee Table</a:t>
          </a:r>
          <a:r>
            <a:rPr lang="en-US" sz="1100">
              <a:solidFill>
                <a:schemeClr val="dk1"/>
              </a:solidFill>
              <a:effectLst/>
              <a:latin typeface="+mn-lt"/>
              <a:ea typeface="+mn-ea"/>
              <a:cs typeface="+mn-cs"/>
            </a:rPr>
            <a:t> (S-P-01296).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https://www.environdec.com/library/epd1296</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(2018l). </a:t>
          </a:r>
          <a:r>
            <a:rPr lang="en-US" sz="1100" i="1">
              <a:solidFill>
                <a:schemeClr val="dk1"/>
              </a:solidFill>
              <a:effectLst/>
              <a:latin typeface="+mn-lt"/>
              <a:ea typeface="+mn-ea"/>
              <a:cs typeface="+mn-cs"/>
            </a:rPr>
            <a:t>Environmental Product Declaration: Pasenow Sofas</a:t>
          </a:r>
          <a:r>
            <a:rPr lang="en-US" sz="1100">
              <a:solidFill>
                <a:schemeClr val="dk1"/>
              </a:solidFill>
              <a:effectLst/>
              <a:latin typeface="+mn-lt"/>
              <a:ea typeface="+mn-ea"/>
              <a:cs typeface="+mn-cs"/>
            </a:rPr>
            <a:t> (S-P-01279).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https://www.environdec.com/library/epd1279</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(2018m). </a:t>
          </a:r>
          <a:r>
            <a:rPr lang="en-US" sz="1100" i="1">
              <a:solidFill>
                <a:schemeClr val="dk1"/>
              </a:solidFill>
              <a:effectLst/>
              <a:latin typeface="+mn-lt"/>
              <a:ea typeface="+mn-ea"/>
              <a:cs typeface="+mn-cs"/>
            </a:rPr>
            <a:t>Environmental Product Declaration: Path Storage Systems</a:t>
          </a:r>
          <a:r>
            <a:rPr lang="en-US" sz="1100">
              <a:solidFill>
                <a:schemeClr val="dk1"/>
              </a:solidFill>
              <a:effectLst/>
              <a:latin typeface="+mn-lt"/>
              <a:ea typeface="+mn-ea"/>
              <a:cs typeface="+mn-cs"/>
            </a:rPr>
            <a:t> (S-P-01265).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https://www.environdec.com/library/epd1265</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(2018n). </a:t>
          </a:r>
          <a:r>
            <a:rPr lang="en-US" sz="1100" i="1">
              <a:solidFill>
                <a:schemeClr val="dk1"/>
              </a:solidFill>
              <a:effectLst/>
              <a:latin typeface="+mn-lt"/>
              <a:ea typeface="+mn-ea"/>
              <a:cs typeface="+mn-cs"/>
            </a:rPr>
            <a:t>Environmental Product Declaration: Plan Coffee Table</a:t>
          </a:r>
          <a:r>
            <a:rPr lang="en-US" sz="1100">
              <a:solidFill>
                <a:schemeClr val="dk1"/>
              </a:solidFill>
              <a:effectLst/>
              <a:latin typeface="+mn-lt"/>
              <a:ea typeface="+mn-ea"/>
              <a:cs typeface="+mn-cs"/>
            </a:rPr>
            <a:t> (S-P-01298).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https://www.environdec.com/library/epd1298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(2018o). </a:t>
          </a:r>
          <a:r>
            <a:rPr lang="en-US" sz="1100" i="1">
              <a:solidFill>
                <a:schemeClr val="dk1"/>
              </a:solidFill>
              <a:effectLst/>
              <a:latin typeface="+mn-lt"/>
              <a:ea typeface="+mn-ea"/>
              <a:cs typeface="+mn-cs"/>
            </a:rPr>
            <a:t>Environmental Product Declaration: Poema Sofas</a:t>
          </a:r>
          <a:r>
            <a:rPr lang="en-US" sz="1100">
              <a:solidFill>
                <a:schemeClr val="dk1"/>
              </a:solidFill>
              <a:effectLst/>
              <a:latin typeface="+mn-lt"/>
              <a:ea typeface="+mn-ea"/>
              <a:cs typeface="+mn-cs"/>
            </a:rPr>
            <a:t> (S-P-01283).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https://www.environdec.com/library/epd1283</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(2018p). </a:t>
          </a:r>
          <a:r>
            <a:rPr lang="en-US" sz="1100" i="1">
              <a:solidFill>
                <a:schemeClr val="dk1"/>
              </a:solidFill>
              <a:effectLst/>
              <a:latin typeface="+mn-lt"/>
              <a:ea typeface="+mn-ea"/>
              <a:cs typeface="+mn-cs"/>
            </a:rPr>
            <a:t>Environmental Product Declaration: Ray Coffee Table</a:t>
          </a:r>
          <a:r>
            <a:rPr lang="en-US" sz="1100">
              <a:solidFill>
                <a:schemeClr val="dk1"/>
              </a:solidFill>
              <a:effectLst/>
              <a:latin typeface="+mn-lt"/>
              <a:ea typeface="+mn-ea"/>
              <a:cs typeface="+mn-cs"/>
            </a:rPr>
            <a:t> (S-P-01196).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https://www.environdec.com/library/epd1196</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(2018q). </a:t>
          </a:r>
          <a:r>
            <a:rPr lang="en-US" sz="1100" i="1">
              <a:solidFill>
                <a:schemeClr val="dk1"/>
              </a:solidFill>
              <a:effectLst/>
              <a:latin typeface="+mn-lt"/>
              <a:ea typeface="+mn-ea"/>
              <a:cs typeface="+mn-cs"/>
            </a:rPr>
            <a:t>Environmental Product Declaration: Sole Armchairs</a:t>
          </a:r>
          <a:r>
            <a:rPr lang="en-US" sz="1100">
              <a:solidFill>
                <a:schemeClr val="dk1"/>
              </a:solidFill>
              <a:effectLst/>
              <a:latin typeface="+mn-lt"/>
              <a:ea typeface="+mn-ea"/>
              <a:cs typeface="+mn-cs"/>
            </a:rPr>
            <a:t> (S-P-01280).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https://environdec.com/library/epd1280</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(2018r). </a:t>
          </a:r>
          <a:r>
            <a:rPr lang="en-US" sz="1100" i="1">
              <a:solidFill>
                <a:schemeClr val="dk1"/>
              </a:solidFill>
              <a:effectLst/>
              <a:latin typeface="+mn-lt"/>
              <a:ea typeface="+mn-ea"/>
              <a:cs typeface="+mn-cs"/>
            </a:rPr>
            <a:t>Environmental Product Declaration: Swan Desk Systems </a:t>
          </a:r>
          <a:r>
            <a:rPr lang="en-US" sz="1100">
              <a:solidFill>
                <a:schemeClr val="dk1"/>
              </a:solidFill>
              <a:effectLst/>
              <a:latin typeface="+mn-lt"/>
              <a:ea typeface="+mn-ea"/>
              <a:cs typeface="+mn-cs"/>
            </a:rPr>
            <a:t>(S-P-01299). Stockholm: EPD International AB. </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(2018s). </a:t>
          </a:r>
          <a:r>
            <a:rPr lang="en-US" sz="1100" i="1">
              <a:solidFill>
                <a:schemeClr val="dk1"/>
              </a:solidFill>
              <a:effectLst/>
              <a:latin typeface="+mn-lt"/>
              <a:ea typeface="+mn-ea"/>
              <a:cs typeface="+mn-cs"/>
            </a:rPr>
            <a:t>Environmental Product Declaration: Terna Coffee Tables</a:t>
          </a:r>
          <a:r>
            <a:rPr lang="en-US" sz="1100">
              <a:solidFill>
                <a:schemeClr val="dk1"/>
              </a:solidFill>
              <a:effectLst/>
              <a:latin typeface="+mn-lt"/>
              <a:ea typeface="+mn-ea"/>
              <a:cs typeface="+mn-cs"/>
            </a:rPr>
            <a:t> (S-P-01300).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https://www.environdec.com/library/epd1300</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(2018t). </a:t>
          </a:r>
          <a:r>
            <a:rPr lang="en-US" sz="1100" i="1">
              <a:solidFill>
                <a:schemeClr val="dk1"/>
              </a:solidFill>
              <a:effectLst/>
              <a:latin typeface="+mn-lt"/>
              <a:ea typeface="+mn-ea"/>
              <a:cs typeface="+mn-cs"/>
            </a:rPr>
            <a:t>Environmental Product Declaration: Thor Desk Systems</a:t>
          </a:r>
          <a:r>
            <a:rPr lang="en-US" sz="1100">
              <a:solidFill>
                <a:schemeClr val="dk1"/>
              </a:solidFill>
              <a:effectLst/>
              <a:latin typeface="+mn-lt"/>
              <a:ea typeface="+mn-ea"/>
              <a:cs typeface="+mn-cs"/>
            </a:rPr>
            <a:t> (S-P-01282).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https://environdec.com/library/epd1282</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(2018u). </a:t>
          </a:r>
          <a:r>
            <a:rPr lang="en-US" sz="1100" i="1">
              <a:solidFill>
                <a:schemeClr val="dk1"/>
              </a:solidFill>
              <a:effectLst/>
              <a:latin typeface="+mn-lt"/>
              <a:ea typeface="+mn-ea"/>
              <a:cs typeface="+mn-cs"/>
            </a:rPr>
            <a:t>Environmental Product Declaration: Tristan Chairs</a:t>
          </a:r>
          <a:r>
            <a:rPr lang="en-US" sz="1100">
              <a:solidFill>
                <a:schemeClr val="dk1"/>
              </a:solidFill>
              <a:effectLst/>
              <a:latin typeface="+mn-lt"/>
              <a:ea typeface="+mn-ea"/>
              <a:cs typeface="+mn-cs"/>
            </a:rPr>
            <a:t> (S-P-01301).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https://www.environdec.com/library/epd1301</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(2018v). </a:t>
          </a:r>
          <a:r>
            <a:rPr lang="en-US" sz="1100" i="1">
              <a:solidFill>
                <a:schemeClr val="dk1"/>
              </a:solidFill>
              <a:effectLst/>
              <a:latin typeface="+mn-lt"/>
              <a:ea typeface="+mn-ea"/>
              <a:cs typeface="+mn-cs"/>
            </a:rPr>
            <a:t>Environmental Product Declaration: Vis Storage Systems</a:t>
          </a:r>
          <a:r>
            <a:rPr lang="en-US" sz="1100">
              <a:solidFill>
                <a:schemeClr val="dk1"/>
              </a:solidFill>
              <a:effectLst/>
              <a:latin typeface="+mn-lt"/>
              <a:ea typeface="+mn-ea"/>
              <a:cs typeface="+mn-cs"/>
            </a:rPr>
            <a:t> (S-P-01303).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https://www.environdec.com/library/epd1303</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Metsims Sustainability Consulting. (2018w). </a:t>
          </a:r>
          <a:r>
            <a:rPr lang="en-US" sz="1100" i="1">
              <a:solidFill>
                <a:schemeClr val="dk1"/>
              </a:solidFill>
              <a:effectLst/>
              <a:latin typeface="+mn-lt"/>
              <a:ea typeface="+mn-ea"/>
              <a:cs typeface="+mn-cs"/>
            </a:rPr>
            <a:t>Environmental Product Declaration: Zenith Chairs</a:t>
          </a:r>
          <a:r>
            <a:rPr lang="en-US" sz="1100">
              <a:solidFill>
                <a:schemeClr val="dk1"/>
              </a:solidFill>
              <a:effectLst/>
              <a:latin typeface="+mn-lt"/>
              <a:ea typeface="+mn-ea"/>
              <a:cs typeface="+mn-cs"/>
            </a:rPr>
            <a:t> (S-P-01304).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https://environdec.com/library/epd1304</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Qualinet SRL. (2020). </a:t>
          </a:r>
          <a:r>
            <a:rPr lang="en-US" sz="1100" i="1">
              <a:solidFill>
                <a:schemeClr val="dk1"/>
              </a:solidFill>
              <a:effectLst/>
              <a:latin typeface="+mn-lt"/>
              <a:ea typeface="+mn-ea"/>
              <a:cs typeface="+mn-cs"/>
            </a:rPr>
            <a:t>Environmental product declaration: Forest Armchair</a:t>
          </a:r>
          <a:r>
            <a:rPr lang="en-US" sz="1100">
              <a:solidFill>
                <a:schemeClr val="dk1"/>
              </a:solidFill>
              <a:effectLst/>
              <a:latin typeface="+mn-lt"/>
              <a:ea typeface="+mn-ea"/>
              <a:cs typeface="+mn-cs"/>
            </a:rPr>
            <a:t> (S-P-022379).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https://environdec.com/library/epd2379</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Qualitnet SRL. (2020a). </a:t>
          </a:r>
          <a:r>
            <a:rPr lang="en-US" sz="1100" i="1">
              <a:solidFill>
                <a:schemeClr val="dk1"/>
              </a:solidFill>
              <a:effectLst/>
              <a:latin typeface="+mn-lt"/>
              <a:ea typeface="+mn-ea"/>
              <a:cs typeface="+mn-cs"/>
            </a:rPr>
            <a:t>Environmental Product Declaration: Aikana Two-Seater Sofa</a:t>
          </a:r>
          <a:r>
            <a:rPr lang="en-US" sz="1100">
              <a:solidFill>
                <a:schemeClr val="dk1"/>
              </a:solidFill>
              <a:effectLst/>
              <a:latin typeface="+mn-lt"/>
              <a:ea typeface="+mn-ea"/>
              <a:cs typeface="+mn-cs"/>
            </a:rPr>
            <a:t> (S-P-02378).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https://www.environdec.com/library/epd2378</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Qualitnet SRL. (2020b). </a:t>
          </a:r>
          <a:r>
            <a:rPr lang="en-US" sz="1100" i="1">
              <a:solidFill>
                <a:schemeClr val="dk1"/>
              </a:solidFill>
              <a:effectLst/>
              <a:latin typeface="+mn-lt"/>
              <a:ea typeface="+mn-ea"/>
              <a:cs typeface="+mn-cs"/>
            </a:rPr>
            <a:t>Environmental Product Declaration: Radice Quadra 200x90 Table- Fast SPA</a:t>
          </a:r>
          <a:r>
            <a:rPr lang="en-US" sz="1100">
              <a:solidFill>
                <a:schemeClr val="dk1"/>
              </a:solidFill>
              <a:effectLst/>
              <a:latin typeface="+mn-lt"/>
              <a:ea typeface="+mn-ea"/>
              <a:cs typeface="+mn-cs"/>
            </a:rPr>
            <a:t> (S-P-02380).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https://environdec.com/library/epd2380</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Renuables Ltd. (2020a). </a:t>
          </a:r>
          <a:r>
            <a:rPr lang="en-US" sz="1100" i="1">
              <a:solidFill>
                <a:schemeClr val="dk1"/>
              </a:solidFill>
              <a:effectLst/>
              <a:latin typeface="+mn-lt"/>
              <a:ea typeface="+mn-ea"/>
              <a:cs typeface="+mn-cs"/>
            </a:rPr>
            <a:t>Environmental Product Declaration: OVO Stool &amp; Bar Chair Collection</a:t>
          </a:r>
          <a:r>
            <a:rPr lang="en-US" sz="1100">
              <a:solidFill>
                <a:schemeClr val="dk1"/>
              </a:solidFill>
              <a:effectLst/>
              <a:latin typeface="+mn-lt"/>
              <a:ea typeface="+mn-ea"/>
              <a:cs typeface="+mn-cs"/>
            </a:rPr>
            <a:t> (S-P-01956).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https://environdec.com/library/epd1956</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Renuables Ltd. (2020b). </a:t>
          </a:r>
          <a:r>
            <a:rPr lang="en-US" sz="1100" i="1">
              <a:solidFill>
                <a:schemeClr val="dk1"/>
              </a:solidFill>
              <a:effectLst/>
              <a:latin typeface="+mn-lt"/>
              <a:ea typeface="+mn-ea"/>
              <a:cs typeface="+mn-cs"/>
            </a:rPr>
            <a:t>Environmental Product Declaration: OVO Table Collection</a:t>
          </a:r>
          <a:r>
            <a:rPr lang="en-US" sz="1100">
              <a:solidFill>
                <a:schemeClr val="dk1"/>
              </a:solidFill>
              <a:effectLst/>
              <a:latin typeface="+mn-lt"/>
              <a:ea typeface="+mn-ea"/>
              <a:cs typeface="+mn-cs"/>
            </a:rPr>
            <a:t> (S-P-01957).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https://environdec.com/library/epd1957</a:t>
          </a:r>
          <a:endParaRPr lang="en-NL" sz="1100">
            <a:solidFill>
              <a:schemeClr val="dk1"/>
            </a:solidFill>
            <a:effectLst/>
            <a:latin typeface="+mn-lt"/>
            <a:ea typeface="+mn-ea"/>
            <a:cs typeface="+mn-cs"/>
          </a:endParaRPr>
        </a:p>
        <a:p>
          <a:r>
            <a:rPr lang="en-US" sz="1100">
              <a:solidFill>
                <a:schemeClr val="dk1"/>
              </a:solidFill>
              <a:effectLst/>
              <a:latin typeface="+mn-lt"/>
              <a:ea typeface="+mn-ea"/>
              <a:cs typeface="+mn-cs"/>
            </a:rPr>
            <a:t>Steelcase. (2020). </a:t>
          </a:r>
          <a:r>
            <a:rPr lang="en-US" sz="1100" i="1">
              <a:solidFill>
                <a:schemeClr val="dk1"/>
              </a:solidFill>
              <a:effectLst/>
              <a:latin typeface="+mn-lt"/>
              <a:ea typeface="+mn-ea"/>
              <a:cs typeface="+mn-cs"/>
            </a:rPr>
            <a:t>Environmental Product Declaration: Universal Storage tambour doors</a:t>
          </a:r>
          <a:r>
            <a:rPr lang="en-US" sz="1100">
              <a:solidFill>
                <a:schemeClr val="dk1"/>
              </a:solidFill>
              <a:effectLst/>
              <a:latin typeface="+mn-lt"/>
              <a:ea typeface="+mn-ea"/>
              <a:cs typeface="+mn-cs"/>
            </a:rPr>
            <a:t> (S-P-02394). Stockholm: EPD International AB.  Retrieved from </a:t>
          </a:r>
          <a:r>
            <a:rPr lang="en-US" sz="1100" u="sng">
              <a:solidFill>
                <a:schemeClr val="dk1"/>
              </a:solidFill>
              <a:effectLst/>
              <a:latin typeface="+mn-lt"/>
              <a:ea typeface="+mn-ea"/>
              <a:cs typeface="+mn-cs"/>
              <a:hlinkClick xmlns:r="http://schemas.openxmlformats.org/officeDocument/2006/relationships" r:id=""/>
            </a:rPr>
            <a:t>https://www.environdec.com/library/epd2394</a:t>
          </a:r>
          <a:endParaRPr lang="en-NL" sz="1100">
            <a:solidFill>
              <a:schemeClr val="dk1"/>
            </a:solidFill>
            <a:effectLst/>
            <a:latin typeface="+mn-lt"/>
            <a:ea typeface="+mn-ea"/>
            <a:cs typeface="+mn-cs"/>
          </a:endParaRPr>
        </a:p>
        <a:p>
          <a:r>
            <a:rPr lang="en-NL" sz="1100">
              <a:solidFill>
                <a:schemeClr val="dk1"/>
              </a:solidFill>
              <a:effectLst/>
              <a:latin typeface="+mn-lt"/>
              <a:ea typeface="+mn-ea"/>
              <a:cs typeface="+mn-cs"/>
            </a:rPr>
            <a:t> </a:t>
          </a:r>
        </a:p>
        <a:p>
          <a:endParaRPr lang="en-NL" sz="1100">
            <a:solidFill>
              <a:schemeClr val="dk1"/>
            </a:solidFill>
            <a:effectLst/>
            <a:latin typeface="+mn-lt"/>
            <a:ea typeface="+mn-ea"/>
            <a:cs typeface="+mn-cs"/>
          </a:endParaRPr>
        </a:p>
        <a:p>
          <a:r>
            <a:rPr lang="en-NL" sz="1100">
              <a:solidFill>
                <a:schemeClr val="dk1"/>
              </a:solidFill>
              <a:effectLst/>
              <a:latin typeface="+mn-lt"/>
              <a:ea typeface="+mn-ea"/>
              <a:cs typeface="+mn-cs"/>
            </a:rPr>
            <a:t> </a:t>
          </a:r>
        </a:p>
        <a:p>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24765</xdr:colOff>
      <xdr:row>15</xdr:row>
      <xdr:rowOff>18096</xdr:rowOff>
    </xdr:from>
    <xdr:to>
      <xdr:col>21</xdr:col>
      <xdr:colOff>64770</xdr:colOff>
      <xdr:row>32</xdr:row>
      <xdr:rowOff>97154</xdr:rowOff>
    </xdr:to>
    <xdr:graphicFrame macro="">
      <xdr:nvGraphicFramePr>
        <xdr:cNvPr id="2" name="Chart 1">
          <a:extLst>
            <a:ext uri="{FF2B5EF4-FFF2-40B4-BE49-F238E27FC236}">
              <a16:creationId xmlns:a16="http://schemas.microsoft.com/office/drawing/2014/main" id="{60497E3D-8C8A-4783-B1E5-300F8B369F2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152400</xdr:colOff>
      <xdr:row>15</xdr:row>
      <xdr:rowOff>67627</xdr:rowOff>
    </xdr:from>
    <xdr:to>
      <xdr:col>21</xdr:col>
      <xdr:colOff>455295</xdr:colOff>
      <xdr:row>30</xdr:row>
      <xdr:rowOff>103822</xdr:rowOff>
    </xdr:to>
    <xdr:graphicFrame macro="">
      <xdr:nvGraphicFramePr>
        <xdr:cNvPr id="2" name="Chart 1">
          <a:extLst>
            <a:ext uri="{FF2B5EF4-FFF2-40B4-BE49-F238E27FC236}">
              <a16:creationId xmlns:a16="http://schemas.microsoft.com/office/drawing/2014/main" id="{43BD4104-88DC-4FF7-B497-C25BD8D05FE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17</xdr:col>
      <xdr:colOff>276225</xdr:colOff>
      <xdr:row>14</xdr:row>
      <xdr:rowOff>174306</xdr:rowOff>
    </xdr:from>
    <xdr:to>
      <xdr:col>22</xdr:col>
      <xdr:colOff>120015</xdr:colOff>
      <xdr:row>39</xdr:row>
      <xdr:rowOff>148590</xdr:rowOff>
    </xdr:to>
    <xdr:graphicFrame macro="">
      <xdr:nvGraphicFramePr>
        <xdr:cNvPr id="2" name="Chart 1">
          <a:extLst>
            <a:ext uri="{FF2B5EF4-FFF2-40B4-BE49-F238E27FC236}">
              <a16:creationId xmlns:a16="http://schemas.microsoft.com/office/drawing/2014/main" id="{DD63A766-E381-4A92-95D3-D7B9C905CF0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340995</xdr:colOff>
      <xdr:row>15</xdr:row>
      <xdr:rowOff>134302</xdr:rowOff>
    </xdr:from>
    <xdr:to>
      <xdr:col>21</xdr:col>
      <xdr:colOff>360045</xdr:colOff>
      <xdr:row>30</xdr:row>
      <xdr:rowOff>170497</xdr:rowOff>
    </xdr:to>
    <xdr:graphicFrame macro="">
      <xdr:nvGraphicFramePr>
        <xdr:cNvPr id="2" name="Chart 1">
          <a:extLst>
            <a:ext uri="{FF2B5EF4-FFF2-40B4-BE49-F238E27FC236}">
              <a16:creationId xmlns:a16="http://schemas.microsoft.com/office/drawing/2014/main" id="{81DD2BE3-AE1A-4681-8F77-95E6F010B5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415635</xdr:colOff>
      <xdr:row>16</xdr:row>
      <xdr:rowOff>27363</xdr:rowOff>
    </xdr:from>
    <xdr:to>
      <xdr:col>22</xdr:col>
      <xdr:colOff>-1</xdr:colOff>
      <xdr:row>39</xdr:row>
      <xdr:rowOff>34636</xdr:rowOff>
    </xdr:to>
    <xdr:graphicFrame macro="">
      <xdr:nvGraphicFramePr>
        <xdr:cNvPr id="2" name="Chart 1">
          <a:extLst>
            <a:ext uri="{FF2B5EF4-FFF2-40B4-BE49-F238E27FC236}">
              <a16:creationId xmlns:a16="http://schemas.microsoft.com/office/drawing/2014/main" id="{F0A74E3B-F198-473E-B4CD-386D8A43F0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15</xdr:col>
      <xdr:colOff>133350</xdr:colOff>
      <xdr:row>15</xdr:row>
      <xdr:rowOff>29527</xdr:rowOff>
    </xdr:from>
    <xdr:to>
      <xdr:col>22</xdr:col>
      <xdr:colOff>438150</xdr:colOff>
      <xdr:row>30</xdr:row>
      <xdr:rowOff>65722</xdr:rowOff>
    </xdr:to>
    <xdr:graphicFrame macro="">
      <xdr:nvGraphicFramePr>
        <xdr:cNvPr id="2" name="Chart 1">
          <a:extLst>
            <a:ext uri="{FF2B5EF4-FFF2-40B4-BE49-F238E27FC236}">
              <a16:creationId xmlns:a16="http://schemas.microsoft.com/office/drawing/2014/main" id="{6DA80BA4-599E-4FE5-A0BB-F1F7BD1C76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15</xdr:col>
      <xdr:colOff>592455</xdr:colOff>
      <xdr:row>16</xdr:row>
      <xdr:rowOff>69532</xdr:rowOff>
    </xdr:from>
    <xdr:to>
      <xdr:col>21</xdr:col>
      <xdr:colOff>7620</xdr:colOff>
      <xdr:row>31</xdr:row>
      <xdr:rowOff>105727</xdr:rowOff>
    </xdr:to>
    <xdr:graphicFrame macro="">
      <xdr:nvGraphicFramePr>
        <xdr:cNvPr id="2" name="Chart 1">
          <a:extLst>
            <a:ext uri="{FF2B5EF4-FFF2-40B4-BE49-F238E27FC236}">
              <a16:creationId xmlns:a16="http://schemas.microsoft.com/office/drawing/2014/main" id="{3D418058-0F74-4560-89D6-187BC585B23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17</xdr:col>
      <xdr:colOff>455295</xdr:colOff>
      <xdr:row>15</xdr:row>
      <xdr:rowOff>134302</xdr:rowOff>
    </xdr:from>
    <xdr:to>
      <xdr:col>21</xdr:col>
      <xdr:colOff>293370</xdr:colOff>
      <xdr:row>30</xdr:row>
      <xdr:rowOff>170497</xdr:rowOff>
    </xdr:to>
    <xdr:graphicFrame macro="">
      <xdr:nvGraphicFramePr>
        <xdr:cNvPr id="2" name="Chart 1">
          <a:extLst>
            <a:ext uri="{FF2B5EF4-FFF2-40B4-BE49-F238E27FC236}">
              <a16:creationId xmlns:a16="http://schemas.microsoft.com/office/drawing/2014/main" id="{DAEDFEDA-6643-475C-BC4A-2A3F2942348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590212</xdr:colOff>
      <xdr:row>52</xdr:row>
      <xdr:rowOff>21851</xdr:rowOff>
    </xdr:from>
    <xdr:to>
      <xdr:col>16</xdr:col>
      <xdr:colOff>11204</xdr:colOff>
      <xdr:row>77</xdr:row>
      <xdr:rowOff>112059</xdr:rowOff>
    </xdr:to>
    <xdr:graphicFrame macro="">
      <xdr:nvGraphicFramePr>
        <xdr:cNvPr id="2" name="Chart 1">
          <a:extLst>
            <a:ext uri="{FF2B5EF4-FFF2-40B4-BE49-F238E27FC236}">
              <a16:creationId xmlns:a16="http://schemas.microsoft.com/office/drawing/2014/main" id="{25488995-4C4D-4A4C-8ED7-502FC2DB78F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20954</xdr:colOff>
      <xdr:row>1</xdr:row>
      <xdr:rowOff>24766</xdr:rowOff>
    </xdr:from>
    <xdr:to>
      <xdr:col>13</xdr:col>
      <xdr:colOff>169544</xdr:colOff>
      <xdr:row>16</xdr:row>
      <xdr:rowOff>1</xdr:rowOff>
    </xdr:to>
    <xdr:sp macro="" textlink="">
      <xdr:nvSpPr>
        <xdr:cNvPr id="2" name="TextBox 1">
          <a:extLst>
            <a:ext uri="{FF2B5EF4-FFF2-40B4-BE49-F238E27FC236}">
              <a16:creationId xmlns:a16="http://schemas.microsoft.com/office/drawing/2014/main" id="{6DBD5429-6F7C-4A93-AED3-FB1D49949BB4}"/>
            </a:ext>
          </a:extLst>
        </xdr:cNvPr>
        <xdr:cNvSpPr txBox="1"/>
      </xdr:nvSpPr>
      <xdr:spPr>
        <a:xfrm>
          <a:off x="5493499" y="197948"/>
          <a:ext cx="5603818" cy="25729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General</a:t>
          </a:r>
          <a:r>
            <a:rPr lang="en-GB" sz="1100" b="1" baseline="0"/>
            <a:t> </a:t>
          </a:r>
          <a:r>
            <a:rPr lang="en-GB" sz="1100" b="1"/>
            <a:t>Notes:</a:t>
          </a:r>
        </a:p>
        <a:p>
          <a:r>
            <a:rPr lang="en-GB" sz="1100" b="0"/>
            <a:t>The allocation of all</a:t>
          </a:r>
          <a:r>
            <a:rPr lang="en-GB" sz="1100" b="0" baseline="0"/>
            <a:t> materials- that can be found in the original product material compositions- to the model categories are shown in this tab. </a:t>
          </a:r>
        </a:p>
        <a:p>
          <a:endParaRPr lang="en-GB" sz="1100" b="0" baseline="0"/>
        </a:p>
        <a:p>
          <a:pPr marL="0" marR="0" lvl="0" indent="0" defTabSz="914400" eaLnBrk="1" fontAlgn="auto" latinLnBrk="0" hangingPunct="1">
            <a:lnSpc>
              <a:spcPct val="100000"/>
            </a:lnSpc>
            <a:spcBef>
              <a:spcPts val="0"/>
            </a:spcBef>
            <a:spcAft>
              <a:spcPts val="0"/>
            </a:spcAft>
            <a:buClrTx/>
            <a:buSzTx/>
            <a:buFontTx/>
            <a:buNone/>
            <a:tabLst/>
            <a:defRPr/>
          </a:pPr>
          <a:r>
            <a:rPr lang="en-GB" sz="1100" b="0" baseline="0">
              <a:solidFill>
                <a:schemeClr val="dk1"/>
              </a:solidFill>
              <a:effectLst/>
              <a:latin typeface="+mn-lt"/>
              <a:ea typeface="+mn-ea"/>
              <a:cs typeface="+mn-cs"/>
            </a:rPr>
            <a:t>Within the possibilities of (preliminary) research, outside of the researcher's expertise, d</a:t>
          </a:r>
          <a:r>
            <a:rPr lang="en-GB" sz="1100" b="0" baseline="0"/>
            <a:t>efinition of the categories and allocation of the materials to these categories, is largely based </a:t>
          </a:r>
          <a:r>
            <a:rPr lang="en-GB" sz="1100" b="0" baseline="0">
              <a:solidFill>
                <a:schemeClr val="dk1"/>
              </a:solidFill>
              <a:effectLst/>
              <a:latin typeface="+mn-lt"/>
              <a:ea typeface="+mn-ea"/>
              <a:cs typeface="+mn-cs"/>
            </a:rPr>
            <a:t>on the similarity of physical properties of the materials often found in furniture.  </a:t>
          </a:r>
          <a:r>
            <a:rPr lang="en-GB" sz="1100" b="0" baseline="0"/>
            <a:t> </a:t>
          </a:r>
        </a:p>
        <a:p>
          <a:pPr marL="0" marR="0" lvl="0" indent="0" defTabSz="914400" eaLnBrk="1" fontAlgn="auto" latinLnBrk="0" hangingPunct="1">
            <a:lnSpc>
              <a:spcPct val="100000"/>
            </a:lnSpc>
            <a:spcBef>
              <a:spcPts val="0"/>
            </a:spcBef>
            <a:spcAft>
              <a:spcPts val="0"/>
            </a:spcAft>
            <a:buClrTx/>
            <a:buSzTx/>
            <a:buFontTx/>
            <a:buNone/>
            <a:tabLst/>
            <a:defRPr/>
          </a:pPr>
          <a:br>
            <a:rPr lang="en-GB" sz="1100"/>
          </a:br>
          <a:r>
            <a:rPr lang="en-GB" sz="1100"/>
            <a:t>The textiles &amp; leather category is largely based on the</a:t>
          </a:r>
          <a:r>
            <a:rPr lang="en-GB" sz="1100" baseline="0"/>
            <a:t> function of upholstery. Materials used for upholstery that are not directly textiles and leather, but are used for upholstery, are included in this category (e.g. wool). </a:t>
          </a:r>
        </a:p>
        <a:p>
          <a:endParaRPr lang="en-GB" sz="1100" baseline="0"/>
        </a:p>
        <a:p>
          <a:r>
            <a:rPr lang="en-GB" sz="1100" baseline="0"/>
            <a:t>The 'coatings' category contains among other paint, glue and coatings.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294322</xdr:colOff>
      <xdr:row>16</xdr:row>
      <xdr:rowOff>8572</xdr:rowOff>
    </xdr:from>
    <xdr:to>
      <xdr:col>18</xdr:col>
      <xdr:colOff>44767</xdr:colOff>
      <xdr:row>31</xdr:row>
      <xdr:rowOff>46672</xdr:rowOff>
    </xdr:to>
    <xdr:graphicFrame macro="">
      <xdr:nvGraphicFramePr>
        <xdr:cNvPr id="3" name="Chart 2">
          <a:extLst>
            <a:ext uri="{FF2B5EF4-FFF2-40B4-BE49-F238E27FC236}">
              <a16:creationId xmlns:a16="http://schemas.microsoft.com/office/drawing/2014/main" id="{E1DB7515-E107-4D9F-B4F3-E8DC40E2D4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57290</xdr:colOff>
      <xdr:row>16</xdr:row>
      <xdr:rowOff>150145</xdr:rowOff>
    </xdr:from>
    <xdr:to>
      <xdr:col>22</xdr:col>
      <xdr:colOff>601116</xdr:colOff>
      <xdr:row>36</xdr:row>
      <xdr:rowOff>28511</xdr:rowOff>
    </xdr:to>
    <xdr:graphicFrame macro="">
      <xdr:nvGraphicFramePr>
        <xdr:cNvPr id="2" name="Chart 1">
          <a:extLst>
            <a:ext uri="{FF2B5EF4-FFF2-40B4-BE49-F238E27FC236}">
              <a16:creationId xmlns:a16="http://schemas.microsoft.com/office/drawing/2014/main" id="{5CEA862F-D448-490D-8A61-34049CB3FB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380999</xdr:colOff>
      <xdr:row>17</xdr:row>
      <xdr:rowOff>8435</xdr:rowOff>
    </xdr:from>
    <xdr:to>
      <xdr:col>22</xdr:col>
      <xdr:colOff>69272</xdr:colOff>
      <xdr:row>41</xdr:row>
      <xdr:rowOff>121226</xdr:rowOff>
    </xdr:to>
    <xdr:graphicFrame macro="">
      <xdr:nvGraphicFramePr>
        <xdr:cNvPr id="2" name="Chart 1">
          <a:extLst>
            <a:ext uri="{FF2B5EF4-FFF2-40B4-BE49-F238E27FC236}">
              <a16:creationId xmlns:a16="http://schemas.microsoft.com/office/drawing/2014/main" id="{BE3D3745-F2D1-427D-B84B-7BE0122089A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15</xdr:col>
      <xdr:colOff>20957</xdr:colOff>
      <xdr:row>15</xdr:row>
      <xdr:rowOff>120965</xdr:rowOff>
    </xdr:from>
    <xdr:to>
      <xdr:col>21</xdr:col>
      <xdr:colOff>314326</xdr:colOff>
      <xdr:row>37</xdr:row>
      <xdr:rowOff>89534</xdr:rowOff>
    </xdr:to>
    <xdr:graphicFrame macro="">
      <xdr:nvGraphicFramePr>
        <xdr:cNvPr id="2" name="Chart 1">
          <a:extLst>
            <a:ext uri="{FF2B5EF4-FFF2-40B4-BE49-F238E27FC236}">
              <a16:creationId xmlns:a16="http://schemas.microsoft.com/office/drawing/2014/main" id="{B01707AC-A93B-4A19-9F5B-79CBCEF0F6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17</xdr:col>
      <xdr:colOff>298130</xdr:colOff>
      <xdr:row>15</xdr:row>
      <xdr:rowOff>149541</xdr:rowOff>
    </xdr:from>
    <xdr:to>
      <xdr:col>24</xdr:col>
      <xdr:colOff>196215</xdr:colOff>
      <xdr:row>40</xdr:row>
      <xdr:rowOff>106680</xdr:rowOff>
    </xdr:to>
    <xdr:graphicFrame macro="">
      <xdr:nvGraphicFramePr>
        <xdr:cNvPr id="2" name="Chart 1">
          <a:extLst>
            <a:ext uri="{FF2B5EF4-FFF2-40B4-BE49-F238E27FC236}">
              <a16:creationId xmlns:a16="http://schemas.microsoft.com/office/drawing/2014/main" id="{839C2C83-2BF0-46F3-BFB2-39DEDAAEA62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15</xdr:col>
      <xdr:colOff>571500</xdr:colOff>
      <xdr:row>16</xdr:row>
      <xdr:rowOff>96202</xdr:rowOff>
    </xdr:from>
    <xdr:to>
      <xdr:col>21</xdr:col>
      <xdr:colOff>152400</xdr:colOff>
      <xdr:row>31</xdr:row>
      <xdr:rowOff>132397</xdr:rowOff>
    </xdr:to>
    <xdr:graphicFrame macro="">
      <xdr:nvGraphicFramePr>
        <xdr:cNvPr id="2" name="Chart 1">
          <a:extLst>
            <a:ext uri="{FF2B5EF4-FFF2-40B4-BE49-F238E27FC236}">
              <a16:creationId xmlns:a16="http://schemas.microsoft.com/office/drawing/2014/main" id="{787F2F30-6F98-49AC-932E-C7A6D6A95AA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environdec.com/library/epd1957" TargetMode="External"/><Relationship Id="rId7" Type="http://schemas.openxmlformats.org/officeDocument/2006/relationships/drawing" Target="../drawings/drawing10.xml"/><Relationship Id="rId2" Type="http://schemas.openxmlformats.org/officeDocument/2006/relationships/hyperlink" Target="https://environdec.com/library/epd1957" TargetMode="External"/><Relationship Id="rId1" Type="http://schemas.openxmlformats.org/officeDocument/2006/relationships/hyperlink" Target="https://environdec.com/library/epd2380" TargetMode="External"/><Relationship Id="rId6" Type="http://schemas.openxmlformats.org/officeDocument/2006/relationships/printerSettings" Target="../printerSettings/printerSettings6.bin"/><Relationship Id="rId5" Type="http://schemas.openxmlformats.org/officeDocument/2006/relationships/hyperlink" Target="https://environdec.com/library/epd1957" TargetMode="External"/><Relationship Id="rId4" Type="http://schemas.openxmlformats.org/officeDocument/2006/relationships/hyperlink" Target="https://environdec.com/library/epd1957" TargetMode="External"/></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7.bin"/><Relationship Id="rId3" Type="http://schemas.openxmlformats.org/officeDocument/2006/relationships/hyperlink" Target="https://ec.europa.eu/environment/ecolabel/documents/bed_mattresses_report.pdf" TargetMode="External"/><Relationship Id="rId7" Type="http://schemas.openxmlformats.org/officeDocument/2006/relationships/hyperlink" Target="https://www.sciencedirect.com/science/article/pii/S0959652612000790?casa_token=knUwTmHr27wAAAAA:Vbypa9sJEA0k2UdOrFT-JZBgNL-S5ixPpNhvEqjyIphFWlKFzxUtmfD-jDK47VUaoNPTfR2IAxI" TargetMode="External"/><Relationship Id="rId2" Type="http://schemas.openxmlformats.org/officeDocument/2006/relationships/hyperlink" Target="https://ec.europa.eu/environment/ecolabel/documents/bed_mattresses_report.pdf" TargetMode="External"/><Relationship Id="rId1" Type="http://schemas.openxmlformats.org/officeDocument/2006/relationships/hyperlink" Target="https://v371.ecoquery.ecoinvent.org/Search/Index" TargetMode="External"/><Relationship Id="rId6" Type="http://schemas.openxmlformats.org/officeDocument/2006/relationships/hyperlink" Target="https://www.sciencedirect.com/science/article/pii/S0959652612000790?casa_token=knUwTmHr27wAAAAA:Vbypa9sJEA0k2UdOrFT-JZBgNL-S5ixPpNhvEqjyIphFWlKFzxUtmfD-jDK47VUaoNPTfR2IAxI" TargetMode="External"/><Relationship Id="rId5" Type="http://schemas.openxmlformats.org/officeDocument/2006/relationships/hyperlink" Target="https://ec.europa.eu/environment/ecolabel/documents/bed_mattresses_report.pdf" TargetMode="External"/><Relationship Id="rId4" Type="http://schemas.openxmlformats.org/officeDocument/2006/relationships/hyperlink" Target="https://ec.europa.eu/environment/ecolabel/documents/bed_mattresses_report.pdf" TargetMode="External"/><Relationship Id="rId9"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hyperlink" Target="https://www.environdec.com/library/epd2068" TargetMode="External"/><Relationship Id="rId7" Type="http://schemas.openxmlformats.org/officeDocument/2006/relationships/drawing" Target="../drawings/drawing12.xml"/><Relationship Id="rId2" Type="http://schemas.openxmlformats.org/officeDocument/2006/relationships/hyperlink" Target="https://www.environdec.com/library/epd2068" TargetMode="External"/><Relationship Id="rId1" Type="http://schemas.openxmlformats.org/officeDocument/2006/relationships/hyperlink" Target="https://www.environdec.com/library/epd1265" TargetMode="External"/><Relationship Id="rId6" Type="http://schemas.openxmlformats.org/officeDocument/2006/relationships/printerSettings" Target="../printerSettings/printerSettings8.bin"/><Relationship Id="rId5" Type="http://schemas.openxmlformats.org/officeDocument/2006/relationships/hyperlink" Target="https://www.environdec.com/library/epd2068" TargetMode="External"/><Relationship Id="rId4" Type="http://schemas.openxmlformats.org/officeDocument/2006/relationships/hyperlink" Target="https://www.environdec.com/library/epd2068"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s://www.sciencedirect.com/science/article/pii/S1470160X19302821?casa_token=LdxjjRxqLgsAAAAA:mu1Go0Xk9X4DidjbaCBDU1378mydsL46IQAP9MEkXom7mQlewPz6NCr7DHwL_oEQPXy3l_NlMAA" TargetMode="External"/><Relationship Id="rId2" Type="http://schemas.openxmlformats.org/officeDocument/2006/relationships/hyperlink" Target="https://www.sciencedirect.com/science/article/pii/S1470160X19302821?casa_token=LdxjjRxqLgsAAAAA:mu1Go0Xk9X4DidjbaCBDU1378mydsL46IQAP9MEkXom7mQlewPz6NCr7DHwL_oEQPXy3l_NlMAA" TargetMode="External"/><Relationship Id="rId1" Type="http://schemas.openxmlformats.org/officeDocument/2006/relationships/hyperlink" Target="https://www.sciencedirect.com/science/article/pii/S0048969717306216?casa_token=x3pUo8pIT3AAAAAA:9UrbRKTOW_CYx8u5UOGUsZda1E_J5KneYHjSycsPu4io0XSC2hz9_-zUCHXsCATv_YJ9TMAqbsM" TargetMode="External"/><Relationship Id="rId5" Type="http://schemas.openxmlformats.org/officeDocument/2006/relationships/drawing" Target="../drawings/drawing13.xml"/><Relationship Id="rId4"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8" Type="http://schemas.openxmlformats.org/officeDocument/2006/relationships/hyperlink" Target="https://www.environdec.com/library/epd1296" TargetMode="External"/><Relationship Id="rId3" Type="http://schemas.openxmlformats.org/officeDocument/2006/relationships/hyperlink" Target="https://environdec.com/library/epd1957" TargetMode="External"/><Relationship Id="rId7" Type="http://schemas.openxmlformats.org/officeDocument/2006/relationships/hyperlink" Target="https://www.environdec.com/library/epd1300" TargetMode="External"/><Relationship Id="rId2" Type="http://schemas.openxmlformats.org/officeDocument/2006/relationships/hyperlink" Target="https://www.environdec.com/library/epd1496" TargetMode="External"/><Relationship Id="rId1" Type="http://schemas.openxmlformats.org/officeDocument/2006/relationships/hyperlink" Target="https://www.sciencedirect.com/science/article/pii/S0048969717306216?casa_token=x3pUo8pIT3AAAAAA:9UrbRKTOW_CYx8u5UOGUsZda1E_J5KneYHjSycsPu4io0XSC2hz9_-zUCHXsCATv_YJ9TMAqbsM" TargetMode="External"/><Relationship Id="rId6" Type="http://schemas.openxmlformats.org/officeDocument/2006/relationships/hyperlink" Target="https://www.environdec.com/library/epd1286" TargetMode="External"/><Relationship Id="rId11" Type="http://schemas.openxmlformats.org/officeDocument/2006/relationships/drawing" Target="../drawings/drawing14.xml"/><Relationship Id="rId5" Type="http://schemas.openxmlformats.org/officeDocument/2006/relationships/hyperlink" Target="https://www.environdec.com/library/epd1196" TargetMode="External"/><Relationship Id="rId10" Type="http://schemas.openxmlformats.org/officeDocument/2006/relationships/printerSettings" Target="../printerSettings/printerSettings10.bin"/><Relationship Id="rId4" Type="http://schemas.openxmlformats.org/officeDocument/2006/relationships/hyperlink" Target="https://environdec.com/library/epd1957" TargetMode="External"/><Relationship Id="rId9" Type="http://schemas.openxmlformats.org/officeDocument/2006/relationships/hyperlink" Target="https://www.environdec.com/library/epd1298"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www.environdec.com/library/epd1198" TargetMode="External"/><Relationship Id="rId3" Type="http://schemas.openxmlformats.org/officeDocument/2006/relationships/hyperlink" Target="https://www.researchgate.net/publication/324031633_Fire-LCA_Model_Furniture_Study/link/5aba23d1a6fdcc206605b295/download" TargetMode="External"/><Relationship Id="rId7" Type="http://schemas.openxmlformats.org/officeDocument/2006/relationships/hyperlink" Target="https://www.environdec.com/library/epd2378" TargetMode="External"/><Relationship Id="rId2" Type="http://schemas.openxmlformats.org/officeDocument/2006/relationships/hyperlink" Target="http://irep.ntu.ac.uk/id/eprint/31653/" TargetMode="External"/><Relationship Id="rId1" Type="http://schemas.openxmlformats.org/officeDocument/2006/relationships/hyperlink" Target="https://www.sciencedirect.com/science/article/pii/S0048969717306216?casa_token=x3pUo8pIT3AAAAAA:9UrbRKTOW_CYx8u5UOGUsZda1E_J5KneYHjSycsPu4io0XSC2hz9_-zUCHXsCATv_YJ9TMAqbsM" TargetMode="External"/><Relationship Id="rId6" Type="http://schemas.openxmlformats.org/officeDocument/2006/relationships/hyperlink" Target="https://www.environdec.com/library/epd1283" TargetMode="External"/><Relationship Id="rId5" Type="http://schemas.openxmlformats.org/officeDocument/2006/relationships/hyperlink" Target="https://www.environdec.com/library/epd1284" TargetMode="External"/><Relationship Id="rId10" Type="http://schemas.openxmlformats.org/officeDocument/2006/relationships/drawing" Target="../drawings/drawing15.xml"/><Relationship Id="rId4" Type="http://schemas.openxmlformats.org/officeDocument/2006/relationships/hyperlink" Target="https://www.environdec.com/library/epd1279" TargetMode="External"/><Relationship Id="rId9"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hyperlink" Target="https://environdec.com/library/epd1956" TargetMode="External"/><Relationship Id="rId1" Type="http://schemas.openxmlformats.org/officeDocument/2006/relationships/hyperlink" Target="https://environdec.com/library/epd1956" TargetMode="External"/></Relationships>
</file>

<file path=xl/worksheets/_rels/sheet17.xml.rels><?xml version="1.0" encoding="UTF-8" standalone="yes"?>
<Relationships xmlns="http://schemas.openxmlformats.org/package/2006/relationships"><Relationship Id="rId8" Type="http://schemas.openxmlformats.org/officeDocument/2006/relationships/printerSettings" Target="../printerSettings/printerSettings12.bin"/><Relationship Id="rId3" Type="http://schemas.openxmlformats.org/officeDocument/2006/relationships/hyperlink" Target="https://www.environdec.com/library/epd1608" TargetMode="External"/><Relationship Id="rId7" Type="http://schemas.openxmlformats.org/officeDocument/2006/relationships/hyperlink" Target="https://www.environdec.com/library/epd1612" TargetMode="External"/><Relationship Id="rId2" Type="http://schemas.openxmlformats.org/officeDocument/2006/relationships/hyperlink" Target="https://www.environdec.com/library/epd1608" TargetMode="External"/><Relationship Id="rId1" Type="http://schemas.openxmlformats.org/officeDocument/2006/relationships/hyperlink" Target="https://www.environdec.com/library/epd1608" TargetMode="External"/><Relationship Id="rId6" Type="http://schemas.openxmlformats.org/officeDocument/2006/relationships/hyperlink" Target="https://www.environdec.com/library/epd1612" TargetMode="External"/><Relationship Id="rId5" Type="http://schemas.openxmlformats.org/officeDocument/2006/relationships/hyperlink" Target="https://www.environdec.com/library/epd1612" TargetMode="External"/><Relationship Id="rId4" Type="http://schemas.openxmlformats.org/officeDocument/2006/relationships/hyperlink" Target="https://www.environdec.com/library/epd1608" TargetMode="External"/><Relationship Id="rId9"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hyperlink" Target="https://environdec.com/library/epd1280" TargetMode="External"/><Relationship Id="rId2" Type="http://schemas.openxmlformats.org/officeDocument/2006/relationships/hyperlink" Target="https://www.environdec.com/library/epd1628" TargetMode="External"/><Relationship Id="rId1" Type="http://schemas.openxmlformats.org/officeDocument/2006/relationships/hyperlink" Target="https://environdec.com/library/epd2379" TargetMode="External"/><Relationship Id="rId5" Type="http://schemas.openxmlformats.org/officeDocument/2006/relationships/drawing" Target="../drawings/drawing4.xm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environdec.com/library/epd1956" TargetMode="External"/><Relationship Id="rId1" Type="http://schemas.openxmlformats.org/officeDocument/2006/relationships/hyperlink" Target="https://environdec.com/library/epd1668" TargetMode="External"/></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6.xml"/><Relationship Id="rId3" Type="http://schemas.openxmlformats.org/officeDocument/2006/relationships/hyperlink" Target="https://www.sciencedirect.com/science/article/pii/S1470160X19302821" TargetMode="External"/><Relationship Id="rId7" Type="http://schemas.openxmlformats.org/officeDocument/2006/relationships/printerSettings" Target="../printerSettings/printerSettings3.bin"/><Relationship Id="rId2" Type="http://schemas.openxmlformats.org/officeDocument/2006/relationships/hyperlink" Target="https://www.environdec.com/library/epd2394" TargetMode="External"/><Relationship Id="rId1" Type="http://schemas.openxmlformats.org/officeDocument/2006/relationships/hyperlink" Target="https://www.environdec.com/library/epd1303" TargetMode="External"/><Relationship Id="rId6" Type="http://schemas.openxmlformats.org/officeDocument/2006/relationships/hyperlink" Target="https://edisciplinas.usp.br/pluginfile.php/5815959/mod_resource/content/1/ACV%20Ind%C3%BAstria%20Moveleira%20-%20Diego%20Iritani.pdf" TargetMode="External"/><Relationship Id="rId5" Type="http://schemas.openxmlformats.org/officeDocument/2006/relationships/hyperlink" Target="http://irep.ntu.ac.uk/id/eprint/31653/" TargetMode="External"/><Relationship Id="rId4" Type="http://schemas.openxmlformats.org/officeDocument/2006/relationships/hyperlink" Target="https://www.sciencedirect.com/science/article/pii/S1470160X19302821" TargetMode="Externa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7.xml"/><Relationship Id="rId3" Type="http://schemas.openxmlformats.org/officeDocument/2006/relationships/hyperlink" Target="https://www.environdec.com/library/epd1268" TargetMode="External"/><Relationship Id="rId7" Type="http://schemas.openxmlformats.org/officeDocument/2006/relationships/printerSettings" Target="../printerSettings/printerSettings4.bin"/><Relationship Id="rId2" Type="http://schemas.openxmlformats.org/officeDocument/2006/relationships/hyperlink" Target="https://www.environdec.com/library/epd1301" TargetMode="External"/><Relationship Id="rId1" Type="http://schemas.openxmlformats.org/officeDocument/2006/relationships/hyperlink" Target="https://www.environdec.com/library/epd1195" TargetMode="External"/><Relationship Id="rId6" Type="http://schemas.openxmlformats.org/officeDocument/2006/relationships/hyperlink" Target="https://link.springer.com/article/10.1007/s11367-008-0002-3" TargetMode="External"/><Relationship Id="rId5" Type="http://schemas.openxmlformats.org/officeDocument/2006/relationships/hyperlink" Target="https://link.springer.com/article/10.1007/s11367-008-0002-3" TargetMode="External"/><Relationship Id="rId4" Type="http://schemas.openxmlformats.org/officeDocument/2006/relationships/hyperlink" Target="https://www.environdec.com/library/epd1285"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environdec.com/library/epd1498" TargetMode="External"/><Relationship Id="rId3" Type="http://schemas.openxmlformats.org/officeDocument/2006/relationships/hyperlink" Target="https://environdec.com/library/epd2067" TargetMode="External"/><Relationship Id="rId7" Type="http://schemas.openxmlformats.org/officeDocument/2006/relationships/hyperlink" Target="https://environdec.com/library/epd1498" TargetMode="External"/><Relationship Id="rId12" Type="http://schemas.openxmlformats.org/officeDocument/2006/relationships/drawing" Target="../drawings/drawing8.xml"/><Relationship Id="rId2" Type="http://schemas.openxmlformats.org/officeDocument/2006/relationships/hyperlink" Target="https://www.environdec.com/library/epd1958" TargetMode="External"/><Relationship Id="rId1" Type="http://schemas.openxmlformats.org/officeDocument/2006/relationships/hyperlink" Target="https://www.environdec.com/library/epd1715" TargetMode="External"/><Relationship Id="rId6" Type="http://schemas.openxmlformats.org/officeDocument/2006/relationships/hyperlink" Target="https://environdec.com/library/epd1288" TargetMode="External"/><Relationship Id="rId11" Type="http://schemas.openxmlformats.org/officeDocument/2006/relationships/printerSettings" Target="../printerSettings/printerSettings5.bin"/><Relationship Id="rId5" Type="http://schemas.openxmlformats.org/officeDocument/2006/relationships/hyperlink" Target="https://www.environdec.com/library/epd1286" TargetMode="External"/><Relationship Id="rId10" Type="http://schemas.openxmlformats.org/officeDocument/2006/relationships/hyperlink" Target="https://environdec.com/library/epd1495" TargetMode="External"/><Relationship Id="rId4" Type="http://schemas.openxmlformats.org/officeDocument/2006/relationships/hyperlink" Target="https://environdec.com/library/epd1278" TargetMode="External"/><Relationship Id="rId9" Type="http://schemas.openxmlformats.org/officeDocument/2006/relationships/hyperlink" Target="https://environdec.com/library/epd1495"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environdec.com/library/epd1299" TargetMode="External"/><Relationship Id="rId2" Type="http://schemas.openxmlformats.org/officeDocument/2006/relationships/hyperlink" Target="https://environdec.com/library/epd1282" TargetMode="External"/><Relationship Id="rId1" Type="http://schemas.openxmlformats.org/officeDocument/2006/relationships/hyperlink" Target="https://environdec.com/library/epd1295" TargetMode="Externa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FFF09-D151-4967-A815-D8B307E81B28}">
  <dimension ref="A1:O32"/>
  <sheetViews>
    <sheetView tabSelected="1" zoomScale="70" zoomScaleNormal="70" workbookViewId="0">
      <selection activeCell="P167" sqref="P167"/>
    </sheetView>
  </sheetViews>
  <sheetFormatPr defaultRowHeight="14.4" x14ac:dyDescent="0.3"/>
  <sheetData>
    <row r="1" spans="1:1" x14ac:dyDescent="0.3">
      <c r="A1" t="s">
        <v>185</v>
      </c>
    </row>
    <row r="22" spans="14:15" x14ac:dyDescent="0.3">
      <c r="N22" s="14"/>
      <c r="O22" s="14"/>
    </row>
    <row r="23" spans="14:15" x14ac:dyDescent="0.3">
      <c r="N23" s="14"/>
      <c r="O23" s="14"/>
    </row>
    <row r="24" spans="14:15" x14ac:dyDescent="0.3">
      <c r="N24" s="14"/>
      <c r="O24" s="14"/>
    </row>
    <row r="25" spans="14:15" x14ac:dyDescent="0.3">
      <c r="N25" s="14"/>
      <c r="O25" s="14"/>
    </row>
    <row r="26" spans="14:15" x14ac:dyDescent="0.3">
      <c r="N26" s="14"/>
      <c r="O26" s="14"/>
    </row>
    <row r="27" spans="14:15" x14ac:dyDescent="0.3">
      <c r="N27" s="14"/>
      <c r="O27" s="14"/>
    </row>
    <row r="28" spans="14:15" x14ac:dyDescent="0.3">
      <c r="N28" s="14"/>
      <c r="O28" s="14"/>
    </row>
    <row r="29" spans="14:15" x14ac:dyDescent="0.3">
      <c r="N29" s="14"/>
      <c r="O29" s="14"/>
    </row>
    <row r="30" spans="14:15" x14ac:dyDescent="0.3">
      <c r="N30" s="14"/>
      <c r="O30" s="14"/>
    </row>
    <row r="31" spans="14:15" x14ac:dyDescent="0.3">
      <c r="N31" s="14"/>
      <c r="O31" s="14"/>
    </row>
    <row r="32" spans="14:15" x14ac:dyDescent="0.3">
      <c r="N32" s="14"/>
      <c r="O32" s="14"/>
    </row>
  </sheetData>
  <sortState xmlns:xlrd2="http://schemas.microsoft.com/office/spreadsheetml/2017/richdata2" ref="N22:O32">
    <sortCondition ref="N22:N32"/>
  </sortState>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699B1-8794-41CC-AFFE-A27396559D43}">
  <dimension ref="A1:T56"/>
  <sheetViews>
    <sheetView zoomScale="55" zoomScaleNormal="55" workbookViewId="0">
      <selection activeCell="F23" sqref="F23"/>
    </sheetView>
  </sheetViews>
  <sheetFormatPr defaultRowHeight="14.4" x14ac:dyDescent="0.3"/>
  <cols>
    <col min="1" max="1" width="40" customWidth="1"/>
    <col min="2" max="2" width="23.33203125" customWidth="1"/>
    <col min="6" max="6" width="8.88671875" customWidth="1"/>
    <col min="7" max="7" width="1" style="3" customWidth="1"/>
    <col min="9" max="9" width="39.77734375" customWidth="1"/>
    <col min="10" max="10" width="27.21875" customWidth="1"/>
    <col min="14" max="14" width="1.6640625" style="3" customWidth="1"/>
    <col min="17" max="17" width="13.33203125" customWidth="1"/>
    <col min="18" max="18" width="26.33203125" customWidth="1"/>
  </cols>
  <sheetData>
    <row r="1" spans="1:20" x14ac:dyDescent="0.3">
      <c r="A1" s="2" t="s">
        <v>1</v>
      </c>
      <c r="B1" s="2" t="s">
        <v>2</v>
      </c>
      <c r="C1" s="2" t="s">
        <v>3</v>
      </c>
      <c r="D1" s="2" t="s">
        <v>21</v>
      </c>
      <c r="E1" s="2" t="s">
        <v>11</v>
      </c>
      <c r="I1" s="2" t="s">
        <v>1</v>
      </c>
      <c r="J1" s="2" t="s">
        <v>2</v>
      </c>
      <c r="K1" s="2" t="s">
        <v>3</v>
      </c>
      <c r="L1" s="2" t="s">
        <v>21</v>
      </c>
      <c r="Q1" s="2" t="s">
        <v>1</v>
      </c>
      <c r="R1" s="2" t="s">
        <v>2</v>
      </c>
      <c r="S1" s="2" t="s">
        <v>3</v>
      </c>
      <c r="T1" s="2" t="s">
        <v>21</v>
      </c>
    </row>
    <row r="2" spans="1:20" x14ac:dyDescent="0.3">
      <c r="A2" t="s">
        <v>77</v>
      </c>
      <c r="B2" t="s">
        <v>4</v>
      </c>
      <c r="C2" t="s">
        <v>22</v>
      </c>
      <c r="D2">
        <v>26</v>
      </c>
      <c r="E2" t="s">
        <v>12</v>
      </c>
      <c r="I2" t="s">
        <v>77</v>
      </c>
      <c r="J2" t="s">
        <v>4</v>
      </c>
      <c r="K2">
        <v>26</v>
      </c>
      <c r="L2" t="s">
        <v>22</v>
      </c>
      <c r="Q2" t="s">
        <v>170</v>
      </c>
      <c r="R2" t="s">
        <v>4</v>
      </c>
      <c r="S2">
        <f>(K2+K13+K24+K35+K46)/5</f>
        <v>5.2</v>
      </c>
      <c r="T2" t="s">
        <v>22</v>
      </c>
    </row>
    <row r="3" spans="1:20" x14ac:dyDescent="0.3">
      <c r="A3" t="s">
        <v>78</v>
      </c>
      <c r="B3" t="s">
        <v>5</v>
      </c>
      <c r="C3" t="s">
        <v>22</v>
      </c>
      <c r="D3">
        <v>0.13</v>
      </c>
      <c r="E3" s="15" t="s">
        <v>403</v>
      </c>
      <c r="F3" t="s">
        <v>185</v>
      </c>
      <c r="I3" t="s">
        <v>78</v>
      </c>
      <c r="J3" t="s">
        <v>24</v>
      </c>
      <c r="K3">
        <v>0</v>
      </c>
      <c r="L3" t="s">
        <v>22</v>
      </c>
      <c r="R3" t="s">
        <v>24</v>
      </c>
      <c r="S3">
        <f t="shared" ref="S3:S12" si="0">(K3+K14+K25+K36+K47)/5</f>
        <v>0</v>
      </c>
      <c r="T3" t="s">
        <v>22</v>
      </c>
    </row>
    <row r="4" spans="1:20" x14ac:dyDescent="0.3">
      <c r="B4" t="s">
        <v>6</v>
      </c>
      <c r="C4" t="s">
        <v>22</v>
      </c>
      <c r="D4">
        <v>1.6E-2</v>
      </c>
      <c r="J4" t="s">
        <v>25</v>
      </c>
      <c r="K4">
        <v>0</v>
      </c>
      <c r="L4" t="s">
        <v>22</v>
      </c>
      <c r="R4" t="s">
        <v>25</v>
      </c>
      <c r="S4">
        <f t="shared" si="0"/>
        <v>0</v>
      </c>
      <c r="T4" t="s">
        <v>22</v>
      </c>
    </row>
    <row r="5" spans="1:20" x14ac:dyDescent="0.3">
      <c r="B5" t="s">
        <v>7</v>
      </c>
      <c r="C5" t="s">
        <v>22</v>
      </c>
      <c r="D5">
        <v>1.61</v>
      </c>
      <c r="J5" t="s">
        <v>316</v>
      </c>
      <c r="K5">
        <f>1.61+0.008+0.22</f>
        <v>1.8380000000000001</v>
      </c>
      <c r="L5" t="s">
        <v>22</v>
      </c>
      <c r="R5" t="s">
        <v>316</v>
      </c>
      <c r="S5">
        <f t="shared" si="0"/>
        <v>1.1636</v>
      </c>
      <c r="T5" t="s">
        <v>22</v>
      </c>
    </row>
    <row r="6" spans="1:20" x14ac:dyDescent="0.3">
      <c r="B6" t="s">
        <v>79</v>
      </c>
      <c r="C6" t="s">
        <v>22</v>
      </c>
      <c r="D6">
        <v>2.1999999999999999E-2</v>
      </c>
      <c r="J6" t="s">
        <v>26</v>
      </c>
      <c r="K6">
        <v>0</v>
      </c>
      <c r="L6" t="s">
        <v>22</v>
      </c>
      <c r="R6" t="s">
        <v>26</v>
      </c>
      <c r="S6">
        <f t="shared" si="0"/>
        <v>0</v>
      </c>
      <c r="T6" t="s">
        <v>22</v>
      </c>
    </row>
    <row r="7" spans="1:20" x14ac:dyDescent="0.3">
      <c r="B7" t="s">
        <v>80</v>
      </c>
      <c r="C7" t="s">
        <v>22</v>
      </c>
      <c r="D7">
        <v>8.0000000000000002E-3</v>
      </c>
      <c r="J7" t="s">
        <v>317</v>
      </c>
      <c r="K7">
        <v>2.1999999999999999E-2</v>
      </c>
      <c r="L7" t="s">
        <v>22</v>
      </c>
      <c r="R7" t="s">
        <v>317</v>
      </c>
      <c r="S7">
        <f t="shared" si="0"/>
        <v>1.0204</v>
      </c>
      <c r="T7" t="s">
        <v>22</v>
      </c>
    </row>
    <row r="8" spans="1:20" x14ac:dyDescent="0.3">
      <c r="B8" t="s">
        <v>45</v>
      </c>
      <c r="C8" t="s">
        <v>22</v>
      </c>
      <c r="D8">
        <v>0.22</v>
      </c>
      <c r="J8" t="s">
        <v>27</v>
      </c>
      <c r="K8">
        <v>0</v>
      </c>
      <c r="L8" t="s">
        <v>22</v>
      </c>
      <c r="R8" t="s">
        <v>27</v>
      </c>
      <c r="S8">
        <f t="shared" si="0"/>
        <v>0</v>
      </c>
      <c r="T8" t="s">
        <v>22</v>
      </c>
    </row>
    <row r="9" spans="1:20" x14ac:dyDescent="0.3">
      <c r="A9" t="s">
        <v>81</v>
      </c>
      <c r="B9" t="s">
        <v>43</v>
      </c>
      <c r="C9" t="s">
        <v>22</v>
      </c>
      <c r="D9">
        <v>39.479999999999997</v>
      </c>
      <c r="E9" t="s">
        <v>12</v>
      </c>
      <c r="J9" t="s">
        <v>28</v>
      </c>
      <c r="K9">
        <v>1.6E-2</v>
      </c>
      <c r="L9" t="s">
        <v>22</v>
      </c>
      <c r="R9" t="s">
        <v>28</v>
      </c>
      <c r="S9">
        <f t="shared" si="0"/>
        <v>3.2000000000000002E-3</v>
      </c>
      <c r="T9" t="s">
        <v>22</v>
      </c>
    </row>
    <row r="10" spans="1:20" x14ac:dyDescent="0.3">
      <c r="A10">
        <v>15</v>
      </c>
      <c r="B10" t="s">
        <v>14</v>
      </c>
      <c r="C10" t="s">
        <v>22</v>
      </c>
      <c r="D10">
        <v>1.27</v>
      </c>
      <c r="E10" s="15" t="s">
        <v>404</v>
      </c>
      <c r="F10" t="s">
        <v>185</v>
      </c>
      <c r="J10" t="s">
        <v>5</v>
      </c>
      <c r="K10">
        <v>0.13</v>
      </c>
      <c r="L10" t="s">
        <v>22</v>
      </c>
      <c r="R10" t="s">
        <v>5</v>
      </c>
      <c r="S10">
        <f t="shared" si="0"/>
        <v>2.6000000000000002E-2</v>
      </c>
      <c r="T10" t="s">
        <v>22</v>
      </c>
    </row>
    <row r="11" spans="1:20" x14ac:dyDescent="0.3">
      <c r="B11" t="s">
        <v>44</v>
      </c>
      <c r="C11" t="s">
        <v>22</v>
      </c>
      <c r="D11">
        <v>0.39</v>
      </c>
      <c r="J11" t="s">
        <v>29</v>
      </c>
      <c r="K11">
        <v>0</v>
      </c>
      <c r="L11" t="s">
        <v>22</v>
      </c>
      <c r="R11" t="s">
        <v>29</v>
      </c>
      <c r="S11">
        <f t="shared" si="0"/>
        <v>0</v>
      </c>
      <c r="T11" t="s">
        <v>22</v>
      </c>
    </row>
    <row r="12" spans="1:20" x14ac:dyDescent="0.3">
      <c r="B12" t="s">
        <v>45</v>
      </c>
      <c r="C12" t="s">
        <v>22</v>
      </c>
      <c r="D12">
        <v>0.16</v>
      </c>
      <c r="J12" t="s">
        <v>9</v>
      </c>
      <c r="K12">
        <v>0</v>
      </c>
      <c r="L12" t="s">
        <v>22</v>
      </c>
      <c r="R12" t="s">
        <v>9</v>
      </c>
      <c r="S12">
        <f t="shared" si="0"/>
        <v>56.796000000000006</v>
      </c>
      <c r="T12" t="s">
        <v>22</v>
      </c>
    </row>
    <row r="13" spans="1:20" x14ac:dyDescent="0.3">
      <c r="A13" t="s">
        <v>82</v>
      </c>
      <c r="B13" t="s">
        <v>43</v>
      </c>
      <c r="C13" t="s">
        <v>22</v>
      </c>
      <c r="D13">
        <v>58.94</v>
      </c>
      <c r="E13" t="s">
        <v>12</v>
      </c>
      <c r="I13" t="s">
        <v>81</v>
      </c>
      <c r="J13" t="s">
        <v>4</v>
      </c>
      <c r="K13">
        <v>0</v>
      </c>
      <c r="L13" t="s">
        <v>22</v>
      </c>
      <c r="Q13" t="s">
        <v>186</v>
      </c>
      <c r="S13">
        <f>SUM(S2:S12)</f>
        <v>64.20920000000001</v>
      </c>
    </row>
    <row r="14" spans="1:20" x14ac:dyDescent="0.3">
      <c r="A14">
        <v>15</v>
      </c>
      <c r="B14" t="s">
        <v>14</v>
      </c>
      <c r="C14" t="s">
        <v>22</v>
      </c>
      <c r="D14">
        <v>1.27</v>
      </c>
      <c r="E14" s="15" t="s">
        <v>404</v>
      </c>
      <c r="F14" t="s">
        <v>185</v>
      </c>
      <c r="I14" t="s">
        <v>23</v>
      </c>
      <c r="J14" t="s">
        <v>24</v>
      </c>
      <c r="K14">
        <v>0</v>
      </c>
      <c r="L14" t="s">
        <v>22</v>
      </c>
      <c r="Q14" t="s">
        <v>188</v>
      </c>
      <c r="S14">
        <f>(A10+A14+A18+A22)/4</f>
        <v>15</v>
      </c>
    </row>
    <row r="15" spans="1:20" x14ac:dyDescent="0.3">
      <c r="B15" t="s">
        <v>44</v>
      </c>
      <c r="C15" t="s">
        <v>22</v>
      </c>
      <c r="D15">
        <v>0.59</v>
      </c>
      <c r="J15" t="s">
        <v>25</v>
      </c>
      <c r="K15">
        <v>0</v>
      </c>
      <c r="L15" t="s">
        <v>22</v>
      </c>
    </row>
    <row r="16" spans="1:20" x14ac:dyDescent="0.3">
      <c r="B16" t="s">
        <v>45</v>
      </c>
      <c r="C16" t="s">
        <v>22</v>
      </c>
      <c r="D16">
        <v>0.24</v>
      </c>
      <c r="J16" t="s">
        <v>316</v>
      </c>
      <c r="K16">
        <f>0.39+0.16</f>
        <v>0.55000000000000004</v>
      </c>
      <c r="L16" t="s">
        <v>22</v>
      </c>
    </row>
    <row r="17" spans="1:12" x14ac:dyDescent="0.3">
      <c r="A17" t="s">
        <v>83</v>
      </c>
      <c r="B17" t="s">
        <v>43</v>
      </c>
      <c r="C17" t="s">
        <v>22</v>
      </c>
      <c r="D17">
        <v>84.18</v>
      </c>
      <c r="E17" t="s">
        <v>12</v>
      </c>
      <c r="J17" t="s">
        <v>26</v>
      </c>
      <c r="K17">
        <v>0</v>
      </c>
      <c r="L17" t="s">
        <v>22</v>
      </c>
    </row>
    <row r="18" spans="1:12" x14ac:dyDescent="0.3">
      <c r="A18">
        <v>15</v>
      </c>
      <c r="B18" t="s">
        <v>14</v>
      </c>
      <c r="C18" t="s">
        <v>22</v>
      </c>
      <c r="D18">
        <v>1.27</v>
      </c>
      <c r="E18" s="15" t="s">
        <v>404</v>
      </c>
      <c r="F18" t="s">
        <v>185</v>
      </c>
      <c r="J18" t="s">
        <v>317</v>
      </c>
      <c r="K18">
        <v>1.27</v>
      </c>
      <c r="L18" t="s">
        <v>22</v>
      </c>
    </row>
    <row r="19" spans="1:12" x14ac:dyDescent="0.3">
      <c r="B19" t="s">
        <v>44</v>
      </c>
      <c r="C19" t="s">
        <v>22</v>
      </c>
      <c r="D19">
        <v>0.84</v>
      </c>
      <c r="J19" t="s">
        <v>27</v>
      </c>
      <c r="K19">
        <v>0</v>
      </c>
      <c r="L19" t="s">
        <v>22</v>
      </c>
    </row>
    <row r="20" spans="1:12" x14ac:dyDescent="0.3">
      <c r="B20" t="s">
        <v>45</v>
      </c>
      <c r="C20" t="s">
        <v>22</v>
      </c>
      <c r="D20">
        <v>0.34</v>
      </c>
      <c r="J20" t="s">
        <v>28</v>
      </c>
      <c r="K20">
        <v>0</v>
      </c>
      <c r="L20" t="s">
        <v>22</v>
      </c>
    </row>
    <row r="21" spans="1:12" x14ac:dyDescent="0.3">
      <c r="A21" t="s">
        <v>84</v>
      </c>
      <c r="B21" t="s">
        <v>43</v>
      </c>
      <c r="C21" t="s">
        <v>22</v>
      </c>
      <c r="D21">
        <v>101.38</v>
      </c>
      <c r="E21" t="s">
        <v>12</v>
      </c>
      <c r="J21" t="s">
        <v>5</v>
      </c>
      <c r="K21">
        <v>0</v>
      </c>
      <c r="L21" t="s">
        <v>22</v>
      </c>
    </row>
    <row r="22" spans="1:12" x14ac:dyDescent="0.3">
      <c r="A22">
        <v>15</v>
      </c>
      <c r="B22" t="s">
        <v>14</v>
      </c>
      <c r="C22" t="s">
        <v>22</v>
      </c>
      <c r="D22">
        <v>1.27</v>
      </c>
      <c r="E22" s="15" t="s">
        <v>404</v>
      </c>
      <c r="F22" t="s">
        <v>185</v>
      </c>
      <c r="J22" t="s">
        <v>29</v>
      </c>
      <c r="K22">
        <v>0</v>
      </c>
      <c r="L22" t="s">
        <v>22</v>
      </c>
    </row>
    <row r="23" spans="1:12" x14ac:dyDescent="0.3">
      <c r="B23" t="s">
        <v>44</v>
      </c>
      <c r="C23" t="s">
        <v>22</v>
      </c>
      <c r="D23">
        <v>1.01</v>
      </c>
      <c r="J23" t="s">
        <v>9</v>
      </c>
      <c r="K23">
        <v>39.479999999999997</v>
      </c>
      <c r="L23" t="s">
        <v>22</v>
      </c>
    </row>
    <row r="24" spans="1:12" x14ac:dyDescent="0.3">
      <c r="B24" t="s">
        <v>45</v>
      </c>
      <c r="C24" t="s">
        <v>22</v>
      </c>
      <c r="D24">
        <v>0.41</v>
      </c>
      <c r="I24" t="s">
        <v>82</v>
      </c>
      <c r="J24" t="s">
        <v>4</v>
      </c>
      <c r="K24">
        <v>0</v>
      </c>
      <c r="L24" t="s">
        <v>22</v>
      </c>
    </row>
    <row r="25" spans="1:12" x14ac:dyDescent="0.3">
      <c r="I25" t="s">
        <v>23</v>
      </c>
      <c r="J25" t="s">
        <v>24</v>
      </c>
      <c r="K25">
        <v>0</v>
      </c>
      <c r="L25" t="s">
        <v>22</v>
      </c>
    </row>
    <row r="26" spans="1:12" x14ac:dyDescent="0.3">
      <c r="J26" t="s">
        <v>25</v>
      </c>
      <c r="K26">
        <v>0</v>
      </c>
      <c r="L26" t="s">
        <v>22</v>
      </c>
    </row>
    <row r="27" spans="1:12" x14ac:dyDescent="0.3">
      <c r="J27" t="s">
        <v>316</v>
      </c>
      <c r="K27">
        <f>0.59+0.24</f>
        <v>0.83</v>
      </c>
      <c r="L27" t="s">
        <v>22</v>
      </c>
    </row>
    <row r="28" spans="1:12" x14ac:dyDescent="0.3">
      <c r="J28" t="s">
        <v>26</v>
      </c>
      <c r="K28">
        <v>0</v>
      </c>
      <c r="L28" t="s">
        <v>22</v>
      </c>
    </row>
    <row r="29" spans="1:12" x14ac:dyDescent="0.3">
      <c r="J29" t="s">
        <v>317</v>
      </c>
      <c r="K29">
        <v>1.27</v>
      </c>
      <c r="L29" t="s">
        <v>22</v>
      </c>
    </row>
    <row r="30" spans="1:12" x14ac:dyDescent="0.3">
      <c r="J30" t="s">
        <v>27</v>
      </c>
      <c r="K30">
        <v>0</v>
      </c>
      <c r="L30" t="s">
        <v>22</v>
      </c>
    </row>
    <row r="31" spans="1:12" x14ac:dyDescent="0.3">
      <c r="J31" t="s">
        <v>28</v>
      </c>
      <c r="K31">
        <v>0</v>
      </c>
      <c r="L31" t="s">
        <v>22</v>
      </c>
    </row>
    <row r="32" spans="1:12" x14ac:dyDescent="0.3">
      <c r="J32" t="s">
        <v>5</v>
      </c>
      <c r="K32">
        <v>0</v>
      </c>
      <c r="L32" t="s">
        <v>22</v>
      </c>
    </row>
    <row r="33" spans="9:12" x14ac:dyDescent="0.3">
      <c r="J33" t="s">
        <v>29</v>
      </c>
      <c r="K33">
        <v>0</v>
      </c>
      <c r="L33" t="s">
        <v>22</v>
      </c>
    </row>
    <row r="34" spans="9:12" x14ac:dyDescent="0.3">
      <c r="J34" t="s">
        <v>9</v>
      </c>
      <c r="K34">
        <v>58.94</v>
      </c>
      <c r="L34" t="s">
        <v>22</v>
      </c>
    </row>
    <row r="35" spans="9:12" x14ac:dyDescent="0.3">
      <c r="I35" t="s">
        <v>83</v>
      </c>
      <c r="J35" t="s">
        <v>4</v>
      </c>
      <c r="K35">
        <v>0</v>
      </c>
      <c r="L35" t="s">
        <v>22</v>
      </c>
    </row>
    <row r="36" spans="9:12" x14ac:dyDescent="0.3">
      <c r="I36" t="s">
        <v>23</v>
      </c>
      <c r="J36" t="s">
        <v>24</v>
      </c>
      <c r="K36">
        <v>0</v>
      </c>
      <c r="L36" t="s">
        <v>22</v>
      </c>
    </row>
    <row r="37" spans="9:12" x14ac:dyDescent="0.3">
      <c r="J37" t="s">
        <v>25</v>
      </c>
      <c r="K37">
        <v>0</v>
      </c>
      <c r="L37" t="s">
        <v>22</v>
      </c>
    </row>
    <row r="38" spans="9:12" x14ac:dyDescent="0.3">
      <c r="J38" t="s">
        <v>316</v>
      </c>
      <c r="K38">
        <f>0.84+0.34</f>
        <v>1.18</v>
      </c>
      <c r="L38" t="s">
        <v>22</v>
      </c>
    </row>
    <row r="39" spans="9:12" x14ac:dyDescent="0.3">
      <c r="J39" t="s">
        <v>26</v>
      </c>
      <c r="K39">
        <v>0</v>
      </c>
      <c r="L39" t="s">
        <v>22</v>
      </c>
    </row>
    <row r="40" spans="9:12" x14ac:dyDescent="0.3">
      <c r="J40" t="s">
        <v>317</v>
      </c>
      <c r="K40">
        <v>1.27</v>
      </c>
      <c r="L40" t="s">
        <v>22</v>
      </c>
    </row>
    <row r="41" spans="9:12" x14ac:dyDescent="0.3">
      <c r="J41" t="s">
        <v>27</v>
      </c>
      <c r="K41">
        <v>0</v>
      </c>
      <c r="L41" t="s">
        <v>22</v>
      </c>
    </row>
    <row r="42" spans="9:12" x14ac:dyDescent="0.3">
      <c r="J42" t="s">
        <v>28</v>
      </c>
      <c r="K42">
        <v>0</v>
      </c>
      <c r="L42" t="s">
        <v>22</v>
      </c>
    </row>
    <row r="43" spans="9:12" x14ac:dyDescent="0.3">
      <c r="J43" t="s">
        <v>5</v>
      </c>
      <c r="K43">
        <v>0</v>
      </c>
      <c r="L43" t="s">
        <v>22</v>
      </c>
    </row>
    <row r="44" spans="9:12" x14ac:dyDescent="0.3">
      <c r="J44" t="s">
        <v>29</v>
      </c>
      <c r="K44">
        <v>0</v>
      </c>
      <c r="L44" t="s">
        <v>22</v>
      </c>
    </row>
    <row r="45" spans="9:12" x14ac:dyDescent="0.3">
      <c r="J45" t="s">
        <v>9</v>
      </c>
      <c r="K45">
        <v>84.18</v>
      </c>
      <c r="L45" t="s">
        <v>22</v>
      </c>
    </row>
    <row r="46" spans="9:12" x14ac:dyDescent="0.3">
      <c r="I46" t="s">
        <v>84</v>
      </c>
      <c r="J46" t="s">
        <v>4</v>
      </c>
      <c r="K46">
        <v>0</v>
      </c>
      <c r="L46" t="s">
        <v>22</v>
      </c>
    </row>
    <row r="47" spans="9:12" x14ac:dyDescent="0.3">
      <c r="I47" t="s">
        <v>23</v>
      </c>
      <c r="J47" t="s">
        <v>24</v>
      </c>
      <c r="K47">
        <v>0</v>
      </c>
      <c r="L47" t="s">
        <v>22</v>
      </c>
    </row>
    <row r="48" spans="9:12" x14ac:dyDescent="0.3">
      <c r="J48" t="s">
        <v>25</v>
      </c>
      <c r="K48">
        <v>0</v>
      </c>
      <c r="L48" t="s">
        <v>22</v>
      </c>
    </row>
    <row r="49" spans="10:12" x14ac:dyDescent="0.3">
      <c r="J49" t="s">
        <v>316</v>
      </c>
      <c r="K49">
        <f>1.01+0.41</f>
        <v>1.42</v>
      </c>
      <c r="L49" t="s">
        <v>22</v>
      </c>
    </row>
    <row r="50" spans="10:12" x14ac:dyDescent="0.3">
      <c r="J50" t="s">
        <v>26</v>
      </c>
      <c r="K50">
        <v>0</v>
      </c>
      <c r="L50" t="s">
        <v>22</v>
      </c>
    </row>
    <row r="51" spans="10:12" x14ac:dyDescent="0.3">
      <c r="J51" t="s">
        <v>317</v>
      </c>
      <c r="K51">
        <v>1.27</v>
      </c>
      <c r="L51" t="s">
        <v>22</v>
      </c>
    </row>
    <row r="52" spans="10:12" x14ac:dyDescent="0.3">
      <c r="J52" t="s">
        <v>27</v>
      </c>
      <c r="K52">
        <v>0</v>
      </c>
      <c r="L52" t="s">
        <v>22</v>
      </c>
    </row>
    <row r="53" spans="10:12" x14ac:dyDescent="0.3">
      <c r="J53" t="s">
        <v>28</v>
      </c>
      <c r="K53">
        <v>0</v>
      </c>
      <c r="L53" t="s">
        <v>22</v>
      </c>
    </row>
    <row r="54" spans="10:12" x14ac:dyDescent="0.3">
      <c r="J54" t="s">
        <v>5</v>
      </c>
      <c r="K54">
        <v>0</v>
      </c>
      <c r="L54" t="s">
        <v>22</v>
      </c>
    </row>
    <row r="55" spans="10:12" x14ac:dyDescent="0.3">
      <c r="J55" t="s">
        <v>29</v>
      </c>
      <c r="K55">
        <v>0</v>
      </c>
      <c r="L55" t="s">
        <v>22</v>
      </c>
    </row>
    <row r="56" spans="10:12" x14ac:dyDescent="0.3">
      <c r="J56" t="s">
        <v>9</v>
      </c>
      <c r="K56">
        <v>101.38</v>
      </c>
      <c r="L56" t="s">
        <v>22</v>
      </c>
    </row>
  </sheetData>
  <hyperlinks>
    <hyperlink ref="E3" r:id="rId1" xr:uid="{815DB2C8-B531-4D57-97AB-AEC21A1458DD}"/>
    <hyperlink ref="E10" r:id="rId2" xr:uid="{27179432-0136-4FA6-9138-66636646630B}"/>
    <hyperlink ref="E14" r:id="rId3" xr:uid="{DA3D1FCE-39DE-460C-AEB9-D60A7CFE5170}"/>
    <hyperlink ref="E18" r:id="rId4" xr:uid="{07561D18-A5D0-481E-8D06-2E7A2E5FB42D}"/>
    <hyperlink ref="E22" r:id="rId5" xr:uid="{D69F0C26-CA8F-4A75-BA4B-20593A555D9C}"/>
  </hyperlinks>
  <pageMargins left="0.7" right="0.7" top="0.75" bottom="0.75" header="0.3" footer="0.3"/>
  <pageSetup paperSize="9" orientation="portrait" r:id="rId6"/>
  <drawing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7DEA0-18DF-438B-98FF-C123A3C90168}">
  <dimension ref="A1:S78"/>
  <sheetViews>
    <sheetView topLeftCell="A37" zoomScaleNormal="100" workbookViewId="0">
      <selection activeCell="F58" sqref="F58"/>
    </sheetView>
  </sheetViews>
  <sheetFormatPr defaultRowHeight="14.4" x14ac:dyDescent="0.3"/>
  <cols>
    <col min="1" max="1" width="20.109375" customWidth="1"/>
    <col min="2" max="2" width="30.44140625" customWidth="1"/>
    <col min="7" max="7" width="1.21875" style="3" customWidth="1"/>
    <col min="9" max="9" width="20.88671875" customWidth="1"/>
    <col min="10" max="10" width="27.21875" customWidth="1"/>
    <col min="14" max="14" width="1" style="10" customWidth="1"/>
  </cols>
  <sheetData>
    <row r="1" spans="1:19" x14ac:dyDescent="0.3">
      <c r="A1" s="2" t="s">
        <v>1</v>
      </c>
      <c r="B1" s="2" t="s">
        <v>2</v>
      </c>
      <c r="C1" s="2" t="s">
        <v>21</v>
      </c>
      <c r="D1" s="2" t="s">
        <v>3</v>
      </c>
      <c r="E1" s="2" t="s">
        <v>11</v>
      </c>
      <c r="F1" s="2" t="s">
        <v>183</v>
      </c>
      <c r="I1" s="2" t="s">
        <v>1</v>
      </c>
      <c r="J1" s="2" t="s">
        <v>2</v>
      </c>
      <c r="K1" s="2" t="s">
        <v>3</v>
      </c>
      <c r="L1" s="2" t="s">
        <v>21</v>
      </c>
      <c r="M1" s="2"/>
      <c r="P1" s="2" t="s">
        <v>1</v>
      </c>
      <c r="Q1" s="2" t="s">
        <v>2</v>
      </c>
      <c r="R1" s="2" t="s">
        <v>3</v>
      </c>
      <c r="S1" s="2" t="s">
        <v>21</v>
      </c>
    </row>
    <row r="2" spans="1:19" x14ac:dyDescent="0.3">
      <c r="A2" t="s">
        <v>371</v>
      </c>
      <c r="B2" t="s">
        <v>101</v>
      </c>
      <c r="C2" t="s">
        <v>22</v>
      </c>
      <c r="D2">
        <v>2.35E-2</v>
      </c>
      <c r="E2" t="s">
        <v>102</v>
      </c>
      <c r="F2" t="s">
        <v>372</v>
      </c>
      <c r="H2" t="s">
        <v>185</v>
      </c>
      <c r="I2" t="s">
        <v>373</v>
      </c>
      <c r="J2" t="s">
        <v>4</v>
      </c>
      <c r="K2">
        <v>0</v>
      </c>
      <c r="L2" t="s">
        <v>22</v>
      </c>
      <c r="P2" t="s">
        <v>100</v>
      </c>
      <c r="Q2" t="s">
        <v>4</v>
      </c>
      <c r="R2">
        <f>(K2+K13+K24+K35+K46+K57+K68)/7</f>
        <v>0</v>
      </c>
      <c r="S2" t="s">
        <v>22</v>
      </c>
    </row>
    <row r="3" spans="1:19" x14ac:dyDescent="0.3">
      <c r="A3">
        <v>10</v>
      </c>
      <c r="B3" t="s">
        <v>104</v>
      </c>
      <c r="C3" t="s">
        <v>22</v>
      </c>
      <c r="D3">
        <v>0.112</v>
      </c>
      <c r="E3" s="15" t="s">
        <v>405</v>
      </c>
      <c r="F3" t="s">
        <v>185</v>
      </c>
      <c r="I3" t="s">
        <v>103</v>
      </c>
      <c r="J3" t="s">
        <v>24</v>
      </c>
      <c r="K3">
        <v>0</v>
      </c>
      <c r="L3" t="s">
        <v>22</v>
      </c>
      <c r="P3" t="s">
        <v>103</v>
      </c>
      <c r="Q3" t="s">
        <v>24</v>
      </c>
      <c r="R3">
        <f t="shared" ref="R3:R12" si="0">(K3+K14+K25+K36+K47+K58+K69)/7</f>
        <v>0</v>
      </c>
      <c r="S3" t="s">
        <v>22</v>
      </c>
    </row>
    <row r="4" spans="1:19" x14ac:dyDescent="0.3">
      <c r="B4" t="s">
        <v>105</v>
      </c>
      <c r="C4" t="s">
        <v>22</v>
      </c>
      <c r="D4">
        <v>1.325</v>
      </c>
      <c r="J4" t="s">
        <v>25</v>
      </c>
      <c r="K4">
        <v>0</v>
      </c>
      <c r="L4" t="s">
        <v>22</v>
      </c>
      <c r="Q4" t="s">
        <v>25</v>
      </c>
      <c r="R4">
        <f t="shared" si="0"/>
        <v>0</v>
      </c>
      <c r="S4" t="s">
        <v>22</v>
      </c>
    </row>
    <row r="5" spans="1:19" x14ac:dyDescent="0.3">
      <c r="B5" t="s">
        <v>106</v>
      </c>
      <c r="C5" t="s">
        <v>22</v>
      </c>
      <c r="D5">
        <v>1.5E-3</v>
      </c>
      <c r="J5" t="s">
        <v>316</v>
      </c>
      <c r="K5">
        <v>0</v>
      </c>
      <c r="L5" t="s">
        <v>22</v>
      </c>
      <c r="Q5" t="s">
        <v>316</v>
      </c>
      <c r="R5">
        <f t="shared" si="0"/>
        <v>0</v>
      </c>
      <c r="S5" t="s">
        <v>22</v>
      </c>
    </row>
    <row r="6" spans="1:19" x14ac:dyDescent="0.3">
      <c r="B6" t="s">
        <v>107</v>
      </c>
      <c r="C6" t="s">
        <v>22</v>
      </c>
      <c r="D6">
        <v>24.44</v>
      </c>
      <c r="J6" t="s">
        <v>26</v>
      </c>
      <c r="K6">
        <v>0</v>
      </c>
      <c r="L6" t="s">
        <v>22</v>
      </c>
      <c r="Q6" t="s">
        <v>26</v>
      </c>
      <c r="R6">
        <f t="shared" si="0"/>
        <v>0</v>
      </c>
      <c r="S6" t="s">
        <v>22</v>
      </c>
    </row>
    <row r="7" spans="1:19" x14ac:dyDescent="0.3">
      <c r="B7" t="s">
        <v>108</v>
      </c>
      <c r="C7" t="s">
        <v>22</v>
      </c>
      <c r="D7">
        <v>6.0000000000000001E-3</v>
      </c>
      <c r="J7" t="s">
        <v>317</v>
      </c>
      <c r="K7">
        <v>0</v>
      </c>
      <c r="L7" t="s">
        <v>22</v>
      </c>
      <c r="Q7" t="s">
        <v>317</v>
      </c>
      <c r="R7">
        <f t="shared" si="0"/>
        <v>1.1428571428571429E-2</v>
      </c>
      <c r="S7" t="s">
        <v>22</v>
      </c>
    </row>
    <row r="8" spans="1:19" x14ac:dyDescent="0.3">
      <c r="B8" t="s">
        <v>109</v>
      </c>
      <c r="C8" t="s">
        <v>22</v>
      </c>
      <c r="D8">
        <v>3.7189999999999999</v>
      </c>
      <c r="J8" t="s">
        <v>27</v>
      </c>
      <c r="K8">
        <v>0</v>
      </c>
      <c r="L8" t="s">
        <v>22</v>
      </c>
      <c r="Q8" t="s">
        <v>27</v>
      </c>
      <c r="R8">
        <f t="shared" si="0"/>
        <v>0.54714285714285715</v>
      </c>
      <c r="S8" t="s">
        <v>22</v>
      </c>
    </row>
    <row r="9" spans="1:19" x14ac:dyDescent="0.3">
      <c r="A9" t="s">
        <v>252</v>
      </c>
      <c r="B9" t="s">
        <v>5</v>
      </c>
      <c r="C9" t="s">
        <v>22</v>
      </c>
      <c r="D9">
        <v>7.36</v>
      </c>
      <c r="E9" t="s">
        <v>370</v>
      </c>
      <c r="F9" t="s">
        <v>369</v>
      </c>
      <c r="H9" t="s">
        <v>185</v>
      </c>
      <c r="J9" t="s">
        <v>28</v>
      </c>
      <c r="K9">
        <f>0.0235+0.112+1.325+0.0015+24.44</f>
        <v>25.902000000000001</v>
      </c>
      <c r="L9" t="s">
        <v>22</v>
      </c>
      <c r="Q9" t="s">
        <v>28</v>
      </c>
      <c r="R9">
        <f t="shared" si="0"/>
        <v>13.039142857142858</v>
      </c>
      <c r="S9" t="s">
        <v>22</v>
      </c>
    </row>
    <row r="10" spans="1:19" x14ac:dyDescent="0.3">
      <c r="A10">
        <v>10</v>
      </c>
      <c r="B10" t="s">
        <v>253</v>
      </c>
      <c r="C10" t="s">
        <v>22</v>
      </c>
      <c r="D10">
        <v>2.3920000000000003</v>
      </c>
      <c r="E10" s="15" t="s">
        <v>406</v>
      </c>
      <c r="F10" t="s">
        <v>262</v>
      </c>
      <c r="H10" t="s">
        <v>185</v>
      </c>
      <c r="J10" t="s">
        <v>5</v>
      </c>
      <c r="K10">
        <v>6.0000000000000001E-3</v>
      </c>
      <c r="L10" t="s">
        <v>22</v>
      </c>
      <c r="Q10" t="s">
        <v>5</v>
      </c>
      <c r="R10">
        <f t="shared" si="0"/>
        <v>11.813714285714285</v>
      </c>
      <c r="S10" t="s">
        <v>22</v>
      </c>
    </row>
    <row r="11" spans="1:19" x14ac:dyDescent="0.3">
      <c r="B11" t="s">
        <v>254</v>
      </c>
      <c r="C11" t="s">
        <v>22</v>
      </c>
      <c r="D11">
        <v>0.36800000000000005</v>
      </c>
      <c r="J11" t="s">
        <v>29</v>
      </c>
      <c r="K11">
        <v>3.7189999999999999</v>
      </c>
      <c r="L11" t="s">
        <v>22</v>
      </c>
      <c r="Q11" t="s">
        <v>29</v>
      </c>
      <c r="R11">
        <f t="shared" si="0"/>
        <v>5.9984285714285717</v>
      </c>
      <c r="S11" t="s">
        <v>22</v>
      </c>
    </row>
    <row r="12" spans="1:19" x14ac:dyDescent="0.3">
      <c r="B12" t="s">
        <v>255</v>
      </c>
      <c r="C12" t="s">
        <v>22</v>
      </c>
      <c r="D12">
        <v>1.1040000000000001</v>
      </c>
      <c r="J12" t="s">
        <v>9</v>
      </c>
      <c r="K12">
        <v>0</v>
      </c>
      <c r="L12" t="s">
        <v>22</v>
      </c>
      <c r="Q12" t="s">
        <v>9</v>
      </c>
      <c r="R12">
        <f t="shared" si="0"/>
        <v>2.6285714285714286</v>
      </c>
      <c r="S12" t="s">
        <v>22</v>
      </c>
    </row>
    <row r="13" spans="1:19" x14ac:dyDescent="0.3">
      <c r="B13" t="s">
        <v>256</v>
      </c>
      <c r="C13" t="s">
        <v>22</v>
      </c>
      <c r="D13">
        <v>3.68</v>
      </c>
      <c r="I13" t="s">
        <v>252</v>
      </c>
      <c r="J13" t="s">
        <v>4</v>
      </c>
      <c r="K13">
        <v>0</v>
      </c>
      <c r="L13" t="s">
        <v>22</v>
      </c>
      <c r="P13" t="s">
        <v>186</v>
      </c>
      <c r="R13">
        <f>SUM(R2:R12)</f>
        <v>34.038428571428575</v>
      </c>
    </row>
    <row r="14" spans="1:19" x14ac:dyDescent="0.3">
      <c r="B14" t="s">
        <v>47</v>
      </c>
      <c r="C14" t="s">
        <v>22</v>
      </c>
      <c r="D14">
        <v>0.7360000000000001</v>
      </c>
      <c r="J14" t="s">
        <v>24</v>
      </c>
      <c r="K14">
        <v>0</v>
      </c>
      <c r="L14" t="s">
        <v>22</v>
      </c>
      <c r="P14" t="s">
        <v>188</v>
      </c>
      <c r="R14">
        <f>(A3+A10+A19+A23+A32+A49)/6</f>
        <v>9</v>
      </c>
    </row>
    <row r="15" spans="1:19" x14ac:dyDescent="0.3">
      <c r="B15" t="s">
        <v>257</v>
      </c>
      <c r="C15" t="s">
        <v>22</v>
      </c>
      <c r="D15">
        <v>0.92</v>
      </c>
      <c r="J15" t="s">
        <v>25</v>
      </c>
      <c r="K15">
        <v>0</v>
      </c>
      <c r="L15" t="s">
        <v>22</v>
      </c>
    </row>
    <row r="16" spans="1:19" x14ac:dyDescent="0.3">
      <c r="B16" t="s">
        <v>258</v>
      </c>
      <c r="C16" t="s">
        <v>22</v>
      </c>
      <c r="D16">
        <v>1.84</v>
      </c>
      <c r="J16" t="s">
        <v>316</v>
      </c>
      <c r="K16">
        <v>0</v>
      </c>
      <c r="L16" t="s">
        <v>22</v>
      </c>
    </row>
    <row r="17" spans="1:12" x14ac:dyDescent="0.3">
      <c r="B17" t="s">
        <v>152</v>
      </c>
      <c r="C17" t="s">
        <v>22</v>
      </c>
      <c r="D17">
        <v>1.84</v>
      </c>
      <c r="J17" t="s">
        <v>26</v>
      </c>
      <c r="K17">
        <v>0</v>
      </c>
      <c r="L17" t="s">
        <v>22</v>
      </c>
    </row>
    <row r="18" spans="1:12" x14ac:dyDescent="0.3">
      <c r="A18" t="s">
        <v>259</v>
      </c>
      <c r="B18" t="s">
        <v>253</v>
      </c>
      <c r="C18" t="s">
        <v>22</v>
      </c>
      <c r="D18">
        <v>8.8320000000000007</v>
      </c>
      <c r="E18" t="s">
        <v>370</v>
      </c>
      <c r="F18" t="s">
        <v>369</v>
      </c>
      <c r="J18" t="s">
        <v>317</v>
      </c>
      <c r="K18">
        <v>0</v>
      </c>
      <c r="L18" t="s">
        <v>22</v>
      </c>
    </row>
    <row r="19" spans="1:12" x14ac:dyDescent="0.3">
      <c r="A19">
        <v>6</v>
      </c>
      <c r="B19" t="s">
        <v>255</v>
      </c>
      <c r="C19" t="s">
        <v>22</v>
      </c>
      <c r="D19">
        <v>1.1040000000000001</v>
      </c>
      <c r="E19" s="15" t="s">
        <v>406</v>
      </c>
      <c r="F19" t="s">
        <v>263</v>
      </c>
      <c r="H19" t="s">
        <v>185</v>
      </c>
      <c r="J19" t="s">
        <v>27</v>
      </c>
      <c r="K19">
        <v>0</v>
      </c>
      <c r="L19" t="s">
        <v>22</v>
      </c>
    </row>
    <row r="20" spans="1:12" x14ac:dyDescent="0.3">
      <c r="B20" t="s">
        <v>256</v>
      </c>
      <c r="C20" t="s">
        <v>22</v>
      </c>
      <c r="D20">
        <v>0.36800000000000005</v>
      </c>
      <c r="J20" t="s">
        <v>28</v>
      </c>
      <c r="K20">
        <f>D10+D11+D15</f>
        <v>3.68</v>
      </c>
      <c r="L20" t="s">
        <v>22</v>
      </c>
    </row>
    <row r="21" spans="1:12" x14ac:dyDescent="0.3">
      <c r="B21" t="s">
        <v>47</v>
      </c>
      <c r="C21" t="s">
        <v>22</v>
      </c>
      <c r="D21">
        <v>0.36800000000000005</v>
      </c>
      <c r="J21" t="s">
        <v>5</v>
      </c>
      <c r="K21">
        <v>7.36</v>
      </c>
      <c r="L21" t="s">
        <v>22</v>
      </c>
    </row>
    <row r="22" spans="1:12" x14ac:dyDescent="0.3">
      <c r="A22" t="s">
        <v>260</v>
      </c>
      <c r="B22" t="s">
        <v>254</v>
      </c>
      <c r="C22" t="s">
        <v>22</v>
      </c>
      <c r="D22">
        <v>16.560000000000002</v>
      </c>
      <c r="E22" t="s">
        <v>370</v>
      </c>
      <c r="F22" t="s">
        <v>369</v>
      </c>
      <c r="J22" t="s">
        <v>29</v>
      </c>
      <c r="K22">
        <f>D12+D13+D14+D17+D16</f>
        <v>9.2000000000000011</v>
      </c>
      <c r="L22" t="s">
        <v>22</v>
      </c>
    </row>
    <row r="23" spans="1:12" x14ac:dyDescent="0.3">
      <c r="A23">
        <v>8</v>
      </c>
      <c r="B23" t="s">
        <v>123</v>
      </c>
      <c r="C23" t="s">
        <v>22</v>
      </c>
      <c r="D23">
        <v>1.1040000000000001</v>
      </c>
      <c r="E23" s="15" t="s">
        <v>406</v>
      </c>
      <c r="F23" t="s">
        <v>185</v>
      </c>
      <c r="J23" t="s">
        <v>9</v>
      </c>
      <c r="K23">
        <v>0</v>
      </c>
      <c r="L23" t="s">
        <v>22</v>
      </c>
    </row>
    <row r="24" spans="1:12" x14ac:dyDescent="0.3">
      <c r="B24" t="s">
        <v>256</v>
      </c>
      <c r="C24" t="s">
        <v>22</v>
      </c>
      <c r="D24">
        <v>0.36800000000000005</v>
      </c>
      <c r="I24" t="s">
        <v>259</v>
      </c>
      <c r="J24" t="s">
        <v>4</v>
      </c>
      <c r="K24">
        <v>0</v>
      </c>
      <c r="L24" t="s">
        <v>22</v>
      </c>
    </row>
    <row r="25" spans="1:12" x14ac:dyDescent="0.3">
      <c r="B25" t="s">
        <v>47</v>
      </c>
      <c r="C25" t="s">
        <v>22</v>
      </c>
      <c r="D25">
        <v>0.36800000000000005</v>
      </c>
      <c r="J25" t="s">
        <v>24</v>
      </c>
      <c r="K25">
        <v>0</v>
      </c>
      <c r="L25" t="s">
        <v>22</v>
      </c>
    </row>
    <row r="26" spans="1:12" x14ac:dyDescent="0.3">
      <c r="A26" t="s">
        <v>261</v>
      </c>
      <c r="B26" t="s">
        <v>5</v>
      </c>
      <c r="C26" t="s">
        <v>22</v>
      </c>
      <c r="D26">
        <v>4.6000000000000005</v>
      </c>
      <c r="E26" t="s">
        <v>370</v>
      </c>
      <c r="F26" t="s">
        <v>369</v>
      </c>
      <c r="J26" t="s">
        <v>25</v>
      </c>
      <c r="K26">
        <v>0</v>
      </c>
      <c r="L26" t="s">
        <v>22</v>
      </c>
    </row>
    <row r="27" spans="1:12" x14ac:dyDescent="0.3">
      <c r="B27" t="s">
        <v>253</v>
      </c>
      <c r="C27" t="s">
        <v>22</v>
      </c>
      <c r="D27">
        <v>1.84</v>
      </c>
      <c r="E27" s="15" t="s">
        <v>406</v>
      </c>
      <c r="F27" t="s">
        <v>264</v>
      </c>
      <c r="J27" t="s">
        <v>316</v>
      </c>
      <c r="K27">
        <v>0</v>
      </c>
      <c r="L27" t="s">
        <v>22</v>
      </c>
    </row>
    <row r="28" spans="1:12" x14ac:dyDescent="0.3">
      <c r="B28" t="s">
        <v>254</v>
      </c>
      <c r="C28" t="s">
        <v>22</v>
      </c>
      <c r="D28">
        <v>2.7600000000000002</v>
      </c>
      <c r="J28" t="s">
        <v>26</v>
      </c>
      <c r="K28">
        <v>0</v>
      </c>
      <c r="L28" t="s">
        <v>22</v>
      </c>
    </row>
    <row r="29" spans="1:12" x14ac:dyDescent="0.3">
      <c r="B29" t="s">
        <v>255</v>
      </c>
      <c r="C29" t="s">
        <v>22</v>
      </c>
      <c r="D29">
        <v>0.92</v>
      </c>
      <c r="J29" t="s">
        <v>317</v>
      </c>
      <c r="K29">
        <v>0</v>
      </c>
      <c r="L29" t="s">
        <v>22</v>
      </c>
    </row>
    <row r="30" spans="1:12" x14ac:dyDescent="0.3">
      <c r="B30" t="s">
        <v>9</v>
      </c>
      <c r="C30" t="s">
        <v>22</v>
      </c>
      <c r="D30">
        <v>18.400000000000002</v>
      </c>
      <c r="J30" t="s">
        <v>27</v>
      </c>
      <c r="K30">
        <v>0</v>
      </c>
      <c r="L30" t="s">
        <v>22</v>
      </c>
    </row>
    <row r="31" spans="1:12" x14ac:dyDescent="0.3">
      <c r="A31" t="s">
        <v>302</v>
      </c>
      <c r="B31" t="s">
        <v>52</v>
      </c>
      <c r="C31" t="s">
        <v>22</v>
      </c>
      <c r="D31">
        <f>3.93+0.15+0.06</f>
        <v>4.1399999999999997</v>
      </c>
      <c r="E31" t="s">
        <v>311</v>
      </c>
      <c r="J31" t="s">
        <v>28</v>
      </c>
      <c r="K31">
        <v>8.8320000000000007</v>
      </c>
      <c r="L31" t="s">
        <v>22</v>
      </c>
    </row>
    <row r="32" spans="1:12" x14ac:dyDescent="0.3">
      <c r="A32">
        <v>10</v>
      </c>
      <c r="B32" t="s">
        <v>5</v>
      </c>
      <c r="C32" t="s">
        <v>22</v>
      </c>
      <c r="D32">
        <f>36.15+0.24+0.06</f>
        <v>36.450000000000003</v>
      </c>
      <c r="E32" s="15" t="s">
        <v>407</v>
      </c>
      <c r="F32" t="s">
        <v>185</v>
      </c>
      <c r="J32" t="s">
        <v>5</v>
      </c>
      <c r="K32">
        <v>0</v>
      </c>
      <c r="L32" t="s">
        <v>22</v>
      </c>
    </row>
    <row r="33" spans="1:12" x14ac:dyDescent="0.3">
      <c r="B33" t="s">
        <v>303</v>
      </c>
      <c r="C33" t="s">
        <v>22</v>
      </c>
      <c r="D33">
        <v>1.1299999999999999</v>
      </c>
      <c r="J33" t="s">
        <v>29</v>
      </c>
      <c r="K33">
        <f>SUM(D19:D21)</f>
        <v>1.8400000000000003</v>
      </c>
      <c r="L33" t="s">
        <v>22</v>
      </c>
    </row>
    <row r="34" spans="1:12" x14ac:dyDescent="0.3">
      <c r="B34" t="s">
        <v>304</v>
      </c>
      <c r="C34" t="s">
        <v>22</v>
      </c>
      <c r="D34">
        <f>0.18+1.34+0.04+0.14</f>
        <v>1.7000000000000002</v>
      </c>
      <c r="J34" t="s">
        <v>9</v>
      </c>
      <c r="K34">
        <v>0</v>
      </c>
      <c r="L34" t="s">
        <v>22</v>
      </c>
    </row>
    <row r="35" spans="1:12" x14ac:dyDescent="0.3">
      <c r="B35" t="s">
        <v>150</v>
      </c>
      <c r="C35" t="s">
        <v>22</v>
      </c>
      <c r="D35">
        <f>4.83+7.5+0.3</f>
        <v>12.63</v>
      </c>
      <c r="I35" t="s">
        <v>260</v>
      </c>
      <c r="J35" t="s">
        <v>4</v>
      </c>
      <c r="K35">
        <v>0</v>
      </c>
      <c r="L35" t="s">
        <v>22</v>
      </c>
    </row>
    <row r="36" spans="1:12" x14ac:dyDescent="0.3">
      <c r="B36" t="s">
        <v>305</v>
      </c>
      <c r="C36" t="s">
        <v>22</v>
      </c>
      <c r="D36">
        <v>2.1</v>
      </c>
      <c r="J36" t="s">
        <v>24</v>
      </c>
      <c r="K36">
        <v>0</v>
      </c>
      <c r="L36" t="s">
        <v>22</v>
      </c>
    </row>
    <row r="37" spans="1:12" x14ac:dyDescent="0.3">
      <c r="B37" t="s">
        <v>47</v>
      </c>
      <c r="C37" t="s">
        <v>22</v>
      </c>
      <c r="D37">
        <v>2.13</v>
      </c>
      <c r="J37" t="s">
        <v>25</v>
      </c>
      <c r="K37">
        <v>0</v>
      </c>
      <c r="L37" t="s">
        <v>22</v>
      </c>
    </row>
    <row r="38" spans="1:12" x14ac:dyDescent="0.3">
      <c r="B38" t="s">
        <v>306</v>
      </c>
      <c r="C38" t="s">
        <v>22</v>
      </c>
      <c r="D38">
        <v>3.25</v>
      </c>
      <c r="J38" t="s">
        <v>316</v>
      </c>
      <c r="K38">
        <v>0</v>
      </c>
      <c r="L38" t="s">
        <v>22</v>
      </c>
    </row>
    <row r="39" spans="1:12" x14ac:dyDescent="0.3">
      <c r="B39" t="s">
        <v>96</v>
      </c>
      <c r="C39" t="s">
        <v>22</v>
      </c>
      <c r="D39">
        <v>0.04</v>
      </c>
      <c r="J39" t="s">
        <v>26</v>
      </c>
      <c r="K39">
        <v>0</v>
      </c>
      <c r="L39" t="s">
        <v>22</v>
      </c>
    </row>
    <row r="40" spans="1:12" x14ac:dyDescent="0.3">
      <c r="B40" t="s">
        <v>278</v>
      </c>
      <c r="C40" t="s">
        <v>22</v>
      </c>
      <c r="D40">
        <v>0.04</v>
      </c>
      <c r="J40" t="s">
        <v>317</v>
      </c>
      <c r="K40">
        <v>0</v>
      </c>
      <c r="L40" t="s">
        <v>22</v>
      </c>
    </row>
    <row r="41" spans="1:12" x14ac:dyDescent="0.3">
      <c r="B41" t="s">
        <v>150</v>
      </c>
      <c r="C41" t="s">
        <v>22</v>
      </c>
      <c r="D41">
        <v>7.0000000000000007E-2</v>
      </c>
      <c r="J41" t="s">
        <v>27</v>
      </c>
      <c r="K41">
        <v>0</v>
      </c>
      <c r="L41" t="s">
        <v>22</v>
      </c>
    </row>
    <row r="42" spans="1:12" x14ac:dyDescent="0.3">
      <c r="B42" t="s">
        <v>52</v>
      </c>
      <c r="C42" t="s">
        <v>22</v>
      </c>
      <c r="D42">
        <f>0.08+0.02</f>
        <v>0.1</v>
      </c>
      <c r="J42" t="s">
        <v>28</v>
      </c>
      <c r="K42">
        <v>16.559999999999999</v>
      </c>
      <c r="L42" t="s">
        <v>22</v>
      </c>
    </row>
    <row r="43" spans="1:12" x14ac:dyDescent="0.3">
      <c r="B43" t="s">
        <v>307</v>
      </c>
      <c r="C43" t="s">
        <v>22</v>
      </c>
      <c r="D43">
        <v>0.05</v>
      </c>
      <c r="F43" t="s">
        <v>312</v>
      </c>
      <c r="H43" t="s">
        <v>185</v>
      </c>
      <c r="J43" t="s">
        <v>5</v>
      </c>
      <c r="K43">
        <v>0</v>
      </c>
      <c r="L43" t="s">
        <v>22</v>
      </c>
    </row>
    <row r="44" spans="1:12" x14ac:dyDescent="0.3">
      <c r="B44" t="s">
        <v>308</v>
      </c>
      <c r="C44" t="s">
        <v>22</v>
      </c>
      <c r="D44">
        <v>1.1000000000000001</v>
      </c>
      <c r="J44" t="s">
        <v>29</v>
      </c>
      <c r="K44">
        <f>SUM(D23:D25)</f>
        <v>1.8400000000000003</v>
      </c>
      <c r="L44" t="s">
        <v>22</v>
      </c>
    </row>
    <row r="45" spans="1:12" x14ac:dyDescent="0.3">
      <c r="B45" t="s">
        <v>310</v>
      </c>
      <c r="C45" t="s">
        <v>22</v>
      </c>
      <c r="D45">
        <v>0.02</v>
      </c>
      <c r="J45" t="s">
        <v>9</v>
      </c>
      <c r="K45">
        <v>0</v>
      </c>
      <c r="L45" t="s">
        <v>22</v>
      </c>
    </row>
    <row r="46" spans="1:12" x14ac:dyDescent="0.3">
      <c r="B46" t="s">
        <v>309</v>
      </c>
      <c r="C46" t="s">
        <v>22</v>
      </c>
      <c r="D46">
        <v>1.04</v>
      </c>
      <c r="F46" t="s">
        <v>122</v>
      </c>
      <c r="I46" t="s">
        <v>261</v>
      </c>
      <c r="J46" t="s">
        <v>4</v>
      </c>
      <c r="K46">
        <v>0</v>
      </c>
      <c r="L46" t="s">
        <v>22</v>
      </c>
    </row>
    <row r="47" spans="1:12" x14ac:dyDescent="0.3">
      <c r="B47" t="s">
        <v>8</v>
      </c>
      <c r="C47" t="s">
        <v>22</v>
      </c>
      <c r="D47">
        <v>1.85</v>
      </c>
      <c r="J47" t="s">
        <v>24</v>
      </c>
      <c r="K47">
        <v>0</v>
      </c>
      <c r="L47" t="s">
        <v>22</v>
      </c>
    </row>
    <row r="48" spans="1:12" x14ac:dyDescent="0.3">
      <c r="A48" t="s">
        <v>350</v>
      </c>
      <c r="B48" t="s">
        <v>52</v>
      </c>
      <c r="C48" t="s">
        <v>22</v>
      </c>
      <c r="D48">
        <f>3.93+0.06+0.08+0.02+0.08</f>
        <v>4.17</v>
      </c>
      <c r="E48" t="s">
        <v>311</v>
      </c>
      <c r="J48" t="s">
        <v>25</v>
      </c>
      <c r="K48">
        <v>0</v>
      </c>
      <c r="L48" t="s">
        <v>22</v>
      </c>
    </row>
    <row r="49" spans="1:12" x14ac:dyDescent="0.3">
      <c r="A49">
        <v>10</v>
      </c>
      <c r="B49" t="s">
        <v>5</v>
      </c>
      <c r="C49" t="s">
        <v>22</v>
      </c>
      <c r="D49">
        <f>34.03+0.24+0.01</f>
        <v>34.28</v>
      </c>
      <c r="E49" s="15" t="s">
        <v>407</v>
      </c>
      <c r="F49" t="s">
        <v>185</v>
      </c>
      <c r="J49" t="s">
        <v>316</v>
      </c>
      <c r="K49">
        <v>0</v>
      </c>
      <c r="L49" t="s">
        <v>22</v>
      </c>
    </row>
    <row r="50" spans="1:12" x14ac:dyDescent="0.3">
      <c r="B50" t="s">
        <v>303</v>
      </c>
      <c r="C50" t="s">
        <v>22</v>
      </c>
      <c r="D50">
        <v>1.1299999999999999</v>
      </c>
      <c r="E50" t="s">
        <v>185</v>
      </c>
      <c r="J50" t="s">
        <v>26</v>
      </c>
      <c r="K50">
        <v>0</v>
      </c>
      <c r="L50" t="s">
        <v>22</v>
      </c>
    </row>
    <row r="51" spans="1:12" x14ac:dyDescent="0.3">
      <c r="B51" t="s">
        <v>304</v>
      </c>
      <c r="C51" t="s">
        <v>22</v>
      </c>
      <c r="D51">
        <f>0.18+0.14</f>
        <v>0.32</v>
      </c>
      <c r="J51" t="s">
        <v>317</v>
      </c>
      <c r="K51">
        <v>0</v>
      </c>
      <c r="L51" t="s">
        <v>22</v>
      </c>
    </row>
    <row r="52" spans="1:12" x14ac:dyDescent="0.3">
      <c r="B52" t="s">
        <v>352</v>
      </c>
      <c r="C52" t="s">
        <v>22</v>
      </c>
      <c r="D52">
        <v>1.9</v>
      </c>
      <c r="J52" t="s">
        <v>27</v>
      </c>
      <c r="K52">
        <v>0</v>
      </c>
      <c r="L52" t="s">
        <v>22</v>
      </c>
    </row>
    <row r="53" spans="1:12" x14ac:dyDescent="0.3">
      <c r="B53" t="s">
        <v>351</v>
      </c>
      <c r="C53" t="s">
        <v>22</v>
      </c>
      <c r="D53">
        <f>9.01+0.36</f>
        <v>9.3699999999999992</v>
      </c>
      <c r="J53" t="s">
        <v>28</v>
      </c>
      <c r="K53">
        <f>D27+D28</f>
        <v>4.6000000000000005</v>
      </c>
      <c r="L53" t="s">
        <v>22</v>
      </c>
    </row>
    <row r="54" spans="1:12" x14ac:dyDescent="0.3">
      <c r="B54" t="s">
        <v>47</v>
      </c>
      <c r="C54" t="s">
        <v>22</v>
      </c>
      <c r="D54">
        <f>1.87+0.95+1.1</f>
        <v>3.9200000000000004</v>
      </c>
      <c r="J54" t="s">
        <v>5</v>
      </c>
      <c r="K54">
        <v>4.5999999999999996</v>
      </c>
      <c r="L54" t="s">
        <v>22</v>
      </c>
    </row>
    <row r="55" spans="1:12" x14ac:dyDescent="0.3">
      <c r="B55" t="s">
        <v>306</v>
      </c>
      <c r="C55" t="s">
        <v>22</v>
      </c>
      <c r="D55">
        <v>1.55</v>
      </c>
      <c r="J55" t="s">
        <v>29</v>
      </c>
      <c r="K55">
        <v>0.92</v>
      </c>
      <c r="L55" t="s">
        <v>22</v>
      </c>
    </row>
    <row r="56" spans="1:12" x14ac:dyDescent="0.3">
      <c r="B56" t="s">
        <v>96</v>
      </c>
      <c r="C56" t="s">
        <v>22</v>
      </c>
      <c r="D56">
        <v>0.09</v>
      </c>
      <c r="J56" t="s">
        <v>9</v>
      </c>
      <c r="K56">
        <v>18.399999999999999</v>
      </c>
      <c r="L56" t="s">
        <v>22</v>
      </c>
    </row>
    <row r="57" spans="1:12" x14ac:dyDescent="0.3">
      <c r="B57" t="s">
        <v>278</v>
      </c>
      <c r="C57" t="s">
        <v>22</v>
      </c>
      <c r="D57">
        <v>0.04</v>
      </c>
      <c r="I57" t="s">
        <v>302</v>
      </c>
      <c r="J57" t="s">
        <v>4</v>
      </c>
      <c r="K57">
        <v>0</v>
      </c>
      <c r="L57" t="s">
        <v>22</v>
      </c>
    </row>
    <row r="58" spans="1:12" x14ac:dyDescent="0.3">
      <c r="B58" t="s">
        <v>150</v>
      </c>
      <c r="C58" t="s">
        <v>22</v>
      </c>
      <c r="D58">
        <f>0.07+0.3</f>
        <v>0.37</v>
      </c>
      <c r="J58" t="s">
        <v>24</v>
      </c>
      <c r="K58">
        <v>0</v>
      </c>
      <c r="L58" t="s">
        <v>22</v>
      </c>
    </row>
    <row r="59" spans="1:12" x14ac:dyDescent="0.3">
      <c r="B59" t="s">
        <v>307</v>
      </c>
      <c r="C59" t="s">
        <v>22</v>
      </c>
      <c r="D59">
        <v>0.02</v>
      </c>
      <c r="J59" t="s">
        <v>25</v>
      </c>
      <c r="K59">
        <v>0</v>
      </c>
      <c r="L59" t="s">
        <v>22</v>
      </c>
    </row>
    <row r="60" spans="1:12" x14ac:dyDescent="0.3">
      <c r="B60" t="s">
        <v>310</v>
      </c>
      <c r="C60" t="s">
        <v>22</v>
      </c>
      <c r="D60">
        <v>0.02</v>
      </c>
      <c r="J60" t="s">
        <v>316</v>
      </c>
      <c r="K60">
        <v>0</v>
      </c>
      <c r="L60" t="s">
        <v>22</v>
      </c>
    </row>
    <row r="61" spans="1:12" x14ac:dyDescent="0.3">
      <c r="B61" t="s">
        <v>309</v>
      </c>
      <c r="C61" t="s">
        <v>22</v>
      </c>
      <c r="D61">
        <v>1.04</v>
      </c>
      <c r="J61" t="s">
        <v>26</v>
      </c>
      <c r="K61">
        <v>0</v>
      </c>
      <c r="L61" t="s">
        <v>22</v>
      </c>
    </row>
    <row r="62" spans="1:12" x14ac:dyDescent="0.3">
      <c r="B62" t="s">
        <v>8</v>
      </c>
      <c r="C62" t="s">
        <v>22</v>
      </c>
      <c r="D62">
        <v>1.85</v>
      </c>
      <c r="J62" t="s">
        <v>317</v>
      </c>
      <c r="K62">
        <f>D40</f>
        <v>0.04</v>
      </c>
      <c r="L62" t="s">
        <v>22</v>
      </c>
    </row>
    <row r="63" spans="1:12" x14ac:dyDescent="0.3">
      <c r="B63" t="s">
        <v>353</v>
      </c>
      <c r="C63" t="s">
        <v>22</v>
      </c>
      <c r="D63">
        <v>0.24</v>
      </c>
      <c r="J63" t="s">
        <v>27</v>
      </c>
      <c r="K63">
        <f>D47+D39</f>
        <v>1.8900000000000001</v>
      </c>
      <c r="L63" t="s">
        <v>22</v>
      </c>
    </row>
    <row r="64" spans="1:12" x14ac:dyDescent="0.3">
      <c r="B64" t="s">
        <v>354</v>
      </c>
      <c r="C64" t="s">
        <v>22</v>
      </c>
      <c r="D64">
        <v>0.24</v>
      </c>
      <c r="J64" t="s">
        <v>28</v>
      </c>
      <c r="K64">
        <f>D45+D42+D41+D36+D35+D34+D31+D33+0.4*D44+D46</f>
        <v>23.37</v>
      </c>
      <c r="L64" t="s">
        <v>22</v>
      </c>
    </row>
    <row r="65" spans="2:12" x14ac:dyDescent="0.3">
      <c r="B65" t="s">
        <v>355</v>
      </c>
      <c r="C65" t="s">
        <v>22</v>
      </c>
      <c r="D65">
        <v>1.1399999999999999</v>
      </c>
      <c r="J65" t="s">
        <v>5</v>
      </c>
      <c r="K65">
        <f>D32</f>
        <v>36.450000000000003</v>
      </c>
      <c r="L65" t="s">
        <v>22</v>
      </c>
    </row>
    <row r="66" spans="2:12" x14ac:dyDescent="0.3">
      <c r="J66" t="s">
        <v>29</v>
      </c>
      <c r="K66">
        <f>D38+0.6*D44+D43+D37</f>
        <v>6.09</v>
      </c>
      <c r="L66" t="s">
        <v>22</v>
      </c>
    </row>
    <row r="67" spans="2:12" x14ac:dyDescent="0.3">
      <c r="J67" t="s">
        <v>9</v>
      </c>
      <c r="K67">
        <v>0</v>
      </c>
      <c r="L67" t="s">
        <v>22</v>
      </c>
    </row>
    <row r="68" spans="2:12" x14ac:dyDescent="0.3">
      <c r="I68" t="s">
        <v>350</v>
      </c>
      <c r="J68" t="s">
        <v>4</v>
      </c>
      <c r="K68">
        <v>0</v>
      </c>
      <c r="L68" t="s">
        <v>22</v>
      </c>
    </row>
    <row r="69" spans="2:12" x14ac:dyDescent="0.3">
      <c r="J69" t="s">
        <v>24</v>
      </c>
      <c r="K69">
        <v>0</v>
      </c>
      <c r="L69" t="s">
        <v>22</v>
      </c>
    </row>
    <row r="70" spans="2:12" x14ac:dyDescent="0.3">
      <c r="J70" t="s">
        <v>25</v>
      </c>
      <c r="K70">
        <v>0</v>
      </c>
      <c r="L70" t="s">
        <v>22</v>
      </c>
    </row>
    <row r="71" spans="2:12" x14ac:dyDescent="0.3">
      <c r="J71" t="s">
        <v>316</v>
      </c>
      <c r="K71">
        <v>0</v>
      </c>
      <c r="L71" t="s">
        <v>22</v>
      </c>
    </row>
    <row r="72" spans="2:12" x14ac:dyDescent="0.3">
      <c r="J72" t="s">
        <v>26</v>
      </c>
      <c r="K72">
        <v>0</v>
      </c>
      <c r="L72" t="s">
        <v>22</v>
      </c>
    </row>
    <row r="73" spans="2:12" x14ac:dyDescent="0.3">
      <c r="J73" t="s">
        <v>317</v>
      </c>
      <c r="K73">
        <f>D57</f>
        <v>0.04</v>
      </c>
      <c r="L73" t="s">
        <v>22</v>
      </c>
    </row>
    <row r="74" spans="2:12" x14ac:dyDescent="0.3">
      <c r="J74" t="s">
        <v>27</v>
      </c>
      <c r="K74">
        <f>D62+D56</f>
        <v>1.9400000000000002</v>
      </c>
      <c r="L74" t="s">
        <v>22</v>
      </c>
    </row>
    <row r="75" spans="2:12" x14ac:dyDescent="0.3">
      <c r="J75" t="s">
        <v>28</v>
      </c>
      <c r="K75">
        <f>D50+D48+D51+D55+D60+D65</f>
        <v>8.33</v>
      </c>
      <c r="L75" t="s">
        <v>22</v>
      </c>
    </row>
    <row r="76" spans="2:12" x14ac:dyDescent="0.3">
      <c r="J76" t="s">
        <v>5</v>
      </c>
      <c r="K76">
        <f>D49</f>
        <v>34.28</v>
      </c>
      <c r="L76" t="s">
        <v>22</v>
      </c>
    </row>
    <row r="77" spans="2:12" x14ac:dyDescent="0.3">
      <c r="J77" t="s">
        <v>29</v>
      </c>
      <c r="K77">
        <f>D54+D53+D55+D63+D64+D65+D59+D52</f>
        <v>18.38</v>
      </c>
      <c r="L77" t="s">
        <v>22</v>
      </c>
    </row>
    <row r="78" spans="2:12" x14ac:dyDescent="0.3">
      <c r="J78" t="s">
        <v>9</v>
      </c>
      <c r="K78">
        <v>0</v>
      </c>
      <c r="L78" t="s">
        <v>22</v>
      </c>
    </row>
  </sheetData>
  <hyperlinks>
    <hyperlink ref="E3" r:id="rId1" xr:uid="{784170E5-23F9-4D60-9B93-D10AF4D2CC9E}"/>
    <hyperlink ref="E10" r:id="rId2" xr:uid="{A18593A5-2E60-4015-BF62-F8654095F44F}"/>
    <hyperlink ref="E19" r:id="rId3" xr:uid="{2CDE2411-6E91-4530-A876-00881F82292E}"/>
    <hyperlink ref="E23" r:id="rId4" xr:uid="{56B73AFF-DD59-4431-B302-A704C558DBB7}"/>
    <hyperlink ref="E27" r:id="rId5" xr:uid="{FCF2FC2B-1DF5-4539-996F-A47D14A867A3}"/>
    <hyperlink ref="E32" r:id="rId6" xr:uid="{52DCE39E-9D15-4FA6-8656-33555F4991F5}"/>
    <hyperlink ref="E49" r:id="rId7" xr:uid="{639A8752-F2FC-4412-B4B6-DA1A399F7368}"/>
  </hyperlinks>
  <pageMargins left="0.7" right="0.7" top="0.75" bottom="0.75" header="0.3" footer="0.3"/>
  <pageSetup paperSize="9" orientation="portrait" r:id="rId8"/>
  <drawing r:id="rId9"/>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9E1E4-A46D-440E-AA50-063026202A86}">
  <dimension ref="A1:V56"/>
  <sheetViews>
    <sheetView topLeftCell="A7" zoomScale="85" zoomScaleNormal="85" workbookViewId="0">
      <selection activeCell="E27" sqref="E27"/>
    </sheetView>
  </sheetViews>
  <sheetFormatPr defaultRowHeight="14.4" x14ac:dyDescent="0.3"/>
  <cols>
    <col min="1" max="1" width="51.5546875" customWidth="1"/>
    <col min="2" max="2" width="23.6640625" customWidth="1"/>
    <col min="9" max="9" width="1.44140625" style="3" customWidth="1"/>
    <col min="11" max="11" width="52.44140625" customWidth="1"/>
    <col min="12" max="12" width="27" customWidth="1"/>
    <col min="16" max="16" width="1.109375" style="3" customWidth="1"/>
    <col min="19" max="19" width="27.88671875" customWidth="1"/>
    <col min="20" max="20" width="27.21875" customWidth="1"/>
  </cols>
  <sheetData>
    <row r="1" spans="1:22" x14ac:dyDescent="0.3">
      <c r="A1" s="2" t="s">
        <v>1</v>
      </c>
      <c r="B1" s="2" t="s">
        <v>2</v>
      </c>
      <c r="C1" s="2" t="s">
        <v>3</v>
      </c>
      <c r="D1" s="2" t="s">
        <v>21</v>
      </c>
      <c r="E1" s="2" t="s">
        <v>11</v>
      </c>
      <c r="F1" s="2" t="s">
        <v>35</v>
      </c>
      <c r="G1" s="2" t="s">
        <v>362</v>
      </c>
      <c r="H1" s="2" t="s">
        <v>183</v>
      </c>
      <c r="K1" s="2" t="s">
        <v>1</v>
      </c>
      <c r="L1" s="2" t="s">
        <v>2</v>
      </c>
      <c r="M1" s="2" t="s">
        <v>3</v>
      </c>
      <c r="N1" s="2" t="s">
        <v>21</v>
      </c>
      <c r="S1" t="s">
        <v>1</v>
      </c>
      <c r="T1" t="s">
        <v>2</v>
      </c>
      <c r="U1" t="s">
        <v>3</v>
      </c>
      <c r="V1" t="s">
        <v>21</v>
      </c>
    </row>
    <row r="2" spans="1:22" x14ac:dyDescent="0.3">
      <c r="A2" t="s">
        <v>85</v>
      </c>
      <c r="B2" t="s">
        <v>9</v>
      </c>
      <c r="C2" t="s">
        <v>22</v>
      </c>
      <c r="D2">
        <v>29.6</v>
      </c>
      <c r="E2" t="s">
        <v>12</v>
      </c>
      <c r="K2" t="s">
        <v>85</v>
      </c>
      <c r="L2" t="s">
        <v>4</v>
      </c>
      <c r="M2">
        <v>0.47799999999999998</v>
      </c>
      <c r="N2" t="s">
        <v>22</v>
      </c>
      <c r="S2" t="s">
        <v>171</v>
      </c>
      <c r="T2" t="s">
        <v>4</v>
      </c>
      <c r="U2">
        <f>(M2+M13+M24+M35+M46)/5</f>
        <v>9.5599999999999991E-2</v>
      </c>
    </row>
    <row r="3" spans="1:22" x14ac:dyDescent="0.3">
      <c r="A3">
        <v>15</v>
      </c>
      <c r="B3" t="s">
        <v>5</v>
      </c>
      <c r="C3" t="s">
        <v>22</v>
      </c>
      <c r="D3">
        <f>29.1+0.124+0.861</f>
        <v>30.085000000000001</v>
      </c>
      <c r="E3" s="15" t="s">
        <v>408</v>
      </c>
      <c r="F3" t="s">
        <v>185</v>
      </c>
      <c r="K3" t="s">
        <v>23</v>
      </c>
      <c r="L3" t="s">
        <v>24</v>
      </c>
      <c r="M3">
        <v>0</v>
      </c>
      <c r="N3" t="s">
        <v>22</v>
      </c>
      <c r="S3" t="s">
        <v>23</v>
      </c>
      <c r="T3" t="s">
        <v>24</v>
      </c>
      <c r="U3">
        <f t="shared" ref="U3:U12" si="0">(M3+M14+M25+M36+M47)/5</f>
        <v>3.5159999999999996</v>
      </c>
    </row>
    <row r="4" spans="1:22" x14ac:dyDescent="0.3">
      <c r="B4" t="s">
        <v>4</v>
      </c>
      <c r="C4" t="s">
        <v>22</v>
      </c>
      <c r="D4">
        <v>0.47799999999999998</v>
      </c>
      <c r="L4" t="s">
        <v>25</v>
      </c>
      <c r="M4">
        <v>0</v>
      </c>
      <c r="N4" t="s">
        <v>22</v>
      </c>
      <c r="T4" t="s">
        <v>25</v>
      </c>
      <c r="U4">
        <f t="shared" si="0"/>
        <v>0</v>
      </c>
    </row>
    <row r="5" spans="1:22" x14ac:dyDescent="0.3">
      <c r="B5" t="s">
        <v>49</v>
      </c>
      <c r="C5" t="s">
        <v>22</v>
      </c>
      <c r="D5">
        <f>0.129+0.004+0.041</f>
        <v>0.17400000000000002</v>
      </c>
      <c r="L5" t="s">
        <v>316</v>
      </c>
      <c r="M5">
        <v>0.61599999999999999</v>
      </c>
      <c r="N5" t="s">
        <v>22</v>
      </c>
      <c r="T5" t="s">
        <v>316</v>
      </c>
      <c r="U5">
        <f t="shared" si="0"/>
        <v>1.6992</v>
      </c>
    </row>
    <row r="6" spans="1:22" x14ac:dyDescent="0.3">
      <c r="B6" t="s">
        <v>56</v>
      </c>
      <c r="C6" t="s">
        <v>22</v>
      </c>
      <c r="D6">
        <v>0.51300000000000001</v>
      </c>
      <c r="L6" t="s">
        <v>26</v>
      </c>
      <c r="M6">
        <v>0</v>
      </c>
      <c r="N6" t="s">
        <v>22</v>
      </c>
      <c r="T6" t="s">
        <v>26</v>
      </c>
      <c r="U6">
        <f t="shared" si="0"/>
        <v>0</v>
      </c>
    </row>
    <row r="7" spans="1:22" x14ac:dyDescent="0.3">
      <c r="B7" t="s">
        <v>7</v>
      </c>
      <c r="C7" t="s">
        <v>22</v>
      </c>
      <c r="D7">
        <v>0.61599999999999999</v>
      </c>
      <c r="L7" t="s">
        <v>317</v>
      </c>
      <c r="M7">
        <v>0</v>
      </c>
      <c r="N7" t="s">
        <v>22</v>
      </c>
      <c r="T7" t="s">
        <v>317</v>
      </c>
      <c r="U7">
        <f t="shared" si="0"/>
        <v>0.16699999999999998</v>
      </c>
    </row>
    <row r="8" spans="1:22" x14ac:dyDescent="0.3">
      <c r="A8" t="s">
        <v>363</v>
      </c>
      <c r="B8" t="s">
        <v>5</v>
      </c>
      <c r="C8" t="s">
        <v>22</v>
      </c>
      <c r="D8">
        <f>F8/100*$G$8</f>
        <v>40.019999999999996</v>
      </c>
      <c r="E8" t="s">
        <v>12</v>
      </c>
      <c r="F8">
        <v>69</v>
      </c>
      <c r="G8">
        <v>58</v>
      </c>
      <c r="L8" t="s">
        <v>27</v>
      </c>
      <c r="M8">
        <v>0</v>
      </c>
      <c r="N8" t="s">
        <v>22</v>
      </c>
      <c r="T8" t="s">
        <v>27</v>
      </c>
      <c r="U8">
        <f t="shared" si="0"/>
        <v>0.39400000000000002</v>
      </c>
    </row>
    <row r="9" spans="1:22" x14ac:dyDescent="0.3">
      <c r="A9">
        <v>15</v>
      </c>
      <c r="B9" t="s">
        <v>24</v>
      </c>
      <c r="C9" t="s">
        <v>22</v>
      </c>
      <c r="D9">
        <f t="shared" ref="D9:D13" si="1">F9/100*$G$8</f>
        <v>8.6999999999999993</v>
      </c>
      <c r="E9" s="15" t="s">
        <v>409</v>
      </c>
      <c r="F9">
        <v>15</v>
      </c>
      <c r="L9" t="s">
        <v>28</v>
      </c>
      <c r="M9">
        <f>0.174+0.513</f>
        <v>0.68700000000000006</v>
      </c>
      <c r="N9" t="s">
        <v>22</v>
      </c>
      <c r="T9" t="s">
        <v>28</v>
      </c>
      <c r="U9">
        <f t="shared" si="0"/>
        <v>0.53139999999999998</v>
      </c>
    </row>
    <row r="10" spans="1:22" x14ac:dyDescent="0.3">
      <c r="B10" t="s">
        <v>88</v>
      </c>
      <c r="C10" t="s">
        <v>22</v>
      </c>
      <c r="D10">
        <f t="shared" si="1"/>
        <v>2.3199999999999998</v>
      </c>
      <c r="F10">
        <v>4</v>
      </c>
      <c r="L10" t="s">
        <v>5</v>
      </c>
      <c r="M10">
        <v>30.085000000000001</v>
      </c>
      <c r="N10" t="s">
        <v>22</v>
      </c>
      <c r="T10" t="s">
        <v>5</v>
      </c>
      <c r="U10">
        <f t="shared" si="0"/>
        <v>34.292000000000002</v>
      </c>
    </row>
    <row r="11" spans="1:22" x14ac:dyDescent="0.3">
      <c r="B11" t="s">
        <v>89</v>
      </c>
      <c r="C11" t="s">
        <v>22</v>
      </c>
      <c r="D11">
        <f t="shared" si="1"/>
        <v>0.57999999999999996</v>
      </c>
      <c r="F11">
        <v>1</v>
      </c>
      <c r="L11" t="s">
        <v>29</v>
      </c>
      <c r="M11">
        <v>0</v>
      </c>
      <c r="N11" t="s">
        <v>22</v>
      </c>
      <c r="T11" t="s">
        <v>29</v>
      </c>
      <c r="U11">
        <f t="shared" si="0"/>
        <v>0</v>
      </c>
    </row>
    <row r="12" spans="1:22" x14ac:dyDescent="0.3">
      <c r="B12" t="s">
        <v>90</v>
      </c>
      <c r="C12" t="s">
        <v>22</v>
      </c>
      <c r="D12">
        <f t="shared" si="1"/>
        <v>0.57999999999999996</v>
      </c>
      <c r="F12">
        <v>1</v>
      </c>
      <c r="L12" t="s">
        <v>9</v>
      </c>
      <c r="M12">
        <v>29.6</v>
      </c>
      <c r="N12" t="s">
        <v>22</v>
      </c>
      <c r="T12" t="s">
        <v>9</v>
      </c>
      <c r="U12">
        <f t="shared" si="0"/>
        <v>11.200000000000001</v>
      </c>
    </row>
    <row r="13" spans="1:22" x14ac:dyDescent="0.3">
      <c r="B13" t="s">
        <v>9</v>
      </c>
      <c r="C13" t="s">
        <v>22</v>
      </c>
      <c r="D13">
        <f t="shared" si="1"/>
        <v>5.8000000000000007</v>
      </c>
      <c r="F13">
        <v>10</v>
      </c>
      <c r="K13" t="s">
        <v>86</v>
      </c>
      <c r="L13" t="s">
        <v>4</v>
      </c>
      <c r="M13">
        <v>0</v>
      </c>
      <c r="N13" t="s">
        <v>22</v>
      </c>
      <c r="S13" t="s">
        <v>186</v>
      </c>
      <c r="U13">
        <f>SUM(U2:U12)</f>
        <v>51.895200000000003</v>
      </c>
    </row>
    <row r="14" spans="1:22" x14ac:dyDescent="0.3">
      <c r="A14" t="s">
        <v>359</v>
      </c>
      <c r="B14" t="s">
        <v>5</v>
      </c>
      <c r="C14" t="s">
        <v>22</v>
      </c>
      <c r="D14">
        <f t="shared" ref="D14:D19" si="2">(F14/100)*$G$14</f>
        <v>37.74</v>
      </c>
      <c r="E14" t="s">
        <v>12</v>
      </c>
      <c r="F14">
        <v>68</v>
      </c>
      <c r="G14">
        <v>55.5</v>
      </c>
      <c r="K14" t="s">
        <v>87</v>
      </c>
      <c r="L14" t="s">
        <v>24</v>
      </c>
      <c r="M14">
        <v>8.6999999999999993</v>
      </c>
      <c r="N14" t="s">
        <v>22</v>
      </c>
      <c r="S14" t="s">
        <v>188</v>
      </c>
      <c r="U14">
        <f>(A3+A9+A15+A21+A27)/5</f>
        <v>15</v>
      </c>
    </row>
    <row r="15" spans="1:22" x14ac:dyDescent="0.3">
      <c r="A15">
        <v>15</v>
      </c>
      <c r="B15" t="s">
        <v>24</v>
      </c>
      <c r="C15" t="s">
        <v>22</v>
      </c>
      <c r="D15">
        <f t="shared" si="2"/>
        <v>8.8800000000000008</v>
      </c>
      <c r="E15" s="15" t="s">
        <v>409</v>
      </c>
      <c r="F15">
        <v>16</v>
      </c>
      <c r="L15" t="s">
        <v>25</v>
      </c>
      <c r="M15">
        <v>0</v>
      </c>
      <c r="N15" t="s">
        <v>22</v>
      </c>
    </row>
    <row r="16" spans="1:22" x14ac:dyDescent="0.3">
      <c r="B16" t="s">
        <v>360</v>
      </c>
      <c r="C16" t="s">
        <v>22</v>
      </c>
      <c r="D16">
        <f t="shared" si="2"/>
        <v>2.2200000000000002</v>
      </c>
      <c r="F16">
        <v>4</v>
      </c>
      <c r="L16" t="s">
        <v>316</v>
      </c>
      <c r="M16">
        <v>2.3199999999999998</v>
      </c>
      <c r="N16" t="s">
        <v>22</v>
      </c>
    </row>
    <row r="17" spans="1:14" x14ac:dyDescent="0.3">
      <c r="B17" t="s">
        <v>89</v>
      </c>
      <c r="C17" t="s">
        <v>22</v>
      </c>
      <c r="D17">
        <f t="shared" si="2"/>
        <v>0.55500000000000005</v>
      </c>
      <c r="F17">
        <v>1</v>
      </c>
      <c r="L17" t="s">
        <v>26</v>
      </c>
      <c r="M17">
        <v>0</v>
      </c>
      <c r="N17" t="s">
        <v>22</v>
      </c>
    </row>
    <row r="18" spans="1:14" x14ac:dyDescent="0.3">
      <c r="B18" t="s">
        <v>361</v>
      </c>
      <c r="C18" t="s">
        <v>22</v>
      </c>
      <c r="D18">
        <f t="shared" si="2"/>
        <v>0.55500000000000005</v>
      </c>
      <c r="F18">
        <v>1</v>
      </c>
      <c r="L18" t="s">
        <v>317</v>
      </c>
      <c r="M18">
        <v>0</v>
      </c>
      <c r="N18" t="s">
        <v>22</v>
      </c>
    </row>
    <row r="19" spans="1:14" x14ac:dyDescent="0.3">
      <c r="B19" t="s">
        <v>9</v>
      </c>
      <c r="C19" t="s">
        <v>22</v>
      </c>
      <c r="D19">
        <f t="shared" si="2"/>
        <v>5.5500000000000007</v>
      </c>
      <c r="F19">
        <v>10</v>
      </c>
      <c r="L19" t="s">
        <v>27</v>
      </c>
      <c r="M19">
        <v>0.57999999999999996</v>
      </c>
      <c r="N19" t="s">
        <v>22</v>
      </c>
    </row>
    <row r="20" spans="1:14" x14ac:dyDescent="0.3">
      <c r="A20" t="s">
        <v>364</v>
      </c>
      <c r="B20" t="s">
        <v>5</v>
      </c>
      <c r="C20" t="s">
        <v>22</v>
      </c>
      <c r="D20">
        <f>F20/100*$G$20</f>
        <v>25.740000000000002</v>
      </c>
      <c r="E20" t="s">
        <v>12</v>
      </c>
      <c r="F20">
        <v>78</v>
      </c>
      <c r="G20">
        <v>33</v>
      </c>
      <c r="L20" t="s">
        <v>28</v>
      </c>
      <c r="M20">
        <v>0.57999999999999996</v>
      </c>
      <c r="N20" t="s">
        <v>22</v>
      </c>
    </row>
    <row r="21" spans="1:14" x14ac:dyDescent="0.3">
      <c r="A21">
        <v>15</v>
      </c>
      <c r="B21" t="s">
        <v>88</v>
      </c>
      <c r="C21" t="s">
        <v>22</v>
      </c>
      <c r="D21">
        <f t="shared" ref="D21:D25" si="3">F21/100*$G$20</f>
        <v>1.32</v>
      </c>
      <c r="E21" s="15" t="s">
        <v>409</v>
      </c>
      <c r="F21">
        <v>4</v>
      </c>
      <c r="L21" t="s">
        <v>5</v>
      </c>
      <c r="M21">
        <v>40.020000000000003</v>
      </c>
      <c r="N21" t="s">
        <v>22</v>
      </c>
    </row>
    <row r="22" spans="1:14" x14ac:dyDescent="0.3">
      <c r="B22" t="s">
        <v>89</v>
      </c>
      <c r="C22" t="s">
        <v>22</v>
      </c>
      <c r="D22">
        <f t="shared" si="3"/>
        <v>0.33</v>
      </c>
      <c r="F22">
        <v>1</v>
      </c>
      <c r="L22" t="s">
        <v>29</v>
      </c>
      <c r="M22">
        <v>0</v>
      </c>
      <c r="N22" t="s">
        <v>22</v>
      </c>
    </row>
    <row r="23" spans="1:14" x14ac:dyDescent="0.3">
      <c r="B23" t="s">
        <v>90</v>
      </c>
      <c r="C23" t="s">
        <v>22</v>
      </c>
      <c r="D23">
        <f t="shared" si="3"/>
        <v>0.33</v>
      </c>
      <c r="F23">
        <v>1</v>
      </c>
      <c r="L23" t="s">
        <v>9</v>
      </c>
      <c r="M23">
        <v>5.8</v>
      </c>
      <c r="N23" t="s">
        <v>22</v>
      </c>
    </row>
    <row r="24" spans="1:14" x14ac:dyDescent="0.3">
      <c r="B24" t="s">
        <v>9</v>
      </c>
      <c r="C24" t="s">
        <v>22</v>
      </c>
      <c r="D24">
        <f t="shared" si="3"/>
        <v>4.95</v>
      </c>
      <c r="F24">
        <v>15</v>
      </c>
      <c r="K24" t="s">
        <v>359</v>
      </c>
      <c r="L24" t="s">
        <v>4</v>
      </c>
      <c r="M24">
        <v>0</v>
      </c>
      <c r="N24" t="s">
        <v>22</v>
      </c>
    </row>
    <row r="25" spans="1:14" x14ac:dyDescent="0.3">
      <c r="B25" t="s">
        <v>365</v>
      </c>
      <c r="C25" t="s">
        <v>22</v>
      </c>
      <c r="D25">
        <f t="shared" si="3"/>
        <v>0.33</v>
      </c>
      <c r="F25">
        <v>1</v>
      </c>
      <c r="L25" t="s">
        <v>24</v>
      </c>
      <c r="M25">
        <f>D15</f>
        <v>8.8800000000000008</v>
      </c>
      <c r="N25" t="s">
        <v>22</v>
      </c>
    </row>
    <row r="26" spans="1:14" x14ac:dyDescent="0.3">
      <c r="A26" t="s">
        <v>366</v>
      </c>
      <c r="B26" t="s">
        <v>5</v>
      </c>
      <c r="C26" t="s">
        <v>22</v>
      </c>
      <c r="D26">
        <f>F26/100*$G$26</f>
        <v>37.875</v>
      </c>
      <c r="E26" t="s">
        <v>12</v>
      </c>
      <c r="F26">
        <v>75</v>
      </c>
      <c r="G26">
        <v>50.5</v>
      </c>
      <c r="L26" t="s">
        <v>25</v>
      </c>
      <c r="M26">
        <v>0</v>
      </c>
      <c r="N26" t="s">
        <v>22</v>
      </c>
    </row>
    <row r="27" spans="1:14" x14ac:dyDescent="0.3">
      <c r="A27">
        <v>15</v>
      </c>
      <c r="B27" t="s">
        <v>88</v>
      </c>
      <c r="C27" t="s">
        <v>22</v>
      </c>
      <c r="D27">
        <f t="shared" ref="D27:D30" si="4">F27/100*$G$26</f>
        <v>2.02</v>
      </c>
      <c r="E27" s="15" t="s">
        <v>409</v>
      </c>
      <c r="F27">
        <v>4</v>
      </c>
      <c r="L27" t="s">
        <v>316</v>
      </c>
      <c r="M27">
        <f>D16</f>
        <v>2.2200000000000002</v>
      </c>
      <c r="N27" t="s">
        <v>22</v>
      </c>
    </row>
    <row r="28" spans="1:14" x14ac:dyDescent="0.3">
      <c r="B28" t="s">
        <v>89</v>
      </c>
      <c r="C28" t="s">
        <v>22</v>
      </c>
      <c r="D28">
        <f t="shared" si="4"/>
        <v>0.505</v>
      </c>
      <c r="F28">
        <v>1</v>
      </c>
      <c r="L28" t="s">
        <v>26</v>
      </c>
      <c r="M28">
        <v>0</v>
      </c>
      <c r="N28" t="s">
        <v>22</v>
      </c>
    </row>
    <row r="29" spans="1:14" x14ac:dyDescent="0.3">
      <c r="B29" t="s">
        <v>90</v>
      </c>
      <c r="C29" t="s">
        <v>22</v>
      </c>
      <c r="D29">
        <f t="shared" si="4"/>
        <v>0.505</v>
      </c>
      <c r="F29">
        <v>1</v>
      </c>
      <c r="L29" t="s">
        <v>317</v>
      </c>
      <c r="M29">
        <v>0</v>
      </c>
      <c r="N29" t="s">
        <v>22</v>
      </c>
    </row>
    <row r="30" spans="1:14" x14ac:dyDescent="0.3">
      <c r="B30" t="s">
        <v>9</v>
      </c>
      <c r="C30" t="s">
        <v>22</v>
      </c>
      <c r="D30">
        <f t="shared" si="4"/>
        <v>10.100000000000001</v>
      </c>
      <c r="F30">
        <v>20</v>
      </c>
      <c r="L30" t="s">
        <v>27</v>
      </c>
      <c r="M30">
        <f>D18</f>
        <v>0.55500000000000005</v>
      </c>
      <c r="N30" t="s">
        <v>22</v>
      </c>
    </row>
    <row r="31" spans="1:14" x14ac:dyDescent="0.3">
      <c r="B31" t="s">
        <v>367</v>
      </c>
      <c r="C31" t="s">
        <v>22</v>
      </c>
      <c r="D31">
        <f>F31/100*$G$26</f>
        <v>0.505</v>
      </c>
      <c r="F31">
        <v>1</v>
      </c>
      <c r="L31" t="s">
        <v>28</v>
      </c>
      <c r="M31">
        <f>D17</f>
        <v>0.55500000000000005</v>
      </c>
      <c r="N31" t="s">
        <v>22</v>
      </c>
    </row>
    <row r="32" spans="1:14" x14ac:dyDescent="0.3">
      <c r="L32" t="s">
        <v>5</v>
      </c>
      <c r="M32">
        <f>D14</f>
        <v>37.74</v>
      </c>
      <c r="N32" t="s">
        <v>22</v>
      </c>
    </row>
    <row r="33" spans="11:14" x14ac:dyDescent="0.3">
      <c r="L33" t="s">
        <v>29</v>
      </c>
      <c r="M33">
        <v>0</v>
      </c>
      <c r="N33" t="s">
        <v>22</v>
      </c>
    </row>
    <row r="34" spans="11:14" x14ac:dyDescent="0.3">
      <c r="L34" t="s">
        <v>9</v>
      </c>
      <c r="M34">
        <f>D19</f>
        <v>5.5500000000000007</v>
      </c>
      <c r="N34" t="s">
        <v>22</v>
      </c>
    </row>
    <row r="35" spans="11:14" x14ac:dyDescent="0.3">
      <c r="K35" t="s">
        <v>364</v>
      </c>
      <c r="L35" t="s">
        <v>4</v>
      </c>
      <c r="M35">
        <v>0</v>
      </c>
      <c r="N35" t="s">
        <v>22</v>
      </c>
    </row>
    <row r="36" spans="11:14" x14ac:dyDescent="0.3">
      <c r="L36" t="s">
        <v>24</v>
      </c>
      <c r="M36">
        <v>0</v>
      </c>
      <c r="N36" t="s">
        <v>22</v>
      </c>
    </row>
    <row r="37" spans="11:14" x14ac:dyDescent="0.3">
      <c r="L37" t="s">
        <v>25</v>
      </c>
      <c r="M37">
        <v>0</v>
      </c>
      <c r="N37" t="s">
        <v>22</v>
      </c>
    </row>
    <row r="38" spans="11:14" x14ac:dyDescent="0.3">
      <c r="L38" t="s">
        <v>316</v>
      </c>
      <c r="M38">
        <f>D21</f>
        <v>1.32</v>
      </c>
      <c r="N38" t="s">
        <v>22</v>
      </c>
    </row>
    <row r="39" spans="11:14" x14ac:dyDescent="0.3">
      <c r="L39" t="s">
        <v>26</v>
      </c>
      <c r="M39">
        <v>0</v>
      </c>
      <c r="N39" t="s">
        <v>22</v>
      </c>
    </row>
    <row r="40" spans="11:14" x14ac:dyDescent="0.3">
      <c r="L40" t="s">
        <v>317</v>
      </c>
      <c r="M40">
        <f>D25</f>
        <v>0.33</v>
      </c>
      <c r="N40" t="s">
        <v>22</v>
      </c>
    </row>
    <row r="41" spans="11:14" x14ac:dyDescent="0.3">
      <c r="L41" t="s">
        <v>27</v>
      </c>
      <c r="M41">
        <f>D23</f>
        <v>0.33</v>
      </c>
      <c r="N41" t="s">
        <v>22</v>
      </c>
    </row>
    <row r="42" spans="11:14" x14ac:dyDescent="0.3">
      <c r="L42" t="s">
        <v>28</v>
      </c>
      <c r="M42">
        <f>D22</f>
        <v>0.33</v>
      </c>
      <c r="N42" t="s">
        <v>22</v>
      </c>
    </row>
    <row r="43" spans="11:14" x14ac:dyDescent="0.3">
      <c r="L43" t="s">
        <v>5</v>
      </c>
      <c r="M43">
        <f>D20</f>
        <v>25.740000000000002</v>
      </c>
      <c r="N43" t="s">
        <v>22</v>
      </c>
    </row>
    <row r="44" spans="11:14" x14ac:dyDescent="0.3">
      <c r="L44" t="s">
        <v>29</v>
      </c>
      <c r="M44">
        <v>0</v>
      </c>
      <c r="N44" t="s">
        <v>22</v>
      </c>
    </row>
    <row r="45" spans="11:14" x14ac:dyDescent="0.3">
      <c r="L45" t="s">
        <v>9</v>
      </c>
      <c r="M45">
        <f>D24</f>
        <v>4.95</v>
      </c>
      <c r="N45" t="s">
        <v>22</v>
      </c>
    </row>
    <row r="46" spans="11:14" x14ac:dyDescent="0.3">
      <c r="K46" t="s">
        <v>366</v>
      </c>
      <c r="L46" t="s">
        <v>4</v>
      </c>
      <c r="M46">
        <v>0</v>
      </c>
      <c r="N46" t="s">
        <v>22</v>
      </c>
    </row>
    <row r="47" spans="11:14" x14ac:dyDescent="0.3">
      <c r="L47" t="s">
        <v>24</v>
      </c>
      <c r="M47">
        <v>0</v>
      </c>
      <c r="N47" t="s">
        <v>22</v>
      </c>
    </row>
    <row r="48" spans="11:14" x14ac:dyDescent="0.3">
      <c r="L48" t="s">
        <v>25</v>
      </c>
      <c r="M48">
        <v>0</v>
      </c>
      <c r="N48" t="s">
        <v>22</v>
      </c>
    </row>
    <row r="49" spans="12:14" x14ac:dyDescent="0.3">
      <c r="L49" t="s">
        <v>316</v>
      </c>
      <c r="M49">
        <f>D27</f>
        <v>2.02</v>
      </c>
      <c r="N49" t="s">
        <v>22</v>
      </c>
    </row>
    <row r="50" spans="12:14" x14ac:dyDescent="0.3">
      <c r="L50" t="s">
        <v>26</v>
      </c>
      <c r="M50">
        <v>0</v>
      </c>
      <c r="N50" t="s">
        <v>22</v>
      </c>
    </row>
    <row r="51" spans="12:14" x14ac:dyDescent="0.3">
      <c r="L51" t="s">
        <v>317</v>
      </c>
      <c r="M51">
        <f>D31</f>
        <v>0.505</v>
      </c>
      <c r="N51" t="s">
        <v>22</v>
      </c>
    </row>
    <row r="52" spans="12:14" x14ac:dyDescent="0.3">
      <c r="L52" t="s">
        <v>27</v>
      </c>
      <c r="M52">
        <f>D29</f>
        <v>0.505</v>
      </c>
      <c r="N52" t="s">
        <v>22</v>
      </c>
    </row>
    <row r="53" spans="12:14" x14ac:dyDescent="0.3">
      <c r="L53" t="s">
        <v>28</v>
      </c>
      <c r="M53">
        <f>D28</f>
        <v>0.505</v>
      </c>
      <c r="N53" t="s">
        <v>22</v>
      </c>
    </row>
    <row r="54" spans="12:14" x14ac:dyDescent="0.3">
      <c r="L54" t="s">
        <v>5</v>
      </c>
      <c r="M54">
        <f>D26</f>
        <v>37.875</v>
      </c>
      <c r="N54" t="s">
        <v>22</v>
      </c>
    </row>
    <row r="55" spans="12:14" x14ac:dyDescent="0.3">
      <c r="L55" t="s">
        <v>29</v>
      </c>
      <c r="M55">
        <v>0</v>
      </c>
      <c r="N55" t="s">
        <v>22</v>
      </c>
    </row>
    <row r="56" spans="12:14" x14ac:dyDescent="0.3">
      <c r="L56" t="s">
        <v>9</v>
      </c>
      <c r="M56">
        <f>D30</f>
        <v>10.100000000000001</v>
      </c>
      <c r="N56" t="s">
        <v>22</v>
      </c>
    </row>
  </sheetData>
  <hyperlinks>
    <hyperlink ref="E3" r:id="rId1" xr:uid="{082F63DB-5B70-43AA-AB08-A8FCD3B87FBE}"/>
    <hyperlink ref="E9" r:id="rId2" xr:uid="{288C4157-2FC6-4CC6-BB04-7297049E24FD}"/>
    <hyperlink ref="E15" r:id="rId3" xr:uid="{F77A619D-DC4E-46DA-A7B8-3813E4437946}"/>
    <hyperlink ref="E21" r:id="rId4" xr:uid="{A804DF76-E204-497C-89C9-38204A2372FF}"/>
    <hyperlink ref="E27" r:id="rId5" xr:uid="{942E1A69-7CD2-44A0-8B97-ABC75B58B3ED}"/>
  </hyperlinks>
  <pageMargins left="0.7" right="0.7" top="0.75" bottom="0.75" header="0.3" footer="0.3"/>
  <pageSetup paperSize="9" orientation="portrait" r:id="rId6"/>
  <drawing r:id="rId7"/>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59D03-2B8A-4A14-B8A2-150888F4AD2B}">
  <dimension ref="A1:S34"/>
  <sheetViews>
    <sheetView zoomScale="70" zoomScaleNormal="70" workbookViewId="0">
      <selection activeCell="E3" sqref="E3"/>
    </sheetView>
  </sheetViews>
  <sheetFormatPr defaultRowHeight="14.4" x14ac:dyDescent="0.3"/>
  <cols>
    <col min="7" max="7" width="1" style="3" customWidth="1"/>
    <col min="9" max="9" width="12.44140625" customWidth="1"/>
    <col min="10" max="10" width="27" customWidth="1"/>
    <col min="14" max="14" width="1.109375" style="10" customWidth="1"/>
    <col min="16" max="16" width="13" customWidth="1"/>
  </cols>
  <sheetData>
    <row r="1" spans="1:19" x14ac:dyDescent="0.3">
      <c r="A1" s="2" t="s">
        <v>1</v>
      </c>
      <c r="B1" s="2" t="s">
        <v>2</v>
      </c>
      <c r="C1" s="2" t="s">
        <v>3</v>
      </c>
      <c r="D1" s="2" t="s">
        <v>21</v>
      </c>
      <c r="E1" s="2" t="s">
        <v>11</v>
      </c>
      <c r="F1" s="2" t="s">
        <v>183</v>
      </c>
      <c r="I1" s="2" t="s">
        <v>1</v>
      </c>
      <c r="J1" s="2" t="s">
        <v>2</v>
      </c>
      <c r="K1" s="2" t="s">
        <v>3</v>
      </c>
      <c r="L1" s="2" t="s">
        <v>21</v>
      </c>
      <c r="P1" s="2" t="s">
        <v>1</v>
      </c>
      <c r="Q1" s="2" t="s">
        <v>2</v>
      </c>
      <c r="R1" s="2" t="s">
        <v>3</v>
      </c>
      <c r="S1" s="2" t="s">
        <v>21</v>
      </c>
    </row>
    <row r="2" spans="1:19" x14ac:dyDescent="0.3">
      <c r="A2" t="s">
        <v>91</v>
      </c>
      <c r="B2" t="s">
        <v>26</v>
      </c>
      <c r="C2" t="s">
        <v>22</v>
      </c>
      <c r="D2">
        <f>0.083618*800</f>
        <v>66.894400000000005</v>
      </c>
      <c r="E2" t="s">
        <v>93</v>
      </c>
      <c r="F2" t="s">
        <v>374</v>
      </c>
      <c r="I2" t="s">
        <v>91</v>
      </c>
      <c r="J2" t="s">
        <v>4</v>
      </c>
      <c r="K2">
        <v>0</v>
      </c>
      <c r="L2" t="s">
        <v>22</v>
      </c>
      <c r="P2" t="s">
        <v>314</v>
      </c>
      <c r="Q2" t="s">
        <v>4</v>
      </c>
      <c r="R2">
        <f>(K2+K13+K24)/3</f>
        <v>0</v>
      </c>
      <c r="S2" t="s">
        <v>22</v>
      </c>
    </row>
    <row r="3" spans="1:19" x14ac:dyDescent="0.3">
      <c r="A3">
        <v>15</v>
      </c>
      <c r="B3" t="s">
        <v>5</v>
      </c>
      <c r="C3" t="s">
        <v>22</v>
      </c>
      <c r="D3">
        <v>12.01</v>
      </c>
      <c r="E3" s="15" t="s">
        <v>410</v>
      </c>
      <c r="F3" t="s">
        <v>185</v>
      </c>
      <c r="J3" t="s">
        <v>24</v>
      </c>
      <c r="K3">
        <v>0</v>
      </c>
      <c r="L3" t="s">
        <v>22</v>
      </c>
      <c r="Q3" t="s">
        <v>24</v>
      </c>
      <c r="R3">
        <f t="shared" ref="R3:R12" si="0">(K3+K14+K25)/3</f>
        <v>0</v>
      </c>
      <c r="S3" t="s">
        <v>22</v>
      </c>
    </row>
    <row r="4" spans="1:19" x14ac:dyDescent="0.3">
      <c r="B4" t="s">
        <v>17</v>
      </c>
      <c r="C4" t="s">
        <v>22</v>
      </c>
      <c r="D4">
        <v>1.01</v>
      </c>
      <c r="J4" t="s">
        <v>25</v>
      </c>
      <c r="K4">
        <v>0</v>
      </c>
      <c r="L4" t="s">
        <v>22</v>
      </c>
      <c r="Q4" t="s">
        <v>25</v>
      </c>
      <c r="R4">
        <f t="shared" si="0"/>
        <v>0</v>
      </c>
      <c r="S4" t="s">
        <v>22</v>
      </c>
    </row>
    <row r="5" spans="1:19" x14ac:dyDescent="0.3">
      <c r="B5" t="s">
        <v>94</v>
      </c>
      <c r="C5" t="s">
        <v>22</v>
      </c>
      <c r="D5">
        <v>4.1900000000000004</v>
      </c>
      <c r="J5" t="s">
        <v>316</v>
      </c>
      <c r="K5">
        <v>0</v>
      </c>
      <c r="L5" t="s">
        <v>22</v>
      </c>
      <c r="Q5" t="s">
        <v>316</v>
      </c>
      <c r="R5">
        <f t="shared" si="0"/>
        <v>0</v>
      </c>
      <c r="S5" t="s">
        <v>22</v>
      </c>
    </row>
    <row r="6" spans="1:19" x14ac:dyDescent="0.3">
      <c r="B6" t="s">
        <v>95</v>
      </c>
      <c r="C6" t="s">
        <v>22</v>
      </c>
      <c r="D6">
        <v>0.27</v>
      </c>
      <c r="J6" t="s">
        <v>26</v>
      </c>
      <c r="K6">
        <v>66.894400000000005</v>
      </c>
      <c r="L6" t="s">
        <v>22</v>
      </c>
      <c r="Q6" t="s">
        <v>26</v>
      </c>
      <c r="R6">
        <f t="shared" si="0"/>
        <v>94.581466666666685</v>
      </c>
      <c r="S6" t="s">
        <v>22</v>
      </c>
    </row>
    <row r="7" spans="1:19" x14ac:dyDescent="0.3">
      <c r="B7" t="s">
        <v>56</v>
      </c>
      <c r="C7" t="s">
        <v>22</v>
      </c>
      <c r="D7">
        <v>0.2</v>
      </c>
      <c r="J7" t="s">
        <v>317</v>
      </c>
      <c r="K7">
        <v>0</v>
      </c>
      <c r="L7" t="s">
        <v>22</v>
      </c>
      <c r="Q7" t="s">
        <v>317</v>
      </c>
      <c r="R7">
        <f t="shared" si="0"/>
        <v>0</v>
      </c>
      <c r="S7" t="s">
        <v>22</v>
      </c>
    </row>
    <row r="8" spans="1:19" x14ac:dyDescent="0.3">
      <c r="B8" t="s">
        <v>96</v>
      </c>
      <c r="C8" t="s">
        <v>22</v>
      </c>
      <c r="D8">
        <v>7.0000000000000001E-3</v>
      </c>
      <c r="J8" t="s">
        <v>27</v>
      </c>
      <c r="K8">
        <f>0.007+1.25</f>
        <v>1.2569999999999999</v>
      </c>
      <c r="L8" t="s">
        <v>22</v>
      </c>
      <c r="Q8" t="s">
        <v>27</v>
      </c>
      <c r="R8">
        <f t="shared" si="0"/>
        <v>0.41899999999999998</v>
      </c>
      <c r="S8" t="s">
        <v>22</v>
      </c>
    </row>
    <row r="9" spans="1:19" x14ac:dyDescent="0.3">
      <c r="B9" t="s">
        <v>97</v>
      </c>
      <c r="C9" t="s">
        <v>22</v>
      </c>
      <c r="D9">
        <v>0.04</v>
      </c>
      <c r="J9" t="s">
        <v>28</v>
      </c>
      <c r="K9">
        <f>4.19+0.27+0.2+0.04+0.03</f>
        <v>4.7300000000000013</v>
      </c>
      <c r="L9" t="s">
        <v>22</v>
      </c>
      <c r="Q9" t="s">
        <v>28</v>
      </c>
      <c r="R9">
        <f t="shared" si="0"/>
        <v>2.8556666666666666</v>
      </c>
      <c r="S9" t="s">
        <v>22</v>
      </c>
    </row>
    <row r="10" spans="1:19" x14ac:dyDescent="0.3">
      <c r="B10" t="s">
        <v>98</v>
      </c>
      <c r="C10" t="s">
        <v>22</v>
      </c>
      <c r="D10">
        <v>0.03</v>
      </c>
      <c r="J10" t="s">
        <v>5</v>
      </c>
      <c r="K10">
        <v>12.01</v>
      </c>
      <c r="L10" t="s">
        <v>22</v>
      </c>
      <c r="Q10" t="s">
        <v>5</v>
      </c>
      <c r="R10">
        <f t="shared" si="0"/>
        <v>9.9433333333333334</v>
      </c>
      <c r="S10" t="s">
        <v>22</v>
      </c>
    </row>
    <row r="11" spans="1:19" x14ac:dyDescent="0.3">
      <c r="B11" t="s">
        <v>8</v>
      </c>
      <c r="C11" t="s">
        <v>22</v>
      </c>
      <c r="D11">
        <v>1.25</v>
      </c>
      <c r="J11" t="s">
        <v>29</v>
      </c>
      <c r="K11">
        <f>1.01+1</f>
        <v>2.0099999999999998</v>
      </c>
      <c r="L11" t="s">
        <v>22</v>
      </c>
      <c r="Q11" t="s">
        <v>29</v>
      </c>
      <c r="R11">
        <f t="shared" si="0"/>
        <v>0.66999999999999993</v>
      </c>
      <c r="S11" t="s">
        <v>22</v>
      </c>
    </row>
    <row r="12" spans="1:19" x14ac:dyDescent="0.3">
      <c r="B12" t="s">
        <v>99</v>
      </c>
      <c r="C12" t="s">
        <v>22</v>
      </c>
      <c r="D12">
        <v>1</v>
      </c>
      <c r="J12" t="s">
        <v>9</v>
      </c>
      <c r="K12">
        <v>0</v>
      </c>
      <c r="L12" t="s">
        <v>22</v>
      </c>
      <c r="Q12" t="s">
        <v>9</v>
      </c>
      <c r="R12">
        <f t="shared" si="0"/>
        <v>0</v>
      </c>
      <c r="S12" t="s">
        <v>22</v>
      </c>
    </row>
    <row r="13" spans="1:19" x14ac:dyDescent="0.3">
      <c r="A13" t="s">
        <v>209</v>
      </c>
      <c r="B13" t="s">
        <v>26</v>
      </c>
      <c r="C13" t="s">
        <v>22</v>
      </c>
      <c r="D13">
        <v>54.35</v>
      </c>
      <c r="E13" t="s">
        <v>211</v>
      </c>
      <c r="F13" t="s">
        <v>313</v>
      </c>
      <c r="H13" t="s">
        <v>185</v>
      </c>
      <c r="I13" t="s">
        <v>209</v>
      </c>
      <c r="J13" t="s">
        <v>4</v>
      </c>
      <c r="K13">
        <v>0</v>
      </c>
      <c r="L13" t="s">
        <v>22</v>
      </c>
      <c r="P13" t="s">
        <v>186</v>
      </c>
      <c r="R13">
        <f>SUM(R2:R12)</f>
        <v>108.46946666666668</v>
      </c>
    </row>
    <row r="14" spans="1:19" x14ac:dyDescent="0.3">
      <c r="B14" t="s">
        <v>52</v>
      </c>
      <c r="C14" t="s">
        <v>22</v>
      </c>
      <c r="D14">
        <v>0.55000000000000004</v>
      </c>
      <c r="E14" s="15" t="s">
        <v>411</v>
      </c>
      <c r="F14" t="s">
        <v>185</v>
      </c>
      <c r="J14" t="s">
        <v>24</v>
      </c>
      <c r="K14">
        <v>0</v>
      </c>
      <c r="L14" t="s">
        <v>22</v>
      </c>
      <c r="P14" t="s">
        <v>188</v>
      </c>
      <c r="R14">
        <f>A3</f>
        <v>15</v>
      </c>
    </row>
    <row r="15" spans="1:19" x14ac:dyDescent="0.3">
      <c r="B15" t="s">
        <v>5</v>
      </c>
      <c r="C15" t="s">
        <v>22</v>
      </c>
      <c r="D15">
        <v>12.01</v>
      </c>
      <c r="J15" t="s">
        <v>25</v>
      </c>
      <c r="K15">
        <v>0</v>
      </c>
      <c r="L15" t="s">
        <v>22</v>
      </c>
    </row>
    <row r="16" spans="1:19" x14ac:dyDescent="0.3">
      <c r="A16" t="s">
        <v>210</v>
      </c>
      <c r="B16" t="s">
        <v>26</v>
      </c>
      <c r="C16" t="s">
        <v>22</v>
      </c>
      <c r="D16">
        <v>162.5</v>
      </c>
      <c r="E16" t="s">
        <v>211</v>
      </c>
      <c r="J16" t="s">
        <v>316</v>
      </c>
      <c r="K16">
        <v>0</v>
      </c>
      <c r="L16" t="s">
        <v>22</v>
      </c>
    </row>
    <row r="17" spans="2:12" x14ac:dyDescent="0.3">
      <c r="B17" t="s">
        <v>5</v>
      </c>
      <c r="C17" t="s">
        <v>22</v>
      </c>
      <c r="D17">
        <v>5.81</v>
      </c>
      <c r="E17" s="15" t="s">
        <v>411</v>
      </c>
      <c r="F17" t="s">
        <v>185</v>
      </c>
      <c r="J17" t="s">
        <v>26</v>
      </c>
      <c r="K17">
        <v>54.35</v>
      </c>
      <c r="L17" t="s">
        <v>22</v>
      </c>
    </row>
    <row r="18" spans="2:12" x14ac:dyDescent="0.3">
      <c r="B18" t="s">
        <v>49</v>
      </c>
      <c r="C18" t="s">
        <v>22</v>
      </c>
      <c r="D18">
        <v>3.2869999999999999</v>
      </c>
      <c r="J18" t="s">
        <v>317</v>
      </c>
      <c r="K18">
        <v>0</v>
      </c>
      <c r="L18" t="s">
        <v>22</v>
      </c>
    </row>
    <row r="19" spans="2:12" x14ac:dyDescent="0.3">
      <c r="J19" t="s">
        <v>27</v>
      </c>
      <c r="K19">
        <v>0</v>
      </c>
      <c r="L19" t="s">
        <v>22</v>
      </c>
    </row>
    <row r="20" spans="2:12" x14ac:dyDescent="0.3">
      <c r="J20" t="s">
        <v>28</v>
      </c>
      <c r="K20">
        <v>0.55000000000000004</v>
      </c>
      <c r="L20" t="s">
        <v>22</v>
      </c>
    </row>
    <row r="21" spans="2:12" x14ac:dyDescent="0.3">
      <c r="J21" t="s">
        <v>5</v>
      </c>
      <c r="K21">
        <v>12.01</v>
      </c>
      <c r="L21" t="s">
        <v>22</v>
      </c>
    </row>
    <row r="22" spans="2:12" x14ac:dyDescent="0.3">
      <c r="J22" t="s">
        <v>29</v>
      </c>
      <c r="K22">
        <v>0</v>
      </c>
      <c r="L22" t="s">
        <v>22</v>
      </c>
    </row>
    <row r="23" spans="2:12" x14ac:dyDescent="0.3">
      <c r="J23" t="s">
        <v>9</v>
      </c>
      <c r="K23">
        <v>0</v>
      </c>
      <c r="L23" t="s">
        <v>22</v>
      </c>
    </row>
    <row r="24" spans="2:12" x14ac:dyDescent="0.3">
      <c r="I24" t="s">
        <v>210</v>
      </c>
      <c r="J24" t="s">
        <v>4</v>
      </c>
      <c r="K24">
        <v>0</v>
      </c>
      <c r="L24" t="s">
        <v>22</v>
      </c>
    </row>
    <row r="25" spans="2:12" x14ac:dyDescent="0.3">
      <c r="J25" t="s">
        <v>24</v>
      </c>
      <c r="K25">
        <v>0</v>
      </c>
      <c r="L25" t="s">
        <v>22</v>
      </c>
    </row>
    <row r="26" spans="2:12" x14ac:dyDescent="0.3">
      <c r="J26" t="s">
        <v>25</v>
      </c>
      <c r="K26">
        <v>0</v>
      </c>
      <c r="L26" t="s">
        <v>22</v>
      </c>
    </row>
    <row r="27" spans="2:12" x14ac:dyDescent="0.3">
      <c r="J27" t="s">
        <v>316</v>
      </c>
      <c r="K27">
        <v>0</v>
      </c>
      <c r="L27" t="s">
        <v>22</v>
      </c>
    </row>
    <row r="28" spans="2:12" x14ac:dyDescent="0.3">
      <c r="J28" t="s">
        <v>26</v>
      </c>
      <c r="K28">
        <v>162.5</v>
      </c>
      <c r="L28" t="s">
        <v>22</v>
      </c>
    </row>
    <row r="29" spans="2:12" x14ac:dyDescent="0.3">
      <c r="J29" t="s">
        <v>317</v>
      </c>
      <c r="K29">
        <v>0</v>
      </c>
      <c r="L29" t="s">
        <v>22</v>
      </c>
    </row>
    <row r="30" spans="2:12" x14ac:dyDescent="0.3">
      <c r="J30" t="s">
        <v>27</v>
      </c>
      <c r="K30">
        <v>0</v>
      </c>
      <c r="L30" t="s">
        <v>22</v>
      </c>
    </row>
    <row r="31" spans="2:12" x14ac:dyDescent="0.3">
      <c r="J31" t="s">
        <v>28</v>
      </c>
      <c r="K31">
        <v>3.2869999999999999</v>
      </c>
      <c r="L31" t="s">
        <v>22</v>
      </c>
    </row>
    <row r="32" spans="2:12" x14ac:dyDescent="0.3">
      <c r="J32" t="s">
        <v>5</v>
      </c>
      <c r="K32">
        <v>5.81</v>
      </c>
      <c r="L32" t="s">
        <v>22</v>
      </c>
    </row>
    <row r="33" spans="10:12" x14ac:dyDescent="0.3">
      <c r="J33" t="s">
        <v>29</v>
      </c>
      <c r="K33">
        <v>0</v>
      </c>
      <c r="L33" t="s">
        <v>22</v>
      </c>
    </row>
    <row r="34" spans="10:12" x14ac:dyDescent="0.3">
      <c r="J34" t="s">
        <v>9</v>
      </c>
      <c r="K34">
        <v>0</v>
      </c>
      <c r="L34" t="s">
        <v>22</v>
      </c>
    </row>
  </sheetData>
  <hyperlinks>
    <hyperlink ref="E3" r:id="rId1" xr:uid="{63690F63-0C57-4D3F-A5BC-9379B25AFEA6}"/>
    <hyperlink ref="E14" r:id="rId2" xr:uid="{A57A6F97-9793-4DE3-8161-FA3413A4431D}"/>
    <hyperlink ref="E17" r:id="rId3" xr:uid="{156C36CA-15E9-4C1D-9461-7C69F12AC2A1}"/>
  </hyperlinks>
  <pageMargins left="0.7" right="0.7" top="0.75" bottom="0.75" header="0.3" footer="0.3"/>
  <pageSetup paperSize="9" orientation="portrait" r:id="rId4"/>
  <drawing r:id="rId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4944C-6381-4428-9A5F-30435CDD27B8}">
  <dimension ref="A1:S89"/>
  <sheetViews>
    <sheetView zoomScale="55" zoomScaleNormal="55" workbookViewId="0">
      <selection activeCell="E3" sqref="E3"/>
    </sheetView>
  </sheetViews>
  <sheetFormatPr defaultRowHeight="14.4" x14ac:dyDescent="0.3"/>
  <cols>
    <col min="1" max="1" width="30" customWidth="1"/>
    <col min="2" max="2" width="21.44140625" customWidth="1"/>
    <col min="7" max="7" width="0.77734375" style="3" customWidth="1"/>
    <col min="9" max="9" width="16.88671875" customWidth="1"/>
    <col min="10" max="10" width="27.33203125" customWidth="1"/>
    <col min="14" max="14" width="1.109375" style="3" customWidth="1"/>
    <col min="16" max="16" width="12" customWidth="1"/>
    <col min="17" max="17" width="27.44140625" customWidth="1"/>
  </cols>
  <sheetData>
    <row r="1" spans="1:19" x14ac:dyDescent="0.3">
      <c r="A1" s="2" t="s">
        <v>1</v>
      </c>
      <c r="B1" s="2" t="s">
        <v>2</v>
      </c>
      <c r="C1" s="2" t="s">
        <v>3</v>
      </c>
      <c r="D1" s="2" t="s">
        <v>21</v>
      </c>
      <c r="E1" s="2" t="s">
        <v>11</v>
      </c>
      <c r="F1" s="2" t="s">
        <v>183</v>
      </c>
      <c r="I1" s="2" t="s">
        <v>1</v>
      </c>
      <c r="J1" s="2" t="s">
        <v>2</v>
      </c>
      <c r="K1" s="2" t="s">
        <v>3</v>
      </c>
      <c r="L1" s="2" t="s">
        <v>21</v>
      </c>
      <c r="P1" s="2" t="s">
        <v>1</v>
      </c>
      <c r="Q1" s="2" t="s">
        <v>2</v>
      </c>
      <c r="R1" s="2" t="s">
        <v>3</v>
      </c>
      <c r="S1" s="2" t="s">
        <v>21</v>
      </c>
    </row>
    <row r="2" spans="1:19" x14ac:dyDescent="0.3">
      <c r="A2" t="s">
        <v>110</v>
      </c>
      <c r="B2" t="s">
        <v>5</v>
      </c>
      <c r="C2" t="s">
        <v>22</v>
      </c>
      <c r="D2" s="4">
        <v>5266</v>
      </c>
      <c r="E2" t="s">
        <v>93</v>
      </c>
      <c r="F2" t="s">
        <v>208</v>
      </c>
      <c r="I2" t="s">
        <v>110</v>
      </c>
      <c r="J2" t="s">
        <v>4</v>
      </c>
      <c r="K2">
        <v>0</v>
      </c>
      <c r="L2" t="s">
        <v>22</v>
      </c>
      <c r="P2" t="s">
        <v>172</v>
      </c>
      <c r="Q2" t="s">
        <v>4</v>
      </c>
      <c r="R2">
        <f>(K2+K13+K24+K35+K46+K57+K68+K79)/8</f>
        <v>0.23574999999999999</v>
      </c>
    </row>
    <row r="3" spans="1:19" x14ac:dyDescent="0.3">
      <c r="A3">
        <v>15</v>
      </c>
      <c r="B3" t="s">
        <v>111</v>
      </c>
      <c r="C3" t="s">
        <v>22</v>
      </c>
      <c r="D3" s="4">
        <v>22241</v>
      </c>
      <c r="E3" s="15" t="s">
        <v>410</v>
      </c>
      <c r="F3" t="s">
        <v>185</v>
      </c>
      <c r="J3" t="s">
        <v>24</v>
      </c>
      <c r="K3">
        <v>0</v>
      </c>
      <c r="L3" t="s">
        <v>22</v>
      </c>
      <c r="Q3" t="s">
        <v>24</v>
      </c>
      <c r="R3">
        <f t="shared" ref="R3:R12" si="0">(K3+K14+K25+K36+K47+K58+K69+K80)/8</f>
        <v>0</v>
      </c>
    </row>
    <row r="4" spans="1:19" x14ac:dyDescent="0.3">
      <c r="B4" t="s">
        <v>56</v>
      </c>
      <c r="C4" t="s">
        <v>22</v>
      </c>
      <c r="D4">
        <v>3.2000000000000001E-2</v>
      </c>
      <c r="J4" t="s">
        <v>25</v>
      </c>
      <c r="K4">
        <v>22</v>
      </c>
      <c r="L4" t="s">
        <v>22</v>
      </c>
      <c r="Q4" t="s">
        <v>25</v>
      </c>
      <c r="R4">
        <f t="shared" si="0"/>
        <v>7.1805000000000003</v>
      </c>
    </row>
    <row r="5" spans="1:19" x14ac:dyDescent="0.3">
      <c r="B5" t="s">
        <v>17</v>
      </c>
      <c r="C5" t="s">
        <v>22</v>
      </c>
      <c r="D5">
        <v>0.14399999999999999</v>
      </c>
      <c r="J5" t="s">
        <v>316</v>
      </c>
      <c r="K5">
        <v>0.847665</v>
      </c>
      <c r="L5" t="s">
        <v>22</v>
      </c>
      <c r="Q5" t="s">
        <v>316</v>
      </c>
      <c r="R5">
        <f t="shared" si="0"/>
        <v>0.31295812499999998</v>
      </c>
    </row>
    <row r="6" spans="1:19" x14ac:dyDescent="0.3">
      <c r="B6" t="s">
        <v>94</v>
      </c>
      <c r="C6" t="s">
        <v>22</v>
      </c>
      <c r="D6">
        <v>0.43</v>
      </c>
      <c r="J6" t="s">
        <v>26</v>
      </c>
      <c r="K6">
        <v>28.5184</v>
      </c>
      <c r="L6" t="s">
        <v>22</v>
      </c>
      <c r="Q6" t="s">
        <v>26</v>
      </c>
      <c r="R6">
        <f t="shared" si="0"/>
        <v>3.5648</v>
      </c>
    </row>
    <row r="7" spans="1:19" x14ac:dyDescent="0.3">
      <c r="B7" t="s">
        <v>26</v>
      </c>
      <c r="C7" t="s">
        <v>22</v>
      </c>
      <c r="D7">
        <f>0.035648*800</f>
        <v>28.5184</v>
      </c>
      <c r="F7" t="s">
        <v>301</v>
      </c>
      <c r="J7" t="s">
        <v>317</v>
      </c>
      <c r="K7">
        <v>0.45100000000000001</v>
      </c>
      <c r="L7" t="s">
        <v>22</v>
      </c>
      <c r="Q7" t="s">
        <v>317</v>
      </c>
      <c r="R7">
        <f t="shared" si="0"/>
        <v>5.6375000000000001E-2</v>
      </c>
    </row>
    <row r="8" spans="1:19" x14ac:dyDescent="0.3">
      <c r="B8" t="s">
        <v>112</v>
      </c>
      <c r="C8" t="s">
        <v>22</v>
      </c>
      <c r="D8">
        <v>0.45100000000000001</v>
      </c>
      <c r="J8" t="s">
        <v>27</v>
      </c>
      <c r="K8">
        <v>2.5659999999999998</v>
      </c>
      <c r="L8" t="s">
        <v>22</v>
      </c>
      <c r="Q8" t="s">
        <v>27</v>
      </c>
      <c r="R8">
        <f t="shared" si="0"/>
        <v>0.32074999999999998</v>
      </c>
    </row>
    <row r="9" spans="1:19" x14ac:dyDescent="0.3">
      <c r="B9" t="s">
        <v>97</v>
      </c>
      <c r="C9" t="s">
        <v>22</v>
      </c>
      <c r="D9">
        <v>0.157</v>
      </c>
      <c r="J9" t="s">
        <v>28</v>
      </c>
      <c r="K9">
        <f>0.032+0.43+0.157+0.068+0.047</f>
        <v>0.7340000000000001</v>
      </c>
      <c r="L9" t="s">
        <v>22</v>
      </c>
      <c r="Q9" t="s">
        <v>28</v>
      </c>
      <c r="R9">
        <f t="shared" si="0"/>
        <v>0.10912500000000001</v>
      </c>
    </row>
    <row r="10" spans="1:19" x14ac:dyDescent="0.3">
      <c r="B10" t="s">
        <v>98</v>
      </c>
      <c r="C10" t="s">
        <v>22</v>
      </c>
      <c r="D10">
        <v>6.8000000000000005E-2</v>
      </c>
      <c r="J10" t="s">
        <v>5</v>
      </c>
      <c r="K10">
        <v>5</v>
      </c>
      <c r="L10" t="s">
        <v>22</v>
      </c>
      <c r="Q10" t="s">
        <v>5</v>
      </c>
      <c r="R10">
        <f t="shared" si="0"/>
        <v>2.7328749999999999</v>
      </c>
    </row>
    <row r="11" spans="1:19" x14ac:dyDescent="0.3">
      <c r="B11" t="s">
        <v>95</v>
      </c>
      <c r="C11" t="s">
        <v>22</v>
      </c>
      <c r="D11">
        <v>4.7E-2</v>
      </c>
      <c r="J11" t="s">
        <v>29</v>
      </c>
      <c r="K11">
        <v>0.14399999999999999</v>
      </c>
      <c r="L11" t="s">
        <v>22</v>
      </c>
      <c r="Q11" t="s">
        <v>29</v>
      </c>
      <c r="R11">
        <f t="shared" si="0"/>
        <v>1.7999999999999999E-2</v>
      </c>
    </row>
    <row r="12" spans="1:19" x14ac:dyDescent="0.3">
      <c r="B12" t="s">
        <v>113</v>
      </c>
      <c r="C12" t="s">
        <v>22</v>
      </c>
      <c r="D12" s="4">
        <v>2566</v>
      </c>
      <c r="J12" t="s">
        <v>9</v>
      </c>
      <c r="K12">
        <v>0</v>
      </c>
      <c r="L12" t="s">
        <v>22</v>
      </c>
      <c r="Q12" t="s">
        <v>9</v>
      </c>
      <c r="R12">
        <f t="shared" si="0"/>
        <v>9.3149999999999995</v>
      </c>
    </row>
    <row r="13" spans="1:19" x14ac:dyDescent="0.3">
      <c r="B13" t="s">
        <v>114</v>
      </c>
      <c r="C13" t="s">
        <v>22</v>
      </c>
      <c r="D13">
        <v>0.847665</v>
      </c>
      <c r="I13" t="s">
        <v>115</v>
      </c>
      <c r="J13" t="s">
        <v>4</v>
      </c>
      <c r="K13">
        <v>1.8859999999999999</v>
      </c>
      <c r="L13" t="s">
        <v>22</v>
      </c>
      <c r="P13" t="s">
        <v>186</v>
      </c>
      <c r="R13">
        <f>SUM(R2:R12)</f>
        <v>23.846133125000001</v>
      </c>
    </row>
    <row r="14" spans="1:19" x14ac:dyDescent="0.3">
      <c r="A14" t="s">
        <v>115</v>
      </c>
      <c r="B14" t="s">
        <v>116</v>
      </c>
      <c r="C14" t="s">
        <v>22</v>
      </c>
      <c r="D14" s="4">
        <v>7664</v>
      </c>
      <c r="E14" t="s">
        <v>12</v>
      </c>
      <c r="I14" t="s">
        <v>23</v>
      </c>
      <c r="J14" t="s">
        <v>24</v>
      </c>
      <c r="K14">
        <v>0</v>
      </c>
      <c r="L14" t="s">
        <v>22</v>
      </c>
      <c r="P14" t="s">
        <v>188</v>
      </c>
      <c r="R14">
        <f>(A3+A15+A20+A23+A26)/5</f>
        <v>15</v>
      </c>
    </row>
    <row r="15" spans="1:19" x14ac:dyDescent="0.3">
      <c r="A15">
        <v>15</v>
      </c>
      <c r="B15" t="s">
        <v>5</v>
      </c>
      <c r="C15" t="s">
        <v>22</v>
      </c>
      <c r="D15">
        <v>0.39</v>
      </c>
      <c r="E15" s="15" t="s">
        <v>412</v>
      </c>
      <c r="F15" t="s">
        <v>185</v>
      </c>
      <c r="J15" t="s">
        <v>25</v>
      </c>
      <c r="K15">
        <v>7.6440000000000001</v>
      </c>
      <c r="L15" t="s">
        <v>22</v>
      </c>
    </row>
    <row r="16" spans="1:19" x14ac:dyDescent="0.3">
      <c r="B16" t="s">
        <v>4</v>
      </c>
      <c r="C16" t="s">
        <v>22</v>
      </c>
      <c r="D16">
        <v>1.8859999999999999</v>
      </c>
      <c r="J16" t="s">
        <v>316</v>
      </c>
      <c r="K16">
        <v>1.4E-2</v>
      </c>
      <c r="L16" t="s">
        <v>22</v>
      </c>
    </row>
    <row r="17" spans="1:12" x14ac:dyDescent="0.3">
      <c r="B17" t="s">
        <v>7</v>
      </c>
      <c r="C17" t="s">
        <v>22</v>
      </c>
      <c r="D17">
        <v>1.4E-2</v>
      </c>
      <c r="J17" t="s">
        <v>26</v>
      </c>
      <c r="K17">
        <v>0</v>
      </c>
      <c r="L17" t="s">
        <v>22</v>
      </c>
    </row>
    <row r="18" spans="1:12" x14ac:dyDescent="0.3">
      <c r="B18" t="s">
        <v>117</v>
      </c>
      <c r="C18" t="s">
        <v>22</v>
      </c>
      <c r="D18">
        <v>4.2000000000000003E-2</v>
      </c>
      <c r="J18" t="s">
        <v>317</v>
      </c>
      <c r="K18">
        <v>0</v>
      </c>
      <c r="L18" t="s">
        <v>22</v>
      </c>
    </row>
    <row r="19" spans="1:12" x14ac:dyDescent="0.3">
      <c r="A19" t="s">
        <v>118</v>
      </c>
      <c r="B19" t="s">
        <v>43</v>
      </c>
      <c r="C19" t="s">
        <v>22</v>
      </c>
      <c r="D19">
        <v>29.54</v>
      </c>
      <c r="E19" t="s">
        <v>12</v>
      </c>
      <c r="J19" t="s">
        <v>27</v>
      </c>
      <c r="K19">
        <v>0</v>
      </c>
      <c r="L19" t="s">
        <v>22</v>
      </c>
    </row>
    <row r="20" spans="1:12" x14ac:dyDescent="0.3">
      <c r="A20">
        <v>15</v>
      </c>
      <c r="B20" t="s">
        <v>44</v>
      </c>
      <c r="C20" t="s">
        <v>22</v>
      </c>
      <c r="D20">
        <v>0.3</v>
      </c>
      <c r="E20" s="15" t="s">
        <v>404</v>
      </c>
      <c r="F20" t="s">
        <v>185</v>
      </c>
      <c r="J20" t="s">
        <v>28</v>
      </c>
      <c r="K20">
        <v>0</v>
      </c>
      <c r="L20" t="s">
        <v>22</v>
      </c>
    </row>
    <row r="21" spans="1:12" x14ac:dyDescent="0.3">
      <c r="B21" t="s">
        <v>45</v>
      </c>
      <c r="C21" t="s">
        <v>22</v>
      </c>
      <c r="D21">
        <v>0.12</v>
      </c>
      <c r="J21" t="s">
        <v>5</v>
      </c>
      <c r="K21">
        <f>0.39+0.042</f>
        <v>0.432</v>
      </c>
      <c r="L21" t="s">
        <v>22</v>
      </c>
    </row>
    <row r="22" spans="1:12" x14ac:dyDescent="0.3">
      <c r="A22" t="s">
        <v>119</v>
      </c>
      <c r="B22" t="s">
        <v>43</v>
      </c>
      <c r="C22" t="s">
        <v>22</v>
      </c>
      <c r="D22">
        <v>4.58</v>
      </c>
      <c r="E22" t="s">
        <v>12</v>
      </c>
      <c r="J22" t="s">
        <v>29</v>
      </c>
      <c r="K22">
        <v>0</v>
      </c>
      <c r="L22" t="s">
        <v>22</v>
      </c>
    </row>
    <row r="23" spans="1:12" x14ac:dyDescent="0.3">
      <c r="A23">
        <v>15</v>
      </c>
      <c r="B23" t="s">
        <v>44</v>
      </c>
      <c r="C23" t="s">
        <v>22</v>
      </c>
      <c r="D23">
        <v>0.05</v>
      </c>
      <c r="E23" s="15" t="s">
        <v>404</v>
      </c>
      <c r="F23" t="s">
        <v>185</v>
      </c>
      <c r="J23" t="s">
        <v>9</v>
      </c>
      <c r="K23">
        <v>0</v>
      </c>
      <c r="L23" t="s">
        <v>22</v>
      </c>
    </row>
    <row r="24" spans="1:12" x14ac:dyDescent="0.3">
      <c r="B24" t="s">
        <v>45</v>
      </c>
      <c r="C24" t="s">
        <v>22</v>
      </c>
      <c r="D24">
        <v>0.02</v>
      </c>
      <c r="I24" t="s">
        <v>118</v>
      </c>
      <c r="J24" t="s">
        <v>4</v>
      </c>
      <c r="K24">
        <v>0</v>
      </c>
      <c r="L24" t="s">
        <v>22</v>
      </c>
    </row>
    <row r="25" spans="1:12" x14ac:dyDescent="0.3">
      <c r="A25" t="s">
        <v>165</v>
      </c>
      <c r="B25" t="s">
        <v>9</v>
      </c>
      <c r="C25" t="s">
        <v>22</v>
      </c>
      <c r="D25">
        <f>5.81+0.27</f>
        <v>6.08</v>
      </c>
      <c r="E25" t="s">
        <v>12</v>
      </c>
      <c r="I25" t="s">
        <v>23</v>
      </c>
      <c r="J25" t="s">
        <v>24</v>
      </c>
      <c r="K25">
        <v>0</v>
      </c>
      <c r="L25" t="s">
        <v>22</v>
      </c>
    </row>
    <row r="26" spans="1:12" x14ac:dyDescent="0.3">
      <c r="A26">
        <v>15</v>
      </c>
      <c r="B26" t="s">
        <v>5</v>
      </c>
      <c r="C26" t="s">
        <v>22</v>
      </c>
      <c r="D26">
        <v>1.5</v>
      </c>
      <c r="E26" s="15" t="s">
        <v>413</v>
      </c>
      <c r="F26" t="s">
        <v>185</v>
      </c>
      <c r="J26" t="s">
        <v>25</v>
      </c>
      <c r="K26">
        <v>0</v>
      </c>
      <c r="L26" t="s">
        <v>22</v>
      </c>
    </row>
    <row r="27" spans="1:12" x14ac:dyDescent="0.3">
      <c r="B27" t="s">
        <v>166</v>
      </c>
      <c r="C27" t="s">
        <v>22</v>
      </c>
      <c r="D27">
        <v>0.27500000000000002</v>
      </c>
      <c r="J27" t="s">
        <v>316</v>
      </c>
      <c r="K27">
        <f>0.3+0.12</f>
        <v>0.42</v>
      </c>
      <c r="L27" t="s">
        <v>22</v>
      </c>
    </row>
    <row r="28" spans="1:12" x14ac:dyDescent="0.3">
      <c r="B28" t="s">
        <v>167</v>
      </c>
      <c r="C28" t="s">
        <v>22</v>
      </c>
      <c r="D28">
        <v>7.4999999999999997E-2</v>
      </c>
      <c r="J28" t="s">
        <v>26</v>
      </c>
      <c r="K28">
        <v>0</v>
      </c>
      <c r="L28" t="s">
        <v>22</v>
      </c>
    </row>
    <row r="29" spans="1:12" x14ac:dyDescent="0.3">
      <c r="B29" t="s">
        <v>5</v>
      </c>
      <c r="C29" t="s">
        <v>22</v>
      </c>
      <c r="D29">
        <v>0.06</v>
      </c>
      <c r="J29" t="s">
        <v>317</v>
      </c>
      <c r="K29">
        <v>0</v>
      </c>
      <c r="L29" t="s">
        <v>22</v>
      </c>
    </row>
    <row r="30" spans="1:12" x14ac:dyDescent="0.3">
      <c r="B30" t="s">
        <v>49</v>
      </c>
      <c r="C30" t="s">
        <v>22</v>
      </c>
      <c r="D30">
        <v>6.0000000000000001E-3</v>
      </c>
      <c r="J30" t="s">
        <v>27</v>
      </c>
      <c r="K30">
        <v>0</v>
      </c>
      <c r="L30" t="s">
        <v>22</v>
      </c>
    </row>
    <row r="31" spans="1:12" x14ac:dyDescent="0.3">
      <c r="A31" t="s">
        <v>296</v>
      </c>
      <c r="B31" t="s">
        <v>9</v>
      </c>
      <c r="C31" t="s">
        <v>22</v>
      </c>
      <c r="D31">
        <v>14.7</v>
      </c>
      <c r="E31" t="s">
        <v>12</v>
      </c>
      <c r="F31" t="s">
        <v>297</v>
      </c>
      <c r="H31" t="s">
        <v>185</v>
      </c>
      <c r="J31" t="s">
        <v>28</v>
      </c>
      <c r="K31">
        <v>0</v>
      </c>
      <c r="L31" t="s">
        <v>22</v>
      </c>
    </row>
    <row r="32" spans="1:12" x14ac:dyDescent="0.3">
      <c r="A32">
        <v>15</v>
      </c>
      <c r="B32" t="s">
        <v>5</v>
      </c>
      <c r="C32" t="s">
        <v>22</v>
      </c>
      <c r="D32">
        <f>4.63+0.13</f>
        <v>4.76</v>
      </c>
      <c r="E32" s="15" t="s">
        <v>395</v>
      </c>
      <c r="F32" t="s">
        <v>185</v>
      </c>
      <c r="J32" t="s">
        <v>5</v>
      </c>
      <c r="K32">
        <v>0</v>
      </c>
      <c r="L32" t="s">
        <v>22</v>
      </c>
    </row>
    <row r="33" spans="1:12" x14ac:dyDescent="0.3">
      <c r="B33" t="s">
        <v>7</v>
      </c>
      <c r="C33" t="s">
        <v>22</v>
      </c>
      <c r="D33">
        <v>3.5999999999999997E-2</v>
      </c>
      <c r="J33" t="s">
        <v>29</v>
      </c>
      <c r="K33">
        <v>0</v>
      </c>
      <c r="L33" t="s">
        <v>22</v>
      </c>
    </row>
    <row r="34" spans="1:12" x14ac:dyDescent="0.3">
      <c r="B34" t="s">
        <v>49</v>
      </c>
      <c r="C34" t="s">
        <v>22</v>
      </c>
      <c r="D34">
        <f>0.014+3.41</f>
        <v>3.4239999999999999</v>
      </c>
      <c r="J34" t="s">
        <v>9</v>
      </c>
      <c r="K34">
        <v>29.54</v>
      </c>
      <c r="L34" t="s">
        <v>22</v>
      </c>
    </row>
    <row r="35" spans="1:12" x14ac:dyDescent="0.3">
      <c r="A35" t="s">
        <v>298</v>
      </c>
      <c r="B35" t="s">
        <v>9</v>
      </c>
      <c r="C35" t="s">
        <v>22</v>
      </c>
      <c r="D35">
        <v>8.3000000000000007</v>
      </c>
      <c r="E35" t="s">
        <v>12</v>
      </c>
      <c r="I35" t="s">
        <v>119</v>
      </c>
      <c r="J35" t="s">
        <v>4</v>
      </c>
      <c r="K35">
        <v>0</v>
      </c>
      <c r="L35" t="s">
        <v>22</v>
      </c>
    </row>
    <row r="36" spans="1:12" x14ac:dyDescent="0.3">
      <c r="A36">
        <v>15</v>
      </c>
      <c r="B36" t="s">
        <v>49</v>
      </c>
      <c r="C36" t="s">
        <v>22</v>
      </c>
      <c r="D36">
        <f>0.056+0.002</f>
        <v>5.8000000000000003E-2</v>
      </c>
      <c r="E36" s="15" t="s">
        <v>414</v>
      </c>
      <c r="F36" t="s">
        <v>185</v>
      </c>
      <c r="I36" t="s">
        <v>23</v>
      </c>
      <c r="J36" t="s">
        <v>24</v>
      </c>
      <c r="K36">
        <v>0</v>
      </c>
      <c r="L36" t="s">
        <v>22</v>
      </c>
    </row>
    <row r="37" spans="1:12" x14ac:dyDescent="0.3">
      <c r="B37" t="s">
        <v>5</v>
      </c>
      <c r="C37" t="s">
        <v>22</v>
      </c>
      <c r="D37">
        <v>4.5999999999999999E-2</v>
      </c>
      <c r="J37" t="s">
        <v>25</v>
      </c>
      <c r="K37">
        <v>0</v>
      </c>
      <c r="L37" t="s">
        <v>22</v>
      </c>
    </row>
    <row r="38" spans="1:12" x14ac:dyDescent="0.3">
      <c r="A38" t="s">
        <v>299</v>
      </c>
      <c r="B38" t="s">
        <v>9</v>
      </c>
      <c r="C38" t="s">
        <v>22</v>
      </c>
      <c r="D38">
        <v>16.3</v>
      </c>
      <c r="E38" t="s">
        <v>12</v>
      </c>
      <c r="J38" t="s">
        <v>316</v>
      </c>
      <c r="K38">
        <f>0.05+0.02</f>
        <v>7.0000000000000007E-2</v>
      </c>
      <c r="L38" t="s">
        <v>22</v>
      </c>
    </row>
    <row r="39" spans="1:12" x14ac:dyDescent="0.3">
      <c r="A39">
        <v>15</v>
      </c>
      <c r="B39" t="s">
        <v>5</v>
      </c>
      <c r="C39" t="s">
        <v>22</v>
      </c>
      <c r="D39">
        <f>12.9+0.127</f>
        <v>13.027000000000001</v>
      </c>
      <c r="E39" s="15" t="s">
        <v>415</v>
      </c>
      <c r="F39" t="s">
        <v>185</v>
      </c>
      <c r="J39" t="s">
        <v>26</v>
      </c>
      <c r="K39">
        <v>0</v>
      </c>
      <c r="L39" t="s">
        <v>22</v>
      </c>
    </row>
    <row r="40" spans="1:12" x14ac:dyDescent="0.3">
      <c r="B40" t="s">
        <v>7</v>
      </c>
      <c r="C40" t="s">
        <v>22</v>
      </c>
      <c r="D40">
        <v>0.82699999999999996</v>
      </c>
      <c r="J40" t="s">
        <v>317</v>
      </c>
      <c r="K40">
        <v>0</v>
      </c>
      <c r="L40" t="s">
        <v>22</v>
      </c>
    </row>
    <row r="41" spans="1:12" x14ac:dyDescent="0.3">
      <c r="B41" t="s">
        <v>111</v>
      </c>
      <c r="C41" t="s">
        <v>22</v>
      </c>
      <c r="D41">
        <v>27.8</v>
      </c>
      <c r="J41" t="s">
        <v>27</v>
      </c>
      <c r="K41">
        <v>0</v>
      </c>
      <c r="L41" t="s">
        <v>22</v>
      </c>
    </row>
    <row r="42" spans="1:12" x14ac:dyDescent="0.3">
      <c r="A42" t="s">
        <v>300</v>
      </c>
      <c r="B42" t="s">
        <v>9</v>
      </c>
      <c r="C42" t="s">
        <v>22</v>
      </c>
      <c r="D42">
        <v>9.7200000000000006</v>
      </c>
      <c r="E42" t="s">
        <v>12</v>
      </c>
      <c r="J42" t="s">
        <v>28</v>
      </c>
      <c r="K42">
        <v>0</v>
      </c>
      <c r="L42" t="s">
        <v>22</v>
      </c>
    </row>
    <row r="43" spans="1:12" x14ac:dyDescent="0.3">
      <c r="A43">
        <v>15</v>
      </c>
      <c r="B43" t="s">
        <v>5</v>
      </c>
      <c r="C43" t="s">
        <v>22</v>
      </c>
      <c r="D43">
        <f>1.78+0.018</f>
        <v>1.798</v>
      </c>
      <c r="E43" s="15" t="s">
        <v>416</v>
      </c>
      <c r="F43" t="s">
        <v>185</v>
      </c>
      <c r="J43" t="s">
        <v>5</v>
      </c>
      <c r="K43">
        <v>0</v>
      </c>
      <c r="L43" t="s">
        <v>22</v>
      </c>
    </row>
    <row r="44" spans="1:12" x14ac:dyDescent="0.3">
      <c r="B44" t="s">
        <v>7</v>
      </c>
      <c r="C44" t="s">
        <v>22</v>
      </c>
      <c r="D44">
        <v>0.05</v>
      </c>
      <c r="J44" t="s">
        <v>29</v>
      </c>
      <c r="K44">
        <v>0</v>
      </c>
      <c r="L44" t="s">
        <v>22</v>
      </c>
    </row>
    <row r="45" spans="1:12" x14ac:dyDescent="0.3">
      <c r="J45" t="s">
        <v>9</v>
      </c>
      <c r="K45">
        <v>4.58</v>
      </c>
      <c r="L45" t="s">
        <v>22</v>
      </c>
    </row>
    <row r="46" spans="1:12" x14ac:dyDescent="0.3">
      <c r="I46" t="s">
        <v>165</v>
      </c>
      <c r="J46" t="s">
        <v>4</v>
      </c>
      <c r="K46">
        <v>0</v>
      </c>
      <c r="L46" t="s">
        <v>22</v>
      </c>
    </row>
    <row r="47" spans="1:12" x14ac:dyDescent="0.3">
      <c r="J47" t="s">
        <v>24</v>
      </c>
      <c r="K47">
        <v>0</v>
      </c>
      <c r="L47" t="s">
        <v>22</v>
      </c>
    </row>
    <row r="48" spans="1:12" x14ac:dyDescent="0.3">
      <c r="J48" t="s">
        <v>25</v>
      </c>
      <c r="K48">
        <v>0</v>
      </c>
      <c r="L48" t="s">
        <v>22</v>
      </c>
    </row>
    <row r="49" spans="9:12" x14ac:dyDescent="0.3">
      <c r="J49" t="s">
        <v>316</v>
      </c>
      <c r="K49">
        <v>0.27500000000000002</v>
      </c>
      <c r="L49" t="s">
        <v>22</v>
      </c>
    </row>
    <row r="50" spans="9:12" x14ac:dyDescent="0.3">
      <c r="J50" t="s">
        <v>26</v>
      </c>
      <c r="K50">
        <v>0</v>
      </c>
      <c r="L50" t="s">
        <v>22</v>
      </c>
    </row>
    <row r="51" spans="9:12" x14ac:dyDescent="0.3">
      <c r="J51" t="s">
        <v>317</v>
      </c>
      <c r="K51">
        <v>0</v>
      </c>
      <c r="L51" t="s">
        <v>22</v>
      </c>
    </row>
    <row r="52" spans="9:12" x14ac:dyDescent="0.3">
      <c r="J52" t="s">
        <v>27</v>
      </c>
      <c r="K52">
        <v>0</v>
      </c>
      <c r="L52" t="s">
        <v>22</v>
      </c>
    </row>
    <row r="53" spans="9:12" x14ac:dyDescent="0.3">
      <c r="J53" t="s">
        <v>28</v>
      </c>
      <c r="K53">
        <f>0.075+0.006</f>
        <v>8.1000000000000003E-2</v>
      </c>
      <c r="L53" t="s">
        <v>22</v>
      </c>
    </row>
    <row r="54" spans="9:12" x14ac:dyDescent="0.3">
      <c r="J54" t="s">
        <v>5</v>
      </c>
      <c r="K54">
        <f>1.5+0.06</f>
        <v>1.56</v>
      </c>
      <c r="L54" t="s">
        <v>22</v>
      </c>
    </row>
    <row r="55" spans="9:12" x14ac:dyDescent="0.3">
      <c r="J55" t="s">
        <v>29</v>
      </c>
      <c r="K55">
        <v>0</v>
      </c>
      <c r="L55" t="s">
        <v>22</v>
      </c>
    </row>
    <row r="56" spans="9:12" x14ac:dyDescent="0.3">
      <c r="J56" t="s">
        <v>9</v>
      </c>
      <c r="K56">
        <v>6.08</v>
      </c>
      <c r="L56" t="s">
        <v>22</v>
      </c>
    </row>
    <row r="57" spans="9:12" x14ac:dyDescent="0.3">
      <c r="I57" t="s">
        <v>298</v>
      </c>
      <c r="J57" t="s">
        <v>4</v>
      </c>
      <c r="K57">
        <v>0</v>
      </c>
      <c r="L57" t="s">
        <v>22</v>
      </c>
    </row>
    <row r="58" spans="9:12" x14ac:dyDescent="0.3">
      <c r="J58" t="s">
        <v>24</v>
      </c>
      <c r="K58">
        <v>0</v>
      </c>
      <c r="L58" t="s">
        <v>22</v>
      </c>
    </row>
    <row r="59" spans="9:12" x14ac:dyDescent="0.3">
      <c r="J59" t="s">
        <v>25</v>
      </c>
      <c r="K59">
        <v>0</v>
      </c>
      <c r="L59" t="s">
        <v>22</v>
      </c>
    </row>
    <row r="60" spans="9:12" x14ac:dyDescent="0.3">
      <c r="J60" t="s">
        <v>316</v>
      </c>
      <c r="K60">
        <v>0</v>
      </c>
      <c r="L60" t="s">
        <v>22</v>
      </c>
    </row>
    <row r="61" spans="9:12" x14ac:dyDescent="0.3">
      <c r="J61" t="s">
        <v>26</v>
      </c>
      <c r="K61">
        <v>0</v>
      </c>
      <c r="L61" t="s">
        <v>22</v>
      </c>
    </row>
    <row r="62" spans="9:12" x14ac:dyDescent="0.3">
      <c r="J62" t="s">
        <v>317</v>
      </c>
      <c r="K62">
        <v>0</v>
      </c>
      <c r="L62" t="s">
        <v>22</v>
      </c>
    </row>
    <row r="63" spans="9:12" x14ac:dyDescent="0.3">
      <c r="J63" t="s">
        <v>27</v>
      </c>
      <c r="K63">
        <v>0</v>
      </c>
      <c r="L63" t="s">
        <v>22</v>
      </c>
    </row>
    <row r="64" spans="9:12" x14ac:dyDescent="0.3">
      <c r="J64" t="s">
        <v>28</v>
      </c>
      <c r="K64">
        <f>D36</f>
        <v>5.8000000000000003E-2</v>
      </c>
      <c r="L64" t="s">
        <v>22</v>
      </c>
    </row>
    <row r="65" spans="9:12" x14ac:dyDescent="0.3">
      <c r="J65" t="s">
        <v>5</v>
      </c>
      <c r="K65">
        <f>D37</f>
        <v>4.5999999999999999E-2</v>
      </c>
      <c r="L65" t="s">
        <v>22</v>
      </c>
    </row>
    <row r="66" spans="9:12" x14ac:dyDescent="0.3">
      <c r="J66" t="s">
        <v>29</v>
      </c>
      <c r="K66">
        <v>0</v>
      </c>
      <c r="L66" t="s">
        <v>22</v>
      </c>
    </row>
    <row r="67" spans="9:12" x14ac:dyDescent="0.3">
      <c r="J67" t="s">
        <v>9</v>
      </c>
      <c r="K67">
        <f>D35</f>
        <v>8.3000000000000007</v>
      </c>
      <c r="L67" t="s">
        <v>22</v>
      </c>
    </row>
    <row r="68" spans="9:12" x14ac:dyDescent="0.3">
      <c r="I68" t="s">
        <v>299</v>
      </c>
      <c r="J68" t="s">
        <v>4</v>
      </c>
      <c r="K68">
        <v>0</v>
      </c>
      <c r="L68" t="s">
        <v>22</v>
      </c>
    </row>
    <row r="69" spans="9:12" x14ac:dyDescent="0.3">
      <c r="J69" t="s">
        <v>24</v>
      </c>
      <c r="K69">
        <v>0</v>
      </c>
      <c r="L69" t="s">
        <v>22</v>
      </c>
    </row>
    <row r="70" spans="9:12" x14ac:dyDescent="0.3">
      <c r="J70" t="s">
        <v>25</v>
      </c>
      <c r="K70">
        <f>D41</f>
        <v>27.8</v>
      </c>
      <c r="L70" t="s">
        <v>22</v>
      </c>
    </row>
    <row r="71" spans="9:12" x14ac:dyDescent="0.3">
      <c r="J71" t="s">
        <v>316</v>
      </c>
      <c r="K71">
        <f>D40</f>
        <v>0.82699999999999996</v>
      </c>
      <c r="L71" t="s">
        <v>22</v>
      </c>
    </row>
    <row r="72" spans="9:12" x14ac:dyDescent="0.3">
      <c r="J72" t="s">
        <v>26</v>
      </c>
      <c r="K72">
        <v>0</v>
      </c>
      <c r="L72" t="s">
        <v>22</v>
      </c>
    </row>
    <row r="73" spans="9:12" x14ac:dyDescent="0.3">
      <c r="J73" t="s">
        <v>317</v>
      </c>
      <c r="K73">
        <v>0</v>
      </c>
      <c r="L73" t="s">
        <v>22</v>
      </c>
    </row>
    <row r="74" spans="9:12" x14ac:dyDescent="0.3">
      <c r="J74" t="s">
        <v>27</v>
      </c>
      <c r="K74">
        <v>0</v>
      </c>
      <c r="L74" t="s">
        <v>22</v>
      </c>
    </row>
    <row r="75" spans="9:12" x14ac:dyDescent="0.3">
      <c r="J75" t="s">
        <v>28</v>
      </c>
      <c r="K75">
        <v>0</v>
      </c>
      <c r="L75" t="s">
        <v>22</v>
      </c>
    </row>
    <row r="76" spans="9:12" x14ac:dyDescent="0.3">
      <c r="J76" t="s">
        <v>5</v>
      </c>
      <c r="K76">
        <f>D39</f>
        <v>13.027000000000001</v>
      </c>
      <c r="L76" t="s">
        <v>22</v>
      </c>
    </row>
    <row r="77" spans="9:12" x14ac:dyDescent="0.3">
      <c r="J77" t="s">
        <v>29</v>
      </c>
      <c r="K77">
        <v>0</v>
      </c>
      <c r="L77" t="s">
        <v>22</v>
      </c>
    </row>
    <row r="78" spans="9:12" x14ac:dyDescent="0.3">
      <c r="J78" t="s">
        <v>9</v>
      </c>
      <c r="K78">
        <f>D38</f>
        <v>16.3</v>
      </c>
      <c r="L78" t="s">
        <v>22</v>
      </c>
    </row>
    <row r="79" spans="9:12" x14ac:dyDescent="0.3">
      <c r="I79" t="s">
        <v>300</v>
      </c>
      <c r="J79" t="s">
        <v>4</v>
      </c>
      <c r="K79">
        <v>0</v>
      </c>
      <c r="L79" t="s">
        <v>22</v>
      </c>
    </row>
    <row r="80" spans="9:12" x14ac:dyDescent="0.3">
      <c r="J80" t="s">
        <v>24</v>
      </c>
      <c r="K80">
        <v>0</v>
      </c>
      <c r="L80" t="s">
        <v>22</v>
      </c>
    </row>
    <row r="81" spans="10:12" x14ac:dyDescent="0.3">
      <c r="J81" t="s">
        <v>25</v>
      </c>
      <c r="K81">
        <v>0</v>
      </c>
      <c r="L81" t="s">
        <v>22</v>
      </c>
    </row>
    <row r="82" spans="10:12" x14ac:dyDescent="0.3">
      <c r="J82" t="s">
        <v>316</v>
      </c>
      <c r="K82">
        <f>D44</f>
        <v>0.05</v>
      </c>
      <c r="L82" t="s">
        <v>22</v>
      </c>
    </row>
    <row r="83" spans="10:12" x14ac:dyDescent="0.3">
      <c r="J83" t="s">
        <v>26</v>
      </c>
      <c r="K83">
        <v>0</v>
      </c>
      <c r="L83" t="s">
        <v>22</v>
      </c>
    </row>
    <row r="84" spans="10:12" x14ac:dyDescent="0.3">
      <c r="J84" t="s">
        <v>317</v>
      </c>
      <c r="K84">
        <v>0</v>
      </c>
      <c r="L84" t="s">
        <v>22</v>
      </c>
    </row>
    <row r="85" spans="10:12" x14ac:dyDescent="0.3">
      <c r="J85" t="s">
        <v>27</v>
      </c>
      <c r="K85">
        <v>0</v>
      </c>
      <c r="L85" t="s">
        <v>22</v>
      </c>
    </row>
    <row r="86" spans="10:12" x14ac:dyDescent="0.3">
      <c r="J86" t="s">
        <v>28</v>
      </c>
      <c r="K86">
        <v>0</v>
      </c>
      <c r="L86" t="s">
        <v>22</v>
      </c>
    </row>
    <row r="87" spans="10:12" x14ac:dyDescent="0.3">
      <c r="J87" t="s">
        <v>5</v>
      </c>
      <c r="K87">
        <f>D43</f>
        <v>1.798</v>
      </c>
      <c r="L87" t="s">
        <v>22</v>
      </c>
    </row>
    <row r="88" spans="10:12" x14ac:dyDescent="0.3">
      <c r="J88" t="s">
        <v>29</v>
      </c>
      <c r="K88">
        <v>0</v>
      </c>
      <c r="L88" t="s">
        <v>22</v>
      </c>
    </row>
    <row r="89" spans="10:12" x14ac:dyDescent="0.3">
      <c r="J89" t="s">
        <v>9</v>
      </c>
      <c r="K89">
        <f>D42</f>
        <v>9.7200000000000006</v>
      </c>
      <c r="L89" t="s">
        <v>22</v>
      </c>
    </row>
  </sheetData>
  <hyperlinks>
    <hyperlink ref="E3" r:id="rId1" xr:uid="{188D4BEA-514C-4F3A-887F-114E3DD4FC85}"/>
    <hyperlink ref="E15" r:id="rId2" xr:uid="{86E52DFB-992B-443D-9BDB-CAB9F200F6B8}"/>
    <hyperlink ref="E20" r:id="rId3" xr:uid="{6F1618E5-43CA-4453-B3A4-E4648B82728D}"/>
    <hyperlink ref="E23" r:id="rId4" xr:uid="{6B1CF1DC-1594-4E5E-91BC-41F3BB4509CD}"/>
    <hyperlink ref="E26" r:id="rId5" xr:uid="{84CF1BA9-3060-4689-A8CA-7559530567B7}"/>
    <hyperlink ref="E32" r:id="rId6" xr:uid="{95CD4610-63B4-49AC-B094-C8F39B3B840D}"/>
    <hyperlink ref="E36" r:id="rId7" xr:uid="{FB7283FC-432F-4940-9080-0EEF9BB66D61}"/>
    <hyperlink ref="E39" r:id="rId8" xr:uid="{AF840070-7152-49D1-801E-AB48187CDBFF}"/>
    <hyperlink ref="E43" r:id="rId9" xr:uid="{391B6FC9-B552-4724-8F9B-5D1E737A6631}"/>
  </hyperlinks>
  <pageMargins left="0.7" right="0.7" top="0.75" bottom="0.75" header="0.3" footer="0.3"/>
  <pageSetup paperSize="9" orientation="portrait" r:id="rId10"/>
  <drawing r:id="rId1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ED385-7B41-4BC4-9D78-9DDC9238C7B4}">
  <dimension ref="A1:S89"/>
  <sheetViews>
    <sheetView zoomScale="55" zoomScaleNormal="55" workbookViewId="0">
      <selection activeCell="S63" sqref="S63"/>
    </sheetView>
  </sheetViews>
  <sheetFormatPr defaultRowHeight="14.4" x14ac:dyDescent="0.3"/>
  <cols>
    <col min="1" max="1" width="27.88671875" customWidth="1"/>
    <col min="2" max="2" width="21.77734375" customWidth="1"/>
    <col min="6" max="6" width="20.33203125" customWidth="1"/>
    <col min="7" max="7" width="1.109375" style="3" customWidth="1"/>
    <col min="9" max="9" width="24" customWidth="1"/>
    <col min="10" max="10" width="29" customWidth="1"/>
    <col min="14" max="14" width="1.33203125" style="3" customWidth="1"/>
  </cols>
  <sheetData>
    <row r="1" spans="1:19" x14ac:dyDescent="0.3">
      <c r="A1" s="2" t="s">
        <v>1</v>
      </c>
      <c r="B1" s="2" t="s">
        <v>2</v>
      </c>
      <c r="C1" s="2" t="s">
        <v>3</v>
      </c>
      <c r="D1" s="2" t="s">
        <v>21</v>
      </c>
      <c r="E1" s="2" t="s">
        <v>11</v>
      </c>
      <c r="F1" s="2" t="s">
        <v>183</v>
      </c>
      <c r="I1" s="2" t="s">
        <v>1</v>
      </c>
      <c r="J1" s="2" t="s">
        <v>2</v>
      </c>
      <c r="K1" s="2" t="s">
        <v>3</v>
      </c>
      <c r="L1" s="2" t="s">
        <v>21</v>
      </c>
      <c r="P1" s="2" t="s">
        <v>1</v>
      </c>
      <c r="Q1" s="2" t="s">
        <v>2</v>
      </c>
      <c r="R1" s="2" t="s">
        <v>3</v>
      </c>
      <c r="S1" s="2" t="s">
        <v>21</v>
      </c>
    </row>
    <row r="2" spans="1:19" x14ac:dyDescent="0.3">
      <c r="A2" t="s">
        <v>125</v>
      </c>
      <c r="B2" t="s">
        <v>26</v>
      </c>
      <c r="C2" t="s">
        <v>92</v>
      </c>
      <c r="D2">
        <f>0.1027*800</f>
        <v>82.16</v>
      </c>
      <c r="E2" t="s">
        <v>93</v>
      </c>
      <c r="F2" t="s">
        <v>301</v>
      </c>
      <c r="H2" t="s">
        <v>185</v>
      </c>
      <c r="I2" t="s">
        <v>125</v>
      </c>
      <c r="J2" t="s">
        <v>4</v>
      </c>
      <c r="K2">
        <v>0</v>
      </c>
      <c r="L2" t="s">
        <v>22</v>
      </c>
      <c r="P2" t="s">
        <v>120</v>
      </c>
      <c r="Q2" t="s">
        <v>4</v>
      </c>
      <c r="R2">
        <f>(K2+K13+K24+K35+K46+K57+K68+K79)/8</f>
        <v>4.5307499999999994</v>
      </c>
      <c r="S2" t="s">
        <v>22</v>
      </c>
    </row>
    <row r="3" spans="1:19" x14ac:dyDescent="0.3">
      <c r="A3">
        <v>15</v>
      </c>
      <c r="B3" t="s">
        <v>121</v>
      </c>
      <c r="C3" t="s">
        <v>92</v>
      </c>
      <c r="D3">
        <f>0.007264*640</f>
        <v>4.6489599999999998</v>
      </c>
      <c r="E3" s="15" t="s">
        <v>410</v>
      </c>
      <c r="F3" t="s">
        <v>233</v>
      </c>
      <c r="H3" t="s">
        <v>185</v>
      </c>
      <c r="J3" t="s">
        <v>24</v>
      </c>
      <c r="K3">
        <v>0</v>
      </c>
      <c r="L3" t="s">
        <v>22</v>
      </c>
      <c r="Q3" t="s">
        <v>24</v>
      </c>
      <c r="R3">
        <f t="shared" ref="R3:R12" si="0">(K3+K14+K25+K36+K47+K58+K69+K80)/8</f>
        <v>0</v>
      </c>
      <c r="S3" t="s">
        <v>22</v>
      </c>
    </row>
    <row r="4" spans="1:19" x14ac:dyDescent="0.3">
      <c r="B4" t="s">
        <v>94</v>
      </c>
      <c r="C4" t="s">
        <v>22</v>
      </c>
      <c r="D4" s="5">
        <v>16.053999999999998</v>
      </c>
      <c r="J4" t="s">
        <v>25</v>
      </c>
      <c r="K4">
        <v>0</v>
      </c>
      <c r="L4" t="s">
        <v>22</v>
      </c>
      <c r="Q4" t="s">
        <v>25</v>
      </c>
      <c r="R4">
        <f t="shared" si="0"/>
        <v>0</v>
      </c>
      <c r="S4" t="s">
        <v>22</v>
      </c>
    </row>
    <row r="5" spans="1:19" x14ac:dyDescent="0.3">
      <c r="B5" t="s">
        <v>5</v>
      </c>
      <c r="C5" t="s">
        <v>22</v>
      </c>
      <c r="D5" s="5">
        <v>3.4380000000000002</v>
      </c>
      <c r="J5" t="s">
        <v>316</v>
      </c>
      <c r="K5">
        <v>0.63</v>
      </c>
      <c r="L5" t="s">
        <v>22</v>
      </c>
      <c r="Q5" t="s">
        <v>316</v>
      </c>
      <c r="R5">
        <f t="shared" si="0"/>
        <v>0.45021249999999996</v>
      </c>
      <c r="S5" t="s">
        <v>22</v>
      </c>
    </row>
    <row r="6" spans="1:19" x14ac:dyDescent="0.3">
      <c r="B6" t="s">
        <v>122</v>
      </c>
      <c r="C6" t="s">
        <v>22</v>
      </c>
      <c r="D6" s="5">
        <v>6.4428000000000001</v>
      </c>
      <c r="J6" t="s">
        <v>26</v>
      </c>
      <c r="K6">
        <v>82.16</v>
      </c>
      <c r="L6" t="s">
        <v>22</v>
      </c>
      <c r="Q6" t="s">
        <v>26</v>
      </c>
      <c r="R6">
        <f t="shared" si="0"/>
        <v>15.6525</v>
      </c>
      <c r="S6" t="s">
        <v>22</v>
      </c>
    </row>
    <row r="7" spans="1:19" x14ac:dyDescent="0.3">
      <c r="B7" t="s">
        <v>123</v>
      </c>
      <c r="C7" t="s">
        <v>22</v>
      </c>
      <c r="D7" s="5">
        <v>3.4691999999999998</v>
      </c>
      <c r="J7" t="s">
        <v>317</v>
      </c>
      <c r="K7">
        <v>0</v>
      </c>
      <c r="L7" t="s">
        <v>22</v>
      </c>
      <c r="Q7" t="s">
        <v>317</v>
      </c>
      <c r="R7">
        <f t="shared" si="0"/>
        <v>0.32824999999999999</v>
      </c>
      <c r="S7" t="s">
        <v>22</v>
      </c>
    </row>
    <row r="8" spans="1:19" x14ac:dyDescent="0.3">
      <c r="B8" t="s">
        <v>124</v>
      </c>
      <c r="C8" t="s">
        <v>22</v>
      </c>
      <c r="D8" s="5">
        <v>0.63</v>
      </c>
      <c r="J8" t="s">
        <v>27</v>
      </c>
      <c r="K8">
        <v>6.85</v>
      </c>
      <c r="L8" t="s">
        <v>22</v>
      </c>
      <c r="Q8" t="s">
        <v>27</v>
      </c>
      <c r="R8">
        <f t="shared" si="0"/>
        <v>0.85624999999999996</v>
      </c>
      <c r="S8" t="s">
        <v>22</v>
      </c>
    </row>
    <row r="9" spans="1:19" x14ac:dyDescent="0.3">
      <c r="B9" t="s">
        <v>95</v>
      </c>
      <c r="C9" t="s">
        <v>22</v>
      </c>
      <c r="D9" s="5">
        <v>0.628</v>
      </c>
      <c r="J9" t="s">
        <v>28</v>
      </c>
      <c r="K9">
        <f>16.05+6.44+0.63</f>
        <v>23.12</v>
      </c>
      <c r="L9" t="s">
        <v>22</v>
      </c>
      <c r="Q9" t="s">
        <v>28</v>
      </c>
      <c r="R9">
        <f t="shared" si="0"/>
        <v>13.831375000000001</v>
      </c>
      <c r="S9" t="s">
        <v>22</v>
      </c>
    </row>
    <row r="10" spans="1:19" x14ac:dyDescent="0.3">
      <c r="B10" t="s">
        <v>8</v>
      </c>
      <c r="C10" t="s">
        <v>22</v>
      </c>
      <c r="D10" s="5">
        <v>6.8529999999999998</v>
      </c>
      <c r="J10" t="s">
        <v>5</v>
      </c>
      <c r="K10">
        <v>3.44</v>
      </c>
      <c r="L10" t="s">
        <v>22</v>
      </c>
      <c r="Q10" t="s">
        <v>5</v>
      </c>
      <c r="R10">
        <f t="shared" si="0"/>
        <v>9.9746250000000014</v>
      </c>
      <c r="S10" t="s">
        <v>22</v>
      </c>
    </row>
    <row r="11" spans="1:19" x14ac:dyDescent="0.3">
      <c r="A11" t="s">
        <v>227</v>
      </c>
      <c r="B11" t="s">
        <v>217</v>
      </c>
      <c r="C11" t="s">
        <v>22</v>
      </c>
      <c r="D11" s="5">
        <v>87</v>
      </c>
      <c r="E11" t="s">
        <v>225</v>
      </c>
      <c r="J11" t="s">
        <v>29</v>
      </c>
      <c r="K11">
        <v>3.47</v>
      </c>
      <c r="L11" t="s">
        <v>22</v>
      </c>
      <c r="Q11" t="s">
        <v>29</v>
      </c>
      <c r="R11">
        <f t="shared" si="0"/>
        <v>2.7837499999999999</v>
      </c>
      <c r="S11" t="s">
        <v>22</v>
      </c>
    </row>
    <row r="12" spans="1:19" x14ac:dyDescent="0.3">
      <c r="B12" t="s">
        <v>216</v>
      </c>
      <c r="C12" t="s">
        <v>22</v>
      </c>
      <c r="D12">
        <v>67</v>
      </c>
      <c r="E12" s="15" t="s">
        <v>384</v>
      </c>
      <c r="F12" t="s">
        <v>185</v>
      </c>
      <c r="J12" t="s">
        <v>9</v>
      </c>
      <c r="K12">
        <v>4.6489599999999998</v>
      </c>
      <c r="L12" t="s">
        <v>22</v>
      </c>
      <c r="Q12" t="s">
        <v>9</v>
      </c>
      <c r="R12">
        <f t="shared" si="0"/>
        <v>14.10862</v>
      </c>
      <c r="S12" t="s">
        <v>22</v>
      </c>
    </row>
    <row r="13" spans="1:19" x14ac:dyDescent="0.3">
      <c r="B13" t="s">
        <v>121</v>
      </c>
      <c r="C13" t="s">
        <v>22</v>
      </c>
      <c r="D13">
        <v>0.68</v>
      </c>
      <c r="I13" t="s">
        <v>227</v>
      </c>
      <c r="J13" t="s">
        <v>4</v>
      </c>
      <c r="K13">
        <v>0</v>
      </c>
      <c r="L13" t="s">
        <v>22</v>
      </c>
      <c r="P13" t="s">
        <v>186</v>
      </c>
      <c r="R13">
        <f>SUM(R2:R12)</f>
        <v>62.516332500000004</v>
      </c>
    </row>
    <row r="14" spans="1:19" x14ac:dyDescent="0.3">
      <c r="B14" t="s">
        <v>221</v>
      </c>
      <c r="C14" t="s">
        <v>22</v>
      </c>
      <c r="D14">
        <v>0.9</v>
      </c>
      <c r="J14" t="s">
        <v>24</v>
      </c>
      <c r="K14">
        <v>0</v>
      </c>
      <c r="L14" t="s">
        <v>22</v>
      </c>
      <c r="P14" t="s">
        <v>188</v>
      </c>
      <c r="R14">
        <f>(A27+A3+A43+A49+A56+A62+A69)/7</f>
        <v>14.642857142857142</v>
      </c>
    </row>
    <row r="15" spans="1:19" x14ac:dyDescent="0.3">
      <c r="B15" t="s">
        <v>222</v>
      </c>
      <c r="C15" t="s">
        <v>22</v>
      </c>
      <c r="D15">
        <v>5.0000000000000001E-3</v>
      </c>
      <c r="J15" t="s">
        <v>25</v>
      </c>
      <c r="K15">
        <v>0</v>
      </c>
      <c r="L15" t="s">
        <v>22</v>
      </c>
    </row>
    <row r="16" spans="1:19" x14ac:dyDescent="0.3">
      <c r="B16" t="s">
        <v>224</v>
      </c>
      <c r="C16" t="s">
        <v>22</v>
      </c>
      <c r="D16">
        <v>0.246</v>
      </c>
      <c r="J16" t="s">
        <v>316</v>
      </c>
      <c r="K16">
        <f>SUM(D23:D25)</f>
        <v>0.88</v>
      </c>
      <c r="L16" t="s">
        <v>22</v>
      </c>
    </row>
    <row r="17" spans="1:12" x14ac:dyDescent="0.3">
      <c r="B17" t="s">
        <v>62</v>
      </c>
      <c r="C17" t="s">
        <v>22</v>
      </c>
      <c r="D17">
        <v>1.04</v>
      </c>
      <c r="J17" t="s">
        <v>26</v>
      </c>
      <c r="K17">
        <v>0</v>
      </c>
      <c r="L17" t="s">
        <v>22</v>
      </c>
    </row>
    <row r="18" spans="1:12" x14ac:dyDescent="0.3">
      <c r="B18" t="s">
        <v>228</v>
      </c>
      <c r="C18" t="s">
        <v>22</v>
      </c>
      <c r="D18">
        <v>1.1299999999999999</v>
      </c>
      <c r="J18" t="s">
        <v>317</v>
      </c>
      <c r="K18">
        <f>SUM(D15:D16)</f>
        <v>0.251</v>
      </c>
      <c r="L18" t="s">
        <v>22</v>
      </c>
    </row>
    <row r="19" spans="1:12" x14ac:dyDescent="0.3">
      <c r="B19" t="s">
        <v>229</v>
      </c>
      <c r="C19" t="s">
        <v>22</v>
      </c>
      <c r="D19">
        <v>0.12</v>
      </c>
      <c r="J19" t="s">
        <v>27</v>
      </c>
      <c r="K19">
        <v>0</v>
      </c>
      <c r="L19" t="s">
        <v>22</v>
      </c>
    </row>
    <row r="20" spans="1:12" x14ac:dyDescent="0.3">
      <c r="B20" t="s">
        <v>122</v>
      </c>
      <c r="C20" t="s">
        <v>22</v>
      </c>
      <c r="D20">
        <v>3.5</v>
      </c>
      <c r="J20" t="s">
        <v>28</v>
      </c>
      <c r="K20">
        <f>SUM(D17:D20)</f>
        <v>5.79</v>
      </c>
      <c r="L20" t="s">
        <v>22</v>
      </c>
    </row>
    <row r="21" spans="1:12" x14ac:dyDescent="0.3">
      <c r="B21" t="s">
        <v>140</v>
      </c>
      <c r="C21" t="s">
        <v>22</v>
      </c>
      <c r="D21">
        <v>4.32</v>
      </c>
      <c r="J21" t="s">
        <v>5</v>
      </c>
      <c r="K21">
        <v>0.9</v>
      </c>
      <c r="L21" t="s">
        <v>22</v>
      </c>
    </row>
    <row r="22" spans="1:12" x14ac:dyDescent="0.3">
      <c r="B22" t="s">
        <v>230</v>
      </c>
      <c r="C22" t="s">
        <v>22</v>
      </c>
      <c r="D22">
        <v>0.21</v>
      </c>
      <c r="J22" t="s">
        <v>29</v>
      </c>
      <c r="K22">
        <f>SUM(D21:D22)</f>
        <v>4.53</v>
      </c>
      <c r="L22" t="s">
        <v>22</v>
      </c>
    </row>
    <row r="23" spans="1:12" x14ac:dyDescent="0.3">
      <c r="B23" t="s">
        <v>45</v>
      </c>
      <c r="C23" t="s">
        <v>22</v>
      </c>
      <c r="D23">
        <v>0.32</v>
      </c>
      <c r="J23" t="s">
        <v>9</v>
      </c>
      <c r="K23">
        <f>SUM(D12:D13)</f>
        <v>67.680000000000007</v>
      </c>
      <c r="L23" t="s">
        <v>22</v>
      </c>
    </row>
    <row r="24" spans="1:12" x14ac:dyDescent="0.3">
      <c r="B24" t="s">
        <v>231</v>
      </c>
      <c r="C24" t="s">
        <v>22</v>
      </c>
      <c r="D24">
        <v>0.3</v>
      </c>
      <c r="I24" t="s">
        <v>120</v>
      </c>
      <c r="J24" t="s">
        <v>4</v>
      </c>
      <c r="K24">
        <v>0</v>
      </c>
      <c r="L24" t="s">
        <v>22</v>
      </c>
    </row>
    <row r="25" spans="1:12" x14ac:dyDescent="0.3">
      <c r="B25" t="s">
        <v>232</v>
      </c>
      <c r="C25" t="s">
        <v>22</v>
      </c>
      <c r="D25">
        <v>0.26</v>
      </c>
      <c r="J25" t="s">
        <v>24</v>
      </c>
      <c r="K25">
        <v>0</v>
      </c>
      <c r="L25" t="s">
        <v>22</v>
      </c>
    </row>
    <row r="26" spans="1:12" x14ac:dyDescent="0.3">
      <c r="A26" t="s">
        <v>120</v>
      </c>
      <c r="B26" t="s">
        <v>234</v>
      </c>
      <c r="C26" t="s">
        <v>22</v>
      </c>
      <c r="D26">
        <v>2.58</v>
      </c>
      <c r="E26" t="s">
        <v>251</v>
      </c>
      <c r="F26" t="s">
        <v>250</v>
      </c>
      <c r="H26" t="s">
        <v>185</v>
      </c>
      <c r="J26" t="s">
        <v>25</v>
      </c>
      <c r="K26">
        <v>0</v>
      </c>
      <c r="L26" t="s">
        <v>22</v>
      </c>
    </row>
    <row r="27" spans="1:12" x14ac:dyDescent="0.3">
      <c r="A27">
        <v>12.5</v>
      </c>
      <c r="B27" t="s">
        <v>235</v>
      </c>
      <c r="C27" t="s">
        <v>22</v>
      </c>
      <c r="D27">
        <v>1.05</v>
      </c>
      <c r="E27" s="15" t="s">
        <v>417</v>
      </c>
      <c r="F27" t="s">
        <v>185</v>
      </c>
      <c r="J27" t="s">
        <v>316</v>
      </c>
      <c r="K27">
        <f>SUM(D36:D38)</f>
        <v>1.3719999999999999</v>
      </c>
      <c r="L27" t="s">
        <v>22</v>
      </c>
    </row>
    <row r="28" spans="1:12" x14ac:dyDescent="0.3">
      <c r="B28" t="s">
        <v>236</v>
      </c>
      <c r="C28" t="s">
        <v>22</v>
      </c>
      <c r="D28">
        <v>0.67500000000000004</v>
      </c>
      <c r="J28" t="s">
        <v>26</v>
      </c>
      <c r="K28">
        <v>43.06</v>
      </c>
      <c r="L28" t="s">
        <v>22</v>
      </c>
    </row>
    <row r="29" spans="1:12" x14ac:dyDescent="0.3">
      <c r="B29" t="s">
        <v>237</v>
      </c>
      <c r="C29" t="s">
        <v>22</v>
      </c>
      <c r="D29">
        <v>0.68</v>
      </c>
      <c r="J29" t="s">
        <v>317</v>
      </c>
      <c r="K29">
        <f>0.5*D39</f>
        <v>2.375</v>
      </c>
      <c r="L29" t="s">
        <v>22</v>
      </c>
    </row>
    <row r="30" spans="1:12" x14ac:dyDescent="0.3">
      <c r="B30" t="s">
        <v>238</v>
      </c>
      <c r="C30" t="s">
        <v>22</v>
      </c>
      <c r="D30">
        <v>2.65</v>
      </c>
      <c r="J30" t="s">
        <v>27</v>
      </c>
      <c r="K30">
        <v>0</v>
      </c>
      <c r="L30" t="s">
        <v>22</v>
      </c>
    </row>
    <row r="31" spans="1:12" x14ac:dyDescent="0.3">
      <c r="B31" t="s">
        <v>239</v>
      </c>
      <c r="C31" t="s">
        <v>22</v>
      </c>
      <c r="D31">
        <v>1.92</v>
      </c>
      <c r="J31" t="s">
        <v>28</v>
      </c>
      <c r="K31">
        <f>(D18+D17+D19+D20+D24)</f>
        <v>6.09</v>
      </c>
      <c r="L31" t="s">
        <v>22</v>
      </c>
    </row>
    <row r="32" spans="1:12" x14ac:dyDescent="0.3">
      <c r="B32" t="s">
        <v>240</v>
      </c>
      <c r="C32" t="s">
        <v>22</v>
      </c>
      <c r="D32">
        <v>0.6</v>
      </c>
      <c r="J32" t="s">
        <v>5</v>
      </c>
      <c r="K32">
        <f>0.5*D39</f>
        <v>2.375</v>
      </c>
      <c r="L32" t="s">
        <v>22</v>
      </c>
    </row>
    <row r="33" spans="1:12" x14ac:dyDescent="0.3">
      <c r="B33" t="s">
        <v>241</v>
      </c>
      <c r="C33" t="s">
        <v>22</v>
      </c>
      <c r="D33">
        <v>2.1</v>
      </c>
      <c r="J33" t="s">
        <v>29</v>
      </c>
      <c r="K33">
        <f>D26+D27+D40+D28</f>
        <v>6.4549999999999992</v>
      </c>
      <c r="L33" t="s">
        <v>22</v>
      </c>
    </row>
    <row r="34" spans="1:12" x14ac:dyDescent="0.3">
      <c r="B34" t="s">
        <v>242</v>
      </c>
      <c r="C34" t="s">
        <v>22</v>
      </c>
      <c r="D34">
        <v>0.74</v>
      </c>
      <c r="J34" t="s">
        <v>9</v>
      </c>
      <c r="K34">
        <v>0</v>
      </c>
      <c r="L34" t="s">
        <v>22</v>
      </c>
    </row>
    <row r="35" spans="1:12" x14ac:dyDescent="0.3">
      <c r="B35" t="s">
        <v>243</v>
      </c>
      <c r="C35" t="s">
        <v>22</v>
      </c>
      <c r="D35">
        <v>0.8</v>
      </c>
      <c r="I35" t="s">
        <v>292</v>
      </c>
      <c r="J35" t="s">
        <v>4</v>
      </c>
      <c r="K35">
        <v>0</v>
      </c>
      <c r="L35" t="s">
        <v>22</v>
      </c>
    </row>
    <row r="36" spans="1:12" x14ac:dyDescent="0.3">
      <c r="B36" t="s">
        <v>244</v>
      </c>
      <c r="C36" t="s">
        <v>22</v>
      </c>
      <c r="D36">
        <v>0.17499999999999999</v>
      </c>
      <c r="J36" t="s">
        <v>24</v>
      </c>
      <c r="K36">
        <v>0</v>
      </c>
      <c r="L36" t="s">
        <v>22</v>
      </c>
    </row>
    <row r="37" spans="1:12" x14ac:dyDescent="0.3">
      <c r="B37" t="s">
        <v>245</v>
      </c>
      <c r="C37" t="s">
        <v>22</v>
      </c>
      <c r="D37">
        <v>0.52900000000000003</v>
      </c>
      <c r="J37" t="s">
        <v>25</v>
      </c>
      <c r="K37">
        <v>0</v>
      </c>
      <c r="L37" t="s">
        <v>22</v>
      </c>
    </row>
    <row r="38" spans="1:12" x14ac:dyDescent="0.3">
      <c r="B38" t="s">
        <v>246</v>
      </c>
      <c r="C38" t="s">
        <v>22</v>
      </c>
      <c r="D38">
        <v>0.66800000000000004</v>
      </c>
      <c r="J38" t="s">
        <v>316</v>
      </c>
      <c r="K38">
        <v>0</v>
      </c>
      <c r="L38" t="s">
        <v>22</v>
      </c>
    </row>
    <row r="39" spans="1:12" x14ac:dyDescent="0.3">
      <c r="B39" t="s">
        <v>247</v>
      </c>
      <c r="C39" t="s">
        <v>22</v>
      </c>
      <c r="D39">
        <v>4.75</v>
      </c>
      <c r="F39" t="s">
        <v>319</v>
      </c>
      <c r="H39" t="s">
        <v>185</v>
      </c>
      <c r="J39" t="s">
        <v>26</v>
      </c>
      <c r="K39">
        <v>0</v>
      </c>
      <c r="L39" t="s">
        <v>22</v>
      </c>
    </row>
    <row r="40" spans="1:12" x14ac:dyDescent="0.3">
      <c r="B40" t="s">
        <v>248</v>
      </c>
      <c r="C40" t="s">
        <v>22</v>
      </c>
      <c r="D40">
        <v>2.15</v>
      </c>
      <c r="J40" t="s">
        <v>317</v>
      </c>
      <c r="K40">
        <v>0</v>
      </c>
      <c r="L40" t="s">
        <v>22</v>
      </c>
    </row>
    <row r="41" spans="1:12" x14ac:dyDescent="0.3">
      <c r="B41" t="s">
        <v>249</v>
      </c>
      <c r="C41" t="s">
        <v>22</v>
      </c>
      <c r="D41">
        <v>43.06</v>
      </c>
      <c r="J41" t="s">
        <v>27</v>
      </c>
      <c r="K41">
        <v>0</v>
      </c>
      <c r="L41" t="s">
        <v>22</v>
      </c>
    </row>
    <row r="42" spans="1:12" x14ac:dyDescent="0.3">
      <c r="A42" t="s">
        <v>290</v>
      </c>
      <c r="B42" t="s">
        <v>9</v>
      </c>
      <c r="C42" t="s">
        <v>22</v>
      </c>
      <c r="D42">
        <v>14.7</v>
      </c>
      <c r="E42" t="s">
        <v>12</v>
      </c>
      <c r="J42" t="s">
        <v>28</v>
      </c>
      <c r="K42">
        <f>D44+D46+D47</f>
        <v>30.263999999999999</v>
      </c>
      <c r="L42" t="s">
        <v>22</v>
      </c>
    </row>
    <row r="43" spans="1:12" x14ac:dyDescent="0.3">
      <c r="A43">
        <v>15</v>
      </c>
      <c r="B43" t="s">
        <v>5</v>
      </c>
      <c r="C43" t="s">
        <v>22</v>
      </c>
      <c r="D43">
        <f>3.04+24.2+0.816</f>
        <v>28.055999999999997</v>
      </c>
      <c r="E43" s="15" t="s">
        <v>418</v>
      </c>
      <c r="F43" t="s">
        <v>185</v>
      </c>
      <c r="J43" t="s">
        <v>5</v>
      </c>
      <c r="K43">
        <f>D43</f>
        <v>28.055999999999997</v>
      </c>
      <c r="L43" t="s">
        <v>22</v>
      </c>
    </row>
    <row r="44" spans="1:12" x14ac:dyDescent="0.3">
      <c r="B44" t="s">
        <v>49</v>
      </c>
      <c r="C44" t="s">
        <v>22</v>
      </c>
      <c r="D44">
        <v>4.0000000000000001E-3</v>
      </c>
      <c r="J44" t="s">
        <v>29</v>
      </c>
      <c r="K44">
        <f>D45</f>
        <v>0.82499999999999996</v>
      </c>
      <c r="L44" t="s">
        <v>22</v>
      </c>
    </row>
    <row r="45" spans="1:12" x14ac:dyDescent="0.3">
      <c r="B45" t="s">
        <v>140</v>
      </c>
      <c r="C45" t="s">
        <v>22</v>
      </c>
      <c r="D45">
        <v>0.82499999999999996</v>
      </c>
      <c r="J45" t="s">
        <v>9</v>
      </c>
      <c r="K45">
        <f>D42</f>
        <v>14.7</v>
      </c>
      <c r="L45" t="s">
        <v>22</v>
      </c>
    </row>
    <row r="46" spans="1:12" x14ac:dyDescent="0.3">
      <c r="B46" t="s">
        <v>291</v>
      </c>
      <c r="C46" t="s">
        <v>22</v>
      </c>
      <c r="D46">
        <v>6.76</v>
      </c>
      <c r="I46" t="s">
        <v>293</v>
      </c>
      <c r="J46" t="s">
        <v>4</v>
      </c>
      <c r="K46">
        <f>D50</f>
        <v>7.07</v>
      </c>
      <c r="L46" t="s">
        <v>22</v>
      </c>
    </row>
    <row r="47" spans="1:12" x14ac:dyDescent="0.3">
      <c r="B47" t="s">
        <v>19</v>
      </c>
      <c r="C47" t="s">
        <v>22</v>
      </c>
      <c r="D47">
        <v>23.5</v>
      </c>
      <c r="J47" t="s">
        <v>24</v>
      </c>
      <c r="K47">
        <v>0</v>
      </c>
      <c r="L47" t="s">
        <v>22</v>
      </c>
    </row>
    <row r="48" spans="1:12" x14ac:dyDescent="0.3">
      <c r="A48" t="s">
        <v>293</v>
      </c>
      <c r="B48" t="s">
        <v>9</v>
      </c>
      <c r="C48" t="s">
        <v>22</v>
      </c>
      <c r="D48">
        <v>12.3</v>
      </c>
      <c r="E48" t="s">
        <v>12</v>
      </c>
      <c r="J48" t="s">
        <v>25</v>
      </c>
      <c r="K48">
        <v>0</v>
      </c>
      <c r="L48" t="s">
        <v>22</v>
      </c>
    </row>
    <row r="49" spans="1:12" x14ac:dyDescent="0.3">
      <c r="A49">
        <v>15</v>
      </c>
      <c r="B49" t="s">
        <v>5</v>
      </c>
      <c r="C49" t="s">
        <v>22</v>
      </c>
      <c r="D49">
        <f>21.8+3.58+1.3</f>
        <v>26.680000000000003</v>
      </c>
      <c r="E49" s="15" t="s">
        <v>419</v>
      </c>
      <c r="F49" t="s">
        <v>185</v>
      </c>
      <c r="J49" t="s">
        <v>316</v>
      </c>
      <c r="K49">
        <v>0</v>
      </c>
      <c r="L49" t="s">
        <v>22</v>
      </c>
    </row>
    <row r="50" spans="1:12" x14ac:dyDescent="0.3">
      <c r="B50" t="s">
        <v>4</v>
      </c>
      <c r="C50" t="s">
        <v>22</v>
      </c>
      <c r="D50">
        <v>7.07</v>
      </c>
      <c r="J50" t="s">
        <v>26</v>
      </c>
      <c r="K50">
        <v>0</v>
      </c>
      <c r="L50" t="s">
        <v>22</v>
      </c>
    </row>
    <row r="51" spans="1:12" x14ac:dyDescent="0.3">
      <c r="B51" t="s">
        <v>140</v>
      </c>
      <c r="C51" t="s">
        <v>22</v>
      </c>
      <c r="D51">
        <v>0.8</v>
      </c>
      <c r="J51" t="s">
        <v>317</v>
      </c>
      <c r="K51">
        <v>0</v>
      </c>
      <c r="L51" t="s">
        <v>22</v>
      </c>
    </row>
    <row r="52" spans="1:12" x14ac:dyDescent="0.3">
      <c r="B52" t="s">
        <v>291</v>
      </c>
      <c r="C52" t="s">
        <v>22</v>
      </c>
      <c r="D52">
        <v>5.01</v>
      </c>
      <c r="J52" t="s">
        <v>27</v>
      </c>
      <c r="K52">
        <v>0</v>
      </c>
      <c r="L52" t="s">
        <v>22</v>
      </c>
    </row>
    <row r="53" spans="1:12" x14ac:dyDescent="0.3">
      <c r="B53" t="s">
        <v>19</v>
      </c>
      <c r="C53" t="s">
        <v>22</v>
      </c>
      <c r="D53">
        <v>7.76</v>
      </c>
      <c r="J53" t="s">
        <v>28</v>
      </c>
      <c r="K53">
        <f>D52+D53+D54</f>
        <v>12.814</v>
      </c>
      <c r="L53" t="s">
        <v>22</v>
      </c>
    </row>
    <row r="54" spans="1:12" x14ac:dyDescent="0.3">
      <c r="B54" t="s">
        <v>49</v>
      </c>
      <c r="C54" t="s">
        <v>22</v>
      </c>
      <c r="D54">
        <v>4.3999999999999997E-2</v>
      </c>
      <c r="J54" t="s">
        <v>5</v>
      </c>
      <c r="K54">
        <f>D49</f>
        <v>26.680000000000003</v>
      </c>
      <c r="L54" t="s">
        <v>22</v>
      </c>
    </row>
    <row r="55" spans="1:12" x14ac:dyDescent="0.3">
      <c r="A55" t="s">
        <v>294</v>
      </c>
      <c r="B55" t="s">
        <v>9</v>
      </c>
      <c r="C55" t="s">
        <v>22</v>
      </c>
      <c r="D55">
        <v>2.74</v>
      </c>
      <c r="E55" t="s">
        <v>12</v>
      </c>
      <c r="J55" t="s">
        <v>29</v>
      </c>
      <c r="K55">
        <f>D51</f>
        <v>0.8</v>
      </c>
      <c r="L55" t="s">
        <v>22</v>
      </c>
    </row>
    <row r="56" spans="1:12" x14ac:dyDescent="0.3">
      <c r="A56">
        <v>15</v>
      </c>
      <c r="B56" t="s">
        <v>19</v>
      </c>
      <c r="C56" t="s">
        <v>22</v>
      </c>
      <c r="D56">
        <f>22+1.81</f>
        <v>23.81</v>
      </c>
      <c r="E56" s="15" t="s">
        <v>420</v>
      </c>
      <c r="F56" t="s">
        <v>185</v>
      </c>
      <c r="J56" t="s">
        <v>9</v>
      </c>
      <c r="K56">
        <f>D48</f>
        <v>12.3</v>
      </c>
      <c r="L56" t="s">
        <v>22</v>
      </c>
    </row>
    <row r="57" spans="1:12" x14ac:dyDescent="0.3">
      <c r="B57" t="s">
        <v>49</v>
      </c>
      <c r="C57" t="s">
        <v>22</v>
      </c>
      <c r="D57">
        <f>0.544+0.052</f>
        <v>0.59600000000000009</v>
      </c>
      <c r="I57" t="s">
        <v>294</v>
      </c>
      <c r="J57" t="s">
        <v>4</v>
      </c>
      <c r="K57">
        <f>D59</f>
        <v>1.6E-2</v>
      </c>
      <c r="L57" t="s">
        <v>22</v>
      </c>
    </row>
    <row r="58" spans="1:12" x14ac:dyDescent="0.3">
      <c r="B58" t="s">
        <v>5</v>
      </c>
      <c r="C58" t="s">
        <v>22</v>
      </c>
      <c r="D58">
        <v>0.1</v>
      </c>
      <c r="J58" t="s">
        <v>24</v>
      </c>
      <c r="K58">
        <v>0</v>
      </c>
      <c r="L58" t="s">
        <v>22</v>
      </c>
    </row>
    <row r="59" spans="1:12" x14ac:dyDescent="0.3">
      <c r="B59" t="s">
        <v>4</v>
      </c>
      <c r="C59" t="s">
        <v>22</v>
      </c>
      <c r="D59">
        <v>1.6E-2</v>
      </c>
      <c r="J59" t="s">
        <v>25</v>
      </c>
      <c r="K59">
        <v>0</v>
      </c>
      <c r="L59" t="s">
        <v>22</v>
      </c>
    </row>
    <row r="60" spans="1:12" x14ac:dyDescent="0.3">
      <c r="B60" t="s">
        <v>140</v>
      </c>
      <c r="C60" t="s">
        <v>22</v>
      </c>
      <c r="D60">
        <v>3.25</v>
      </c>
      <c r="J60" t="s">
        <v>316</v>
      </c>
      <c r="K60">
        <v>0</v>
      </c>
      <c r="L60" t="s">
        <v>22</v>
      </c>
    </row>
    <row r="61" spans="1:12" x14ac:dyDescent="0.3">
      <c r="A61" t="s">
        <v>295</v>
      </c>
      <c r="B61" t="s">
        <v>4</v>
      </c>
      <c r="C61" t="s">
        <v>22</v>
      </c>
      <c r="D61">
        <v>25</v>
      </c>
      <c r="E61" t="s">
        <v>12</v>
      </c>
      <c r="J61" t="s">
        <v>26</v>
      </c>
      <c r="K61">
        <v>0</v>
      </c>
      <c r="L61" t="s">
        <v>22</v>
      </c>
    </row>
    <row r="62" spans="1:12" x14ac:dyDescent="0.3">
      <c r="A62">
        <v>15</v>
      </c>
      <c r="B62" t="s">
        <v>5</v>
      </c>
      <c r="C62" t="s">
        <v>22</v>
      </c>
      <c r="D62">
        <v>0.14699999999999999</v>
      </c>
      <c r="E62" s="15" t="s">
        <v>421</v>
      </c>
      <c r="F62" t="s">
        <v>185</v>
      </c>
      <c r="J62" t="s">
        <v>317</v>
      </c>
      <c r="K62">
        <v>0</v>
      </c>
      <c r="L62" t="s">
        <v>22</v>
      </c>
    </row>
    <row r="63" spans="1:12" x14ac:dyDescent="0.3">
      <c r="B63" t="s">
        <v>6</v>
      </c>
      <c r="C63" t="s">
        <v>22</v>
      </c>
      <c r="D63">
        <v>7.0000000000000001E-3</v>
      </c>
      <c r="J63" t="s">
        <v>27</v>
      </c>
      <c r="K63">
        <v>0</v>
      </c>
      <c r="L63" t="s">
        <v>22</v>
      </c>
    </row>
    <row r="64" spans="1:12" x14ac:dyDescent="0.3">
      <c r="B64" t="s">
        <v>7</v>
      </c>
      <c r="C64" t="s">
        <v>22</v>
      </c>
      <c r="D64">
        <v>0.66900000000000004</v>
      </c>
      <c r="J64" t="s">
        <v>28</v>
      </c>
      <c r="K64">
        <f>D57+D56</f>
        <v>24.405999999999999</v>
      </c>
      <c r="L64" t="s">
        <v>22</v>
      </c>
    </row>
    <row r="65" spans="1:12" x14ac:dyDescent="0.3">
      <c r="B65" t="s">
        <v>229</v>
      </c>
      <c r="C65" t="s">
        <v>22</v>
      </c>
      <c r="D65">
        <v>0.8</v>
      </c>
      <c r="J65" t="s">
        <v>5</v>
      </c>
      <c r="K65">
        <f>D58</f>
        <v>0.1</v>
      </c>
      <c r="L65" t="s">
        <v>22</v>
      </c>
    </row>
    <row r="66" spans="1:12" x14ac:dyDescent="0.3">
      <c r="B66" t="s">
        <v>94</v>
      </c>
      <c r="C66" t="s">
        <v>22</v>
      </c>
      <c r="D66">
        <v>5.75</v>
      </c>
      <c r="J66" t="s">
        <v>29</v>
      </c>
      <c r="K66">
        <f>D60</f>
        <v>3.25</v>
      </c>
      <c r="L66" t="s">
        <v>22</v>
      </c>
    </row>
    <row r="67" spans="1:12" x14ac:dyDescent="0.3">
      <c r="B67" t="s">
        <v>45</v>
      </c>
      <c r="C67" t="s">
        <v>22</v>
      </c>
      <c r="D67">
        <v>2.6700000000000002E-2</v>
      </c>
      <c r="J67" t="s">
        <v>9</v>
      </c>
      <c r="K67">
        <f>D55</f>
        <v>2.74</v>
      </c>
      <c r="L67" t="s">
        <v>22</v>
      </c>
    </row>
    <row r="68" spans="1:12" x14ac:dyDescent="0.3">
      <c r="A68" t="s">
        <v>71</v>
      </c>
      <c r="B68" t="s">
        <v>5</v>
      </c>
      <c r="C68" t="s">
        <v>22</v>
      </c>
      <c r="D68">
        <v>17</v>
      </c>
      <c r="E68" t="s">
        <v>12</v>
      </c>
      <c r="I68" t="s">
        <v>295</v>
      </c>
      <c r="J68" t="s">
        <v>4</v>
      </c>
      <c r="K68">
        <f>D61</f>
        <v>25</v>
      </c>
      <c r="L68" t="s">
        <v>22</v>
      </c>
    </row>
    <row r="69" spans="1:12" x14ac:dyDescent="0.3">
      <c r="A69">
        <v>15</v>
      </c>
      <c r="B69" t="s">
        <v>9</v>
      </c>
      <c r="C69" t="s">
        <v>22</v>
      </c>
      <c r="D69">
        <v>10.8</v>
      </c>
      <c r="E69" s="15" t="s">
        <v>422</v>
      </c>
      <c r="F69" t="s">
        <v>185</v>
      </c>
      <c r="J69" t="s">
        <v>24</v>
      </c>
      <c r="K69">
        <v>0</v>
      </c>
      <c r="L69" t="s">
        <v>22</v>
      </c>
    </row>
    <row r="70" spans="1:12" x14ac:dyDescent="0.3">
      <c r="B70" t="s">
        <v>4</v>
      </c>
      <c r="C70" t="s">
        <v>22</v>
      </c>
      <c r="D70">
        <v>4.16</v>
      </c>
      <c r="J70" t="s">
        <v>25</v>
      </c>
      <c r="K70">
        <v>0</v>
      </c>
      <c r="L70" t="s">
        <v>22</v>
      </c>
    </row>
    <row r="71" spans="1:12" x14ac:dyDescent="0.3">
      <c r="B71" t="s">
        <v>72</v>
      </c>
      <c r="C71" t="s">
        <v>22</v>
      </c>
      <c r="D71">
        <v>0.85399999999999998</v>
      </c>
      <c r="J71" t="s">
        <v>316</v>
      </c>
      <c r="K71">
        <f>D67+D64</f>
        <v>0.69569999999999999</v>
      </c>
      <c r="L71" t="s">
        <v>22</v>
      </c>
    </row>
    <row r="72" spans="1:12" x14ac:dyDescent="0.3">
      <c r="B72" t="s">
        <v>7</v>
      </c>
      <c r="C72" t="s">
        <v>22</v>
      </c>
      <c r="D72">
        <v>2.4E-2</v>
      </c>
      <c r="J72" t="s">
        <v>26</v>
      </c>
      <c r="K72">
        <v>0</v>
      </c>
      <c r="L72" t="s">
        <v>22</v>
      </c>
    </row>
    <row r="73" spans="1:12" x14ac:dyDescent="0.3">
      <c r="B73" t="s">
        <v>57</v>
      </c>
      <c r="C73" t="s">
        <v>22</v>
      </c>
      <c r="D73">
        <v>2.94</v>
      </c>
      <c r="J73" t="s">
        <v>317</v>
      </c>
      <c r="K73">
        <v>0</v>
      </c>
      <c r="L73" t="s">
        <v>22</v>
      </c>
    </row>
    <row r="74" spans="1:12" x14ac:dyDescent="0.3">
      <c r="B74" t="s">
        <v>19</v>
      </c>
      <c r="C74" t="s">
        <v>22</v>
      </c>
      <c r="D74">
        <v>1.61</v>
      </c>
      <c r="J74" t="s">
        <v>27</v>
      </c>
      <c r="K74">
        <v>0</v>
      </c>
      <c r="L74" t="s">
        <v>22</v>
      </c>
    </row>
    <row r="75" spans="1:12" x14ac:dyDescent="0.3">
      <c r="B75" t="s">
        <v>5</v>
      </c>
      <c r="C75" t="s">
        <v>22</v>
      </c>
      <c r="D75">
        <v>0.245</v>
      </c>
      <c r="J75" t="s">
        <v>28</v>
      </c>
      <c r="K75">
        <f>D63+D65+D66</f>
        <v>6.5570000000000004</v>
      </c>
      <c r="L75" t="s">
        <v>22</v>
      </c>
    </row>
    <row r="76" spans="1:12" x14ac:dyDescent="0.3">
      <c r="J76" t="s">
        <v>5</v>
      </c>
      <c r="K76">
        <f>D62</f>
        <v>0.14699999999999999</v>
      </c>
      <c r="L76" t="s">
        <v>22</v>
      </c>
    </row>
    <row r="77" spans="1:12" x14ac:dyDescent="0.3">
      <c r="J77" t="s">
        <v>29</v>
      </c>
      <c r="K77">
        <v>0</v>
      </c>
      <c r="L77" t="s">
        <v>22</v>
      </c>
    </row>
    <row r="78" spans="1:12" x14ac:dyDescent="0.3">
      <c r="J78" t="s">
        <v>9</v>
      </c>
      <c r="K78">
        <v>0</v>
      </c>
      <c r="L78" t="s">
        <v>22</v>
      </c>
    </row>
    <row r="79" spans="1:12" x14ac:dyDescent="0.3">
      <c r="I79" t="s">
        <v>71</v>
      </c>
      <c r="J79" t="s">
        <v>4</v>
      </c>
      <c r="K79">
        <v>4.16</v>
      </c>
      <c r="L79" t="s">
        <v>22</v>
      </c>
    </row>
    <row r="80" spans="1:12" x14ac:dyDescent="0.3">
      <c r="I80" t="s">
        <v>23</v>
      </c>
      <c r="J80" t="s">
        <v>24</v>
      </c>
      <c r="K80">
        <v>0</v>
      </c>
      <c r="L80" t="s">
        <v>22</v>
      </c>
    </row>
    <row r="81" spans="10:12" x14ac:dyDescent="0.3">
      <c r="J81" t="s">
        <v>25</v>
      </c>
      <c r="K81">
        <v>0</v>
      </c>
      <c r="L81" t="s">
        <v>22</v>
      </c>
    </row>
    <row r="82" spans="10:12" x14ac:dyDescent="0.3">
      <c r="J82" t="s">
        <v>316</v>
      </c>
      <c r="K82">
        <v>2.4E-2</v>
      </c>
      <c r="L82" t="s">
        <v>22</v>
      </c>
    </row>
    <row r="83" spans="10:12" x14ac:dyDescent="0.3">
      <c r="J83" t="s">
        <v>26</v>
      </c>
      <c r="K83">
        <v>0</v>
      </c>
      <c r="L83" t="s">
        <v>22</v>
      </c>
    </row>
    <row r="84" spans="10:12" x14ac:dyDescent="0.3">
      <c r="J84" t="s">
        <v>317</v>
      </c>
      <c r="K84">
        <v>0</v>
      </c>
      <c r="L84" t="s">
        <v>22</v>
      </c>
    </row>
    <row r="85" spans="10:12" x14ac:dyDescent="0.3">
      <c r="J85" t="s">
        <v>27</v>
      </c>
      <c r="K85">
        <v>0</v>
      </c>
      <c r="L85" t="s">
        <v>22</v>
      </c>
    </row>
    <row r="86" spans="10:12" x14ac:dyDescent="0.3">
      <c r="J86" t="s">
        <v>28</v>
      </c>
      <c r="K86">
        <v>1.61</v>
      </c>
      <c r="L86" t="s">
        <v>22</v>
      </c>
    </row>
    <row r="87" spans="10:12" x14ac:dyDescent="0.3">
      <c r="J87" t="s">
        <v>5</v>
      </c>
      <c r="K87">
        <f>17+0.854+0.245</f>
        <v>18.099</v>
      </c>
      <c r="L87" t="s">
        <v>22</v>
      </c>
    </row>
    <row r="88" spans="10:12" x14ac:dyDescent="0.3">
      <c r="J88" t="s">
        <v>29</v>
      </c>
      <c r="K88">
        <v>2.94</v>
      </c>
      <c r="L88" t="s">
        <v>22</v>
      </c>
    </row>
    <row r="89" spans="10:12" x14ac:dyDescent="0.3">
      <c r="J89" t="s">
        <v>9</v>
      </c>
      <c r="K89">
        <v>10.8</v>
      </c>
      <c r="L89" t="s">
        <v>22</v>
      </c>
    </row>
  </sheetData>
  <hyperlinks>
    <hyperlink ref="E3" r:id="rId1" xr:uid="{EEFF627C-01A6-409D-A496-706F4F7273C9}"/>
    <hyperlink ref="E12" r:id="rId2" xr:uid="{FF8D64D3-5257-4AB5-B715-CF4CB39C1320}"/>
    <hyperlink ref="E27" r:id="rId3" xr:uid="{05FB6EB9-53F7-4B1D-AD2E-061F04D23D02}"/>
    <hyperlink ref="E43" r:id="rId4" xr:uid="{E0F23D3F-6591-4657-9946-203FB7BA1443}"/>
    <hyperlink ref="E49" r:id="rId5" xr:uid="{17E30351-BAE1-4B7B-8152-2638B8B23A64}"/>
    <hyperlink ref="E56" r:id="rId6" xr:uid="{4BA624D9-282C-455E-8055-AB6FD87E912E}"/>
    <hyperlink ref="E62" r:id="rId7" xr:uid="{30008366-BE62-4679-B400-027810079D3F}"/>
    <hyperlink ref="E69" r:id="rId8" xr:uid="{54D671B1-215C-4130-8FFD-9C89BA9F475D}"/>
  </hyperlinks>
  <pageMargins left="0.7" right="0.7" top="0.75" bottom="0.75" header="0.3" footer="0.3"/>
  <pageSetup paperSize="9" orientation="portrait" r:id="rId9"/>
  <drawing r:id="rId1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069CF-9287-455D-8E01-B9D1DDB3FE44}">
  <dimension ref="A1:T23"/>
  <sheetViews>
    <sheetView zoomScale="70" zoomScaleNormal="70" workbookViewId="0">
      <selection activeCell="F7" sqref="F7"/>
    </sheetView>
  </sheetViews>
  <sheetFormatPr defaultRowHeight="14.4" x14ac:dyDescent="0.3"/>
  <cols>
    <col min="7" max="7" width="1.33203125" style="7" customWidth="1"/>
    <col min="14" max="14" width="1.21875" style="3" customWidth="1"/>
    <col min="18" max="18" width="26.77734375" customWidth="1"/>
    <col min="19" max="19" width="12.77734375" customWidth="1"/>
  </cols>
  <sheetData>
    <row r="1" spans="1:20" x14ac:dyDescent="0.3">
      <c r="A1" s="2" t="s">
        <v>1</v>
      </c>
      <c r="B1" s="2" t="s">
        <v>2</v>
      </c>
      <c r="C1" s="2" t="s">
        <v>3</v>
      </c>
      <c r="D1" s="2" t="s">
        <v>21</v>
      </c>
      <c r="E1" s="2" t="s">
        <v>11</v>
      </c>
      <c r="I1" s="2" t="s">
        <v>1</v>
      </c>
      <c r="J1" s="2" t="s">
        <v>2</v>
      </c>
      <c r="K1" s="2" t="s">
        <v>3</v>
      </c>
      <c r="L1" s="2" t="s">
        <v>21</v>
      </c>
      <c r="Q1" s="2" t="s">
        <v>1</v>
      </c>
      <c r="R1" s="2" t="s">
        <v>2</v>
      </c>
      <c r="S1" s="2" t="s">
        <v>3</v>
      </c>
      <c r="T1" s="2" t="s">
        <v>21</v>
      </c>
    </row>
    <row r="2" spans="1:20" x14ac:dyDescent="0.3">
      <c r="A2" t="s">
        <v>173</v>
      </c>
      <c r="B2" t="s">
        <v>43</v>
      </c>
      <c r="C2" t="s">
        <v>22</v>
      </c>
      <c r="D2">
        <v>4.6500000000000004</v>
      </c>
      <c r="E2" t="s">
        <v>12</v>
      </c>
      <c r="I2" t="s">
        <v>175</v>
      </c>
      <c r="J2" t="s">
        <v>4</v>
      </c>
      <c r="K2">
        <v>0</v>
      </c>
      <c r="L2" t="s">
        <v>22</v>
      </c>
      <c r="Q2" t="s">
        <v>177</v>
      </c>
      <c r="R2" t="s">
        <v>4</v>
      </c>
      <c r="S2">
        <f>(K2+K13)/2</f>
        <v>0</v>
      </c>
      <c r="T2" t="s">
        <v>22</v>
      </c>
    </row>
    <row r="3" spans="1:20" x14ac:dyDescent="0.3">
      <c r="A3">
        <v>15</v>
      </c>
      <c r="B3" t="s">
        <v>44</v>
      </c>
      <c r="C3" t="s">
        <v>22</v>
      </c>
      <c r="D3">
        <v>0.05</v>
      </c>
      <c r="E3" s="15" t="s">
        <v>380</v>
      </c>
      <c r="F3" t="s">
        <v>185</v>
      </c>
      <c r="I3" t="s">
        <v>23</v>
      </c>
      <c r="J3" t="s">
        <v>24</v>
      </c>
      <c r="K3">
        <v>0</v>
      </c>
      <c r="L3" t="s">
        <v>22</v>
      </c>
      <c r="Q3" t="s">
        <v>23</v>
      </c>
      <c r="R3" t="s">
        <v>24</v>
      </c>
      <c r="S3">
        <f t="shared" ref="S3:S12" si="0">(K3+K14)/2</f>
        <v>0</v>
      </c>
      <c r="T3" t="s">
        <v>22</v>
      </c>
    </row>
    <row r="4" spans="1:20" x14ac:dyDescent="0.3">
      <c r="B4" t="s">
        <v>45</v>
      </c>
      <c r="C4" t="s">
        <v>22</v>
      </c>
      <c r="D4">
        <v>0.02</v>
      </c>
      <c r="J4" t="s">
        <v>25</v>
      </c>
      <c r="K4">
        <v>0</v>
      </c>
      <c r="L4" t="s">
        <v>22</v>
      </c>
      <c r="R4" t="s">
        <v>25</v>
      </c>
      <c r="S4">
        <f t="shared" si="0"/>
        <v>0</v>
      </c>
      <c r="T4" t="s">
        <v>22</v>
      </c>
    </row>
    <row r="5" spans="1:20" x14ac:dyDescent="0.3">
      <c r="A5" t="s">
        <v>174</v>
      </c>
      <c r="B5" t="s">
        <v>43</v>
      </c>
      <c r="C5" t="s">
        <v>22</v>
      </c>
      <c r="D5">
        <v>4.37</v>
      </c>
      <c r="E5" t="s">
        <v>12</v>
      </c>
      <c r="J5" t="s">
        <v>316</v>
      </c>
      <c r="K5">
        <f>0.05+0.02</f>
        <v>7.0000000000000007E-2</v>
      </c>
      <c r="L5" t="s">
        <v>22</v>
      </c>
      <c r="R5" t="s">
        <v>316</v>
      </c>
      <c r="S5">
        <f t="shared" si="0"/>
        <v>6.5000000000000002E-2</v>
      </c>
      <c r="T5" t="s">
        <v>22</v>
      </c>
    </row>
    <row r="6" spans="1:20" x14ac:dyDescent="0.3">
      <c r="A6">
        <v>15</v>
      </c>
      <c r="B6" t="s">
        <v>14</v>
      </c>
      <c r="C6" t="s">
        <v>22</v>
      </c>
      <c r="D6">
        <v>0.02</v>
      </c>
      <c r="E6" s="15" t="s">
        <v>380</v>
      </c>
      <c r="F6" t="s">
        <v>185</v>
      </c>
      <c r="J6" t="s">
        <v>26</v>
      </c>
      <c r="K6">
        <v>0</v>
      </c>
      <c r="L6" t="s">
        <v>22</v>
      </c>
      <c r="R6" t="s">
        <v>26</v>
      </c>
      <c r="S6">
        <f t="shared" si="0"/>
        <v>0</v>
      </c>
      <c r="T6" t="s">
        <v>22</v>
      </c>
    </row>
    <row r="7" spans="1:20" x14ac:dyDescent="0.3">
      <c r="B7" t="s">
        <v>44</v>
      </c>
      <c r="C7" t="s">
        <v>22</v>
      </c>
      <c r="D7">
        <v>0.04</v>
      </c>
      <c r="J7" t="s">
        <v>317</v>
      </c>
      <c r="K7">
        <v>0</v>
      </c>
      <c r="L7" t="s">
        <v>22</v>
      </c>
      <c r="R7" t="s">
        <v>317</v>
      </c>
      <c r="S7">
        <f t="shared" si="0"/>
        <v>0.01</v>
      </c>
      <c r="T7" t="s">
        <v>22</v>
      </c>
    </row>
    <row r="8" spans="1:20" x14ac:dyDescent="0.3">
      <c r="B8" t="s">
        <v>45</v>
      </c>
      <c r="C8" t="s">
        <v>22</v>
      </c>
      <c r="D8">
        <v>0.02</v>
      </c>
      <c r="J8" t="s">
        <v>27</v>
      </c>
      <c r="K8">
        <v>0</v>
      </c>
      <c r="L8" t="s">
        <v>22</v>
      </c>
      <c r="R8" t="s">
        <v>27</v>
      </c>
      <c r="S8">
        <f t="shared" si="0"/>
        <v>0</v>
      </c>
      <c r="T8" t="s">
        <v>22</v>
      </c>
    </row>
    <row r="9" spans="1:20" x14ac:dyDescent="0.3">
      <c r="B9" t="s">
        <v>46</v>
      </c>
      <c r="C9" t="s">
        <v>22</v>
      </c>
      <c r="D9">
        <v>0.2</v>
      </c>
      <c r="J9" t="s">
        <v>28</v>
      </c>
      <c r="K9">
        <v>0</v>
      </c>
      <c r="L9" t="s">
        <v>22</v>
      </c>
      <c r="R9" t="s">
        <v>28</v>
      </c>
      <c r="S9">
        <f t="shared" si="0"/>
        <v>0</v>
      </c>
      <c r="T9" t="s">
        <v>22</v>
      </c>
    </row>
    <row r="10" spans="1:20" x14ac:dyDescent="0.3">
      <c r="B10" t="s">
        <v>47</v>
      </c>
      <c r="C10" t="s">
        <v>22</v>
      </c>
      <c r="D10">
        <v>0.09</v>
      </c>
      <c r="J10" t="s">
        <v>5</v>
      </c>
      <c r="K10">
        <v>0</v>
      </c>
      <c r="L10" t="s">
        <v>22</v>
      </c>
      <c r="R10" t="s">
        <v>5</v>
      </c>
      <c r="S10">
        <f t="shared" si="0"/>
        <v>0</v>
      </c>
      <c r="T10" t="s">
        <v>22</v>
      </c>
    </row>
    <row r="11" spans="1:20" x14ac:dyDescent="0.3">
      <c r="B11" t="s">
        <v>48</v>
      </c>
      <c r="C11" t="s">
        <v>22</v>
      </c>
      <c r="D11">
        <v>0.7</v>
      </c>
      <c r="J11" t="s">
        <v>29</v>
      </c>
      <c r="K11">
        <v>0</v>
      </c>
      <c r="L11" t="s">
        <v>22</v>
      </c>
      <c r="R11" t="s">
        <v>29</v>
      </c>
      <c r="S11">
        <f t="shared" si="0"/>
        <v>0.14500000000000002</v>
      </c>
      <c r="T11" t="s">
        <v>22</v>
      </c>
    </row>
    <row r="12" spans="1:20" x14ac:dyDescent="0.3">
      <c r="J12" t="s">
        <v>9</v>
      </c>
      <c r="K12">
        <v>4.6500000000000004</v>
      </c>
      <c r="L12" t="s">
        <v>22</v>
      </c>
      <c r="R12" t="s">
        <v>9</v>
      </c>
      <c r="S12">
        <f t="shared" si="0"/>
        <v>4.8600000000000003</v>
      </c>
      <c r="T12" t="s">
        <v>22</v>
      </c>
    </row>
    <row r="13" spans="1:20" x14ac:dyDescent="0.3">
      <c r="I13" t="s">
        <v>176</v>
      </c>
      <c r="J13" t="s">
        <v>4</v>
      </c>
      <c r="K13">
        <v>0</v>
      </c>
      <c r="L13" t="s">
        <v>22</v>
      </c>
      <c r="Q13" t="s">
        <v>186</v>
      </c>
      <c r="S13">
        <f>SUM(S2:S12)</f>
        <v>5.08</v>
      </c>
    </row>
    <row r="14" spans="1:20" x14ac:dyDescent="0.3">
      <c r="I14" t="s">
        <v>23</v>
      </c>
      <c r="J14" t="s">
        <v>24</v>
      </c>
      <c r="K14">
        <v>0</v>
      </c>
      <c r="L14" t="s">
        <v>22</v>
      </c>
      <c r="Q14" t="s">
        <v>188</v>
      </c>
      <c r="S14">
        <f>(A6+A3)/2</f>
        <v>15</v>
      </c>
    </row>
    <row r="15" spans="1:20" x14ac:dyDescent="0.3">
      <c r="J15" t="s">
        <v>25</v>
      </c>
      <c r="K15">
        <v>0</v>
      </c>
      <c r="L15" t="s">
        <v>22</v>
      </c>
    </row>
    <row r="16" spans="1:20" x14ac:dyDescent="0.3">
      <c r="J16" t="s">
        <v>316</v>
      </c>
      <c r="K16">
        <f>0.04+0.02</f>
        <v>0.06</v>
      </c>
      <c r="L16" t="s">
        <v>22</v>
      </c>
    </row>
    <row r="17" spans="10:12" x14ac:dyDescent="0.3">
      <c r="J17" t="s">
        <v>26</v>
      </c>
      <c r="K17">
        <v>0</v>
      </c>
      <c r="L17" t="s">
        <v>22</v>
      </c>
    </row>
    <row r="18" spans="10:12" x14ac:dyDescent="0.3">
      <c r="J18" t="s">
        <v>317</v>
      </c>
      <c r="K18">
        <v>0.02</v>
      </c>
      <c r="L18" t="s">
        <v>22</v>
      </c>
    </row>
    <row r="19" spans="10:12" x14ac:dyDescent="0.3">
      <c r="J19" t="s">
        <v>27</v>
      </c>
      <c r="K19">
        <v>0</v>
      </c>
      <c r="L19" t="s">
        <v>22</v>
      </c>
    </row>
    <row r="20" spans="10:12" x14ac:dyDescent="0.3">
      <c r="J20" t="s">
        <v>28</v>
      </c>
      <c r="K20">
        <v>0</v>
      </c>
      <c r="L20" t="s">
        <v>22</v>
      </c>
    </row>
    <row r="21" spans="10:12" x14ac:dyDescent="0.3">
      <c r="J21" t="s">
        <v>5</v>
      </c>
      <c r="K21">
        <v>0</v>
      </c>
      <c r="L21" t="s">
        <v>22</v>
      </c>
    </row>
    <row r="22" spans="10:12" x14ac:dyDescent="0.3">
      <c r="J22" t="s">
        <v>29</v>
      </c>
      <c r="K22">
        <f>0.2+0.09</f>
        <v>0.29000000000000004</v>
      </c>
      <c r="L22" t="s">
        <v>22</v>
      </c>
    </row>
    <row r="23" spans="10:12" x14ac:dyDescent="0.3">
      <c r="J23" t="s">
        <v>9</v>
      </c>
      <c r="K23">
        <f>4.37+0.7</f>
        <v>5.07</v>
      </c>
      <c r="L23" t="s">
        <v>22</v>
      </c>
    </row>
  </sheetData>
  <hyperlinks>
    <hyperlink ref="E3" r:id="rId1" xr:uid="{60D2AEE9-FC05-4873-8F21-2C2C3C64C488}"/>
    <hyperlink ref="E6" r:id="rId2" xr:uid="{C74B8FC1-EF4D-4123-BBFC-BE0918FF33E0}"/>
  </hyperlinks>
  <pageMargins left="0.7" right="0.7" top="0.75" bottom="0.75" header="0.3" footer="0.3"/>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C8091-D893-498D-B8EC-A255914DBA86}">
  <dimension ref="A1:V78"/>
  <sheetViews>
    <sheetView zoomScale="85" zoomScaleNormal="85" workbookViewId="0">
      <selection activeCell="F34" sqref="F34"/>
    </sheetView>
  </sheetViews>
  <sheetFormatPr defaultRowHeight="14.4" x14ac:dyDescent="0.3"/>
  <cols>
    <col min="1" max="1" width="39" customWidth="1"/>
    <col min="2" max="2" width="31.5546875" customWidth="1"/>
    <col min="3" max="3" width="21.6640625" customWidth="1"/>
    <col min="4" max="4" width="11.33203125" customWidth="1"/>
    <col min="6" max="6" width="16" customWidth="1"/>
    <col min="8" max="8" width="0.77734375" style="3" customWidth="1"/>
    <col min="10" max="10" width="39.33203125" customWidth="1"/>
    <col min="11" max="11" width="30" customWidth="1"/>
    <col min="14" max="14" width="11.5546875" customWidth="1"/>
    <col min="16" max="16" width="1.21875" style="3" customWidth="1"/>
    <col min="19" max="19" width="24.109375" customWidth="1"/>
    <col min="20" max="20" width="27.109375" customWidth="1"/>
  </cols>
  <sheetData>
    <row r="1" spans="1:22" x14ac:dyDescent="0.3">
      <c r="A1" s="2" t="s">
        <v>1</v>
      </c>
      <c r="B1" s="2" t="s">
        <v>2</v>
      </c>
      <c r="C1" s="2" t="s">
        <v>21</v>
      </c>
      <c r="D1" s="2" t="s">
        <v>3</v>
      </c>
      <c r="E1" s="2" t="s">
        <v>11</v>
      </c>
      <c r="F1" s="2" t="s">
        <v>35</v>
      </c>
      <c r="J1" s="2" t="s">
        <v>1</v>
      </c>
      <c r="K1" s="2" t="s">
        <v>2</v>
      </c>
      <c r="L1" s="2" t="s">
        <v>3</v>
      </c>
      <c r="M1" s="2" t="s">
        <v>21</v>
      </c>
      <c r="N1" s="2" t="s">
        <v>134</v>
      </c>
      <c r="S1" s="2" t="s">
        <v>1</v>
      </c>
      <c r="T1" s="2" t="s">
        <v>2</v>
      </c>
      <c r="U1" s="2" t="s">
        <v>3</v>
      </c>
      <c r="V1" s="2" t="s">
        <v>21</v>
      </c>
    </row>
    <row r="2" spans="1:22" x14ac:dyDescent="0.3">
      <c r="A2" t="s">
        <v>36</v>
      </c>
      <c r="B2" t="s">
        <v>5</v>
      </c>
      <c r="C2" t="s">
        <v>22</v>
      </c>
      <c r="D2">
        <f>F2/100*$G$2</f>
        <v>56.42</v>
      </c>
      <c r="E2" t="s">
        <v>12</v>
      </c>
      <c r="F2">
        <v>62</v>
      </c>
      <c r="G2">
        <v>91</v>
      </c>
      <c r="J2" t="s">
        <v>36</v>
      </c>
      <c r="K2" t="s">
        <v>4</v>
      </c>
      <c r="L2">
        <v>0</v>
      </c>
      <c r="M2" t="s">
        <v>22</v>
      </c>
      <c r="S2" t="s">
        <v>178</v>
      </c>
      <c r="T2" t="s">
        <v>4</v>
      </c>
      <c r="U2">
        <f>(L2+L13+L24+L35+L46+L57+L68)/7</f>
        <v>0</v>
      </c>
    </row>
    <row r="3" spans="1:22" x14ac:dyDescent="0.3">
      <c r="A3">
        <v>15</v>
      </c>
      <c r="B3" t="s">
        <v>32</v>
      </c>
      <c r="C3" t="s">
        <v>22</v>
      </c>
      <c r="D3">
        <f>F3/100*$G$2</f>
        <v>9.0999999999999998E-2</v>
      </c>
      <c r="E3" s="15" t="s">
        <v>423</v>
      </c>
      <c r="F3">
        <v>0.1</v>
      </c>
      <c r="K3" t="s">
        <v>24</v>
      </c>
      <c r="L3">
        <v>36.4</v>
      </c>
      <c r="M3" t="s">
        <v>22</v>
      </c>
      <c r="T3" t="s">
        <v>24</v>
      </c>
      <c r="U3">
        <f t="shared" ref="U3:U12" si="0">(L3+L14+L25+L36+L47+L58+L69)/7</f>
        <v>21.568571428571428</v>
      </c>
    </row>
    <row r="4" spans="1:22" x14ac:dyDescent="0.3">
      <c r="B4" t="s">
        <v>24</v>
      </c>
      <c r="C4" t="s">
        <v>22</v>
      </c>
      <c r="D4">
        <f>F4/100*$G$2</f>
        <v>36.4</v>
      </c>
      <c r="F4">
        <v>40</v>
      </c>
      <c r="K4" t="s">
        <v>25</v>
      </c>
      <c r="L4">
        <v>0</v>
      </c>
      <c r="M4" t="s">
        <v>22</v>
      </c>
      <c r="T4" t="s">
        <v>25</v>
      </c>
      <c r="U4">
        <f t="shared" si="0"/>
        <v>0</v>
      </c>
    </row>
    <row r="5" spans="1:22" x14ac:dyDescent="0.3">
      <c r="B5" t="s">
        <v>33</v>
      </c>
      <c r="C5" t="s">
        <v>22</v>
      </c>
      <c r="D5">
        <f>F5/100*$G$2</f>
        <v>0.182</v>
      </c>
      <c r="F5">
        <v>0.2</v>
      </c>
      <c r="K5" t="s">
        <v>316</v>
      </c>
      <c r="L5">
        <v>0</v>
      </c>
      <c r="M5" t="s">
        <v>22</v>
      </c>
      <c r="T5" t="s">
        <v>316</v>
      </c>
      <c r="U5">
        <f t="shared" si="0"/>
        <v>0</v>
      </c>
    </row>
    <row r="6" spans="1:22" x14ac:dyDescent="0.3">
      <c r="B6" t="s">
        <v>34</v>
      </c>
      <c r="C6" t="s">
        <v>22</v>
      </c>
      <c r="D6">
        <f>F6/100*$G$2</f>
        <v>0.182</v>
      </c>
      <c r="F6">
        <v>0.2</v>
      </c>
      <c r="K6" t="s">
        <v>26</v>
      </c>
      <c r="L6">
        <v>0</v>
      </c>
      <c r="M6" t="s">
        <v>22</v>
      </c>
      <c r="T6" t="s">
        <v>26</v>
      </c>
      <c r="U6">
        <f t="shared" si="0"/>
        <v>0</v>
      </c>
    </row>
    <row r="7" spans="1:22" x14ac:dyDescent="0.3">
      <c r="A7" t="s">
        <v>37</v>
      </c>
      <c r="B7" t="s">
        <v>5</v>
      </c>
      <c r="C7" t="s">
        <v>22</v>
      </c>
      <c r="D7">
        <f>F7/100*$G$7</f>
        <v>44.4</v>
      </c>
      <c r="E7" t="s">
        <v>12</v>
      </c>
      <c r="F7">
        <v>60</v>
      </c>
      <c r="G7">
        <v>74</v>
      </c>
      <c r="K7" t="s">
        <v>317</v>
      </c>
      <c r="L7">
        <v>0.182</v>
      </c>
      <c r="M7" t="s">
        <v>22</v>
      </c>
      <c r="N7" t="s">
        <v>135</v>
      </c>
      <c r="T7" t="s">
        <v>317</v>
      </c>
      <c r="U7">
        <f t="shared" si="0"/>
        <v>9.0571428571428567E-2</v>
      </c>
    </row>
    <row r="8" spans="1:22" x14ac:dyDescent="0.3">
      <c r="A8">
        <v>15</v>
      </c>
      <c r="B8" t="s">
        <v>32</v>
      </c>
      <c r="C8" t="s">
        <v>22</v>
      </c>
      <c r="D8">
        <f>F8/100*$G$7</f>
        <v>7.3999999999999996E-2</v>
      </c>
      <c r="E8" s="15" t="s">
        <v>423</v>
      </c>
      <c r="F8">
        <v>0.1</v>
      </c>
      <c r="K8" t="s">
        <v>27</v>
      </c>
      <c r="L8">
        <v>0</v>
      </c>
      <c r="M8" t="s">
        <v>22</v>
      </c>
      <c r="T8" t="s">
        <v>27</v>
      </c>
      <c r="U8">
        <f t="shared" si="0"/>
        <v>0</v>
      </c>
    </row>
    <row r="9" spans="1:22" x14ac:dyDescent="0.3">
      <c r="B9" t="s">
        <v>24</v>
      </c>
      <c r="C9" t="s">
        <v>22</v>
      </c>
      <c r="D9">
        <f>F9/100*$G$7</f>
        <v>33.300000000000004</v>
      </c>
      <c r="F9">
        <v>45</v>
      </c>
      <c r="K9" t="s">
        <v>28</v>
      </c>
      <c r="L9">
        <f>0.091+0.182</f>
        <v>0.27300000000000002</v>
      </c>
      <c r="M9" t="s">
        <v>22</v>
      </c>
      <c r="T9" t="s">
        <v>28</v>
      </c>
      <c r="U9">
        <f t="shared" si="0"/>
        <v>0.4048571428571428</v>
      </c>
    </row>
    <row r="10" spans="1:22" x14ac:dyDescent="0.3">
      <c r="B10" t="s">
        <v>33</v>
      </c>
      <c r="C10" t="s">
        <v>22</v>
      </c>
      <c r="D10">
        <f>F10/100*$G$7</f>
        <v>0.111</v>
      </c>
      <c r="F10">
        <v>0.15</v>
      </c>
      <c r="K10" t="s">
        <v>5</v>
      </c>
      <c r="L10">
        <v>56.42</v>
      </c>
      <c r="M10" t="s">
        <v>22</v>
      </c>
      <c r="T10" t="s">
        <v>5</v>
      </c>
      <c r="U10">
        <f t="shared" si="0"/>
        <v>41.31</v>
      </c>
    </row>
    <row r="11" spans="1:22" x14ac:dyDescent="0.3">
      <c r="B11" t="s">
        <v>34</v>
      </c>
      <c r="C11" t="s">
        <v>22</v>
      </c>
      <c r="D11">
        <f>F11/100*$G$7</f>
        <v>0</v>
      </c>
      <c r="F11">
        <v>0</v>
      </c>
      <c r="K11" t="s">
        <v>29</v>
      </c>
      <c r="L11">
        <v>0</v>
      </c>
      <c r="M11" t="s">
        <v>22</v>
      </c>
      <c r="T11" t="s">
        <v>29</v>
      </c>
      <c r="U11">
        <f t="shared" si="0"/>
        <v>0</v>
      </c>
    </row>
    <row r="12" spans="1:22" x14ac:dyDescent="0.3">
      <c r="A12" t="s">
        <v>38</v>
      </c>
      <c r="B12" t="s">
        <v>5</v>
      </c>
      <c r="C12" t="s">
        <v>22</v>
      </c>
      <c r="D12">
        <f>F12/100*$G$12</f>
        <v>44.4</v>
      </c>
      <c r="E12" t="s">
        <v>12</v>
      </c>
      <c r="F12">
        <v>60</v>
      </c>
      <c r="G12">
        <v>74</v>
      </c>
      <c r="K12" t="s">
        <v>9</v>
      </c>
      <c r="L12">
        <v>0</v>
      </c>
      <c r="M12" t="s">
        <v>22</v>
      </c>
      <c r="T12" t="s">
        <v>9</v>
      </c>
      <c r="U12">
        <f t="shared" si="0"/>
        <v>0</v>
      </c>
    </row>
    <row r="13" spans="1:22" x14ac:dyDescent="0.3">
      <c r="A13">
        <v>15</v>
      </c>
      <c r="B13" t="s">
        <v>32</v>
      </c>
      <c r="C13" t="s">
        <v>22</v>
      </c>
      <c r="D13">
        <f>F13/100*$G$12</f>
        <v>7.3999999999999996E-2</v>
      </c>
      <c r="E13" s="15" t="s">
        <v>423</v>
      </c>
      <c r="F13">
        <v>0.1</v>
      </c>
      <c r="J13" t="s">
        <v>37</v>
      </c>
      <c r="K13" t="s">
        <v>4</v>
      </c>
      <c r="L13">
        <v>0</v>
      </c>
      <c r="M13" t="s">
        <v>22</v>
      </c>
      <c r="S13" t="s">
        <v>186</v>
      </c>
      <c r="U13">
        <f>SUM(U2:U12)</f>
        <v>63.374000000000002</v>
      </c>
    </row>
    <row r="14" spans="1:22" x14ac:dyDescent="0.3">
      <c r="B14" t="s">
        <v>24</v>
      </c>
      <c r="C14" t="s">
        <v>22</v>
      </c>
      <c r="D14">
        <f>F14/100*$G$12</f>
        <v>33.300000000000004</v>
      </c>
      <c r="F14">
        <v>45</v>
      </c>
      <c r="K14" t="s">
        <v>24</v>
      </c>
      <c r="L14">
        <v>33.300000000000004</v>
      </c>
      <c r="M14" t="s">
        <v>22</v>
      </c>
      <c r="S14" t="s">
        <v>188</v>
      </c>
      <c r="U14">
        <f>(A3+A8+A13+A18+A23+A28+A33)/7</f>
        <v>15</v>
      </c>
    </row>
    <row r="15" spans="1:22" x14ac:dyDescent="0.3">
      <c r="B15" t="s">
        <v>33</v>
      </c>
      <c r="C15" t="s">
        <v>22</v>
      </c>
      <c r="D15">
        <f>F15/100*$G$12</f>
        <v>0.14799999999999999</v>
      </c>
      <c r="F15">
        <v>0.2</v>
      </c>
      <c r="K15" t="s">
        <v>25</v>
      </c>
      <c r="L15">
        <v>0</v>
      </c>
      <c r="M15" t="s">
        <v>22</v>
      </c>
    </row>
    <row r="16" spans="1:22" x14ac:dyDescent="0.3">
      <c r="B16" t="s">
        <v>34</v>
      </c>
      <c r="C16" t="s">
        <v>22</v>
      </c>
      <c r="D16">
        <f>F16/100*$G$12</f>
        <v>0</v>
      </c>
      <c r="F16">
        <v>0</v>
      </c>
      <c r="K16" t="s">
        <v>316</v>
      </c>
      <c r="L16">
        <v>0</v>
      </c>
      <c r="M16" t="s">
        <v>22</v>
      </c>
    </row>
    <row r="17" spans="1:14" x14ac:dyDescent="0.3">
      <c r="A17" t="s">
        <v>39</v>
      </c>
      <c r="B17" t="s">
        <v>5</v>
      </c>
      <c r="C17" t="s">
        <v>22</v>
      </c>
      <c r="D17">
        <f>F17/100*$G$17</f>
        <v>50.15</v>
      </c>
      <c r="E17" t="s">
        <v>12</v>
      </c>
      <c r="F17">
        <v>85</v>
      </c>
      <c r="G17">
        <v>59</v>
      </c>
      <c r="K17" t="s">
        <v>26</v>
      </c>
      <c r="L17">
        <v>0</v>
      </c>
      <c r="M17" t="s">
        <v>22</v>
      </c>
    </row>
    <row r="18" spans="1:14" x14ac:dyDescent="0.3">
      <c r="A18">
        <v>15</v>
      </c>
      <c r="B18" t="s">
        <v>32</v>
      </c>
      <c r="C18" t="s">
        <v>22</v>
      </c>
      <c r="D18">
        <f>F18/100*$G$17</f>
        <v>0.11800000000000001</v>
      </c>
      <c r="E18" s="15" t="s">
        <v>423</v>
      </c>
      <c r="F18">
        <v>0.2</v>
      </c>
      <c r="K18" t="s">
        <v>317</v>
      </c>
      <c r="L18">
        <v>0.111</v>
      </c>
      <c r="M18" t="s">
        <v>22</v>
      </c>
      <c r="N18" t="s">
        <v>135</v>
      </c>
    </row>
    <row r="19" spans="1:14" x14ac:dyDescent="0.3">
      <c r="B19" t="s">
        <v>24</v>
      </c>
      <c r="C19" t="s">
        <v>22</v>
      </c>
      <c r="D19">
        <f>F19/100*$G$17</f>
        <v>11.8</v>
      </c>
      <c r="F19">
        <v>20</v>
      </c>
      <c r="K19" t="s">
        <v>27</v>
      </c>
      <c r="L19">
        <v>0</v>
      </c>
      <c r="M19" t="s">
        <v>22</v>
      </c>
    </row>
    <row r="20" spans="1:14" x14ac:dyDescent="0.3">
      <c r="B20" t="s">
        <v>33</v>
      </c>
      <c r="C20" t="s">
        <v>22</v>
      </c>
      <c r="D20">
        <f>F20/100*$G$17</f>
        <v>5.9000000000000004E-2</v>
      </c>
      <c r="F20">
        <v>0.1</v>
      </c>
      <c r="K20" t="s">
        <v>28</v>
      </c>
      <c r="L20">
        <v>7.3999999999999996E-2</v>
      </c>
      <c r="M20" t="s">
        <v>22</v>
      </c>
    </row>
    <row r="21" spans="1:14" x14ac:dyDescent="0.3">
      <c r="B21" t="s">
        <v>34</v>
      </c>
      <c r="C21" t="s">
        <v>22</v>
      </c>
      <c r="D21">
        <f>F21/100*$G$17</f>
        <v>0.88500000000000001</v>
      </c>
      <c r="F21">
        <v>1.5</v>
      </c>
      <c r="K21" t="s">
        <v>5</v>
      </c>
      <c r="L21">
        <v>44.4</v>
      </c>
      <c r="M21" t="s">
        <v>22</v>
      </c>
    </row>
    <row r="22" spans="1:14" x14ac:dyDescent="0.3">
      <c r="A22" t="s">
        <v>126</v>
      </c>
      <c r="B22" t="s">
        <v>5</v>
      </c>
      <c r="C22" t="s">
        <v>22</v>
      </c>
      <c r="D22">
        <v>30.099999999999998</v>
      </c>
      <c r="E22" t="s">
        <v>12</v>
      </c>
      <c r="K22" t="s">
        <v>29</v>
      </c>
      <c r="L22">
        <v>0</v>
      </c>
      <c r="M22" t="s">
        <v>22</v>
      </c>
    </row>
    <row r="23" spans="1:14" x14ac:dyDescent="0.3">
      <c r="A23">
        <v>15</v>
      </c>
      <c r="B23" t="s">
        <v>127</v>
      </c>
      <c r="C23" t="s">
        <v>22</v>
      </c>
      <c r="D23">
        <v>4.3000000000000003E-2</v>
      </c>
      <c r="E23" s="15" t="s">
        <v>424</v>
      </c>
      <c r="F23" t="s">
        <v>185</v>
      </c>
      <c r="K23" t="s">
        <v>9</v>
      </c>
      <c r="L23">
        <v>0</v>
      </c>
      <c r="M23" t="s">
        <v>22</v>
      </c>
    </row>
    <row r="24" spans="1:14" x14ac:dyDescent="0.3">
      <c r="B24" t="s">
        <v>24</v>
      </c>
      <c r="C24" t="s">
        <v>22</v>
      </c>
      <c r="D24">
        <v>11.610000000000001</v>
      </c>
      <c r="J24" t="s">
        <v>38</v>
      </c>
      <c r="K24" t="s">
        <v>4</v>
      </c>
      <c r="L24">
        <v>0</v>
      </c>
      <c r="M24" t="s">
        <v>22</v>
      </c>
    </row>
    <row r="25" spans="1:14" x14ac:dyDescent="0.3">
      <c r="B25" t="s">
        <v>33</v>
      </c>
      <c r="C25" t="s">
        <v>22</v>
      </c>
      <c r="D25">
        <v>4.3000000000000003E-2</v>
      </c>
      <c r="K25" t="s">
        <v>24</v>
      </c>
      <c r="L25">
        <v>33.300000000000004</v>
      </c>
      <c r="M25" t="s">
        <v>22</v>
      </c>
    </row>
    <row r="26" spans="1:14" x14ac:dyDescent="0.3">
      <c r="B26" t="s">
        <v>34</v>
      </c>
      <c r="C26" t="s">
        <v>22</v>
      </c>
      <c r="D26">
        <v>0.43</v>
      </c>
      <c r="K26" t="s">
        <v>25</v>
      </c>
      <c r="L26">
        <v>0</v>
      </c>
      <c r="M26" t="s">
        <v>22</v>
      </c>
    </row>
    <row r="27" spans="1:14" x14ac:dyDescent="0.3">
      <c r="A27" t="s">
        <v>128</v>
      </c>
      <c r="B27" t="s">
        <v>5</v>
      </c>
      <c r="C27" t="s">
        <v>22</v>
      </c>
      <c r="D27">
        <v>31.499999999999996</v>
      </c>
      <c r="E27" t="s">
        <v>12</v>
      </c>
      <c r="K27" t="s">
        <v>316</v>
      </c>
      <c r="L27">
        <v>0</v>
      </c>
      <c r="M27" t="s">
        <v>22</v>
      </c>
    </row>
    <row r="28" spans="1:14" x14ac:dyDescent="0.3">
      <c r="A28">
        <v>15</v>
      </c>
      <c r="B28" t="s">
        <v>127</v>
      </c>
      <c r="C28" t="s">
        <v>22</v>
      </c>
      <c r="D28">
        <v>4.4999999999999998E-2</v>
      </c>
      <c r="E28" s="15" t="s">
        <v>424</v>
      </c>
      <c r="F28" t="s">
        <v>185</v>
      </c>
      <c r="K28" t="s">
        <v>26</v>
      </c>
      <c r="L28">
        <v>0</v>
      </c>
      <c r="M28" t="s">
        <v>22</v>
      </c>
    </row>
    <row r="29" spans="1:14" x14ac:dyDescent="0.3">
      <c r="B29" t="s">
        <v>24</v>
      </c>
      <c r="C29" t="s">
        <v>22</v>
      </c>
      <c r="D29">
        <v>12.15</v>
      </c>
      <c r="K29" t="s">
        <v>317</v>
      </c>
      <c r="L29">
        <v>0.14799999999999999</v>
      </c>
      <c r="M29" t="s">
        <v>22</v>
      </c>
      <c r="N29" t="s">
        <v>135</v>
      </c>
    </row>
    <row r="30" spans="1:14" x14ac:dyDescent="0.3">
      <c r="B30" t="s">
        <v>33</v>
      </c>
      <c r="C30" t="s">
        <v>22</v>
      </c>
      <c r="D30">
        <v>4.4999999999999998E-2</v>
      </c>
      <c r="K30" t="s">
        <v>27</v>
      </c>
      <c r="L30">
        <v>0</v>
      </c>
      <c r="M30" t="s">
        <v>22</v>
      </c>
    </row>
    <row r="31" spans="1:14" x14ac:dyDescent="0.3">
      <c r="B31" t="s">
        <v>34</v>
      </c>
      <c r="C31" t="s">
        <v>22</v>
      </c>
      <c r="D31">
        <v>0.45</v>
      </c>
      <c r="K31" t="s">
        <v>28</v>
      </c>
      <c r="L31">
        <f>N31/100*$G$12</f>
        <v>0</v>
      </c>
      <c r="M31" t="s">
        <v>22</v>
      </c>
    </row>
    <row r="32" spans="1:14" x14ac:dyDescent="0.3">
      <c r="A32" t="s">
        <v>129</v>
      </c>
      <c r="B32" t="s">
        <v>5</v>
      </c>
      <c r="C32" t="s">
        <v>22</v>
      </c>
      <c r="D32">
        <v>32.199999999999996</v>
      </c>
      <c r="E32" t="s">
        <v>12</v>
      </c>
      <c r="K32" t="s">
        <v>5</v>
      </c>
      <c r="L32">
        <v>44.4</v>
      </c>
      <c r="M32" t="s">
        <v>22</v>
      </c>
    </row>
    <row r="33" spans="1:14" x14ac:dyDescent="0.3">
      <c r="A33">
        <v>15</v>
      </c>
      <c r="B33" t="s">
        <v>127</v>
      </c>
      <c r="C33" t="s">
        <v>22</v>
      </c>
      <c r="D33">
        <v>4.5999999999999999E-2</v>
      </c>
      <c r="E33" s="15" t="s">
        <v>424</v>
      </c>
      <c r="F33" t="s">
        <v>185</v>
      </c>
      <c r="K33" t="s">
        <v>29</v>
      </c>
      <c r="L33">
        <v>0</v>
      </c>
      <c r="M33" t="s">
        <v>22</v>
      </c>
    </row>
    <row r="34" spans="1:14" x14ac:dyDescent="0.3">
      <c r="B34" t="s">
        <v>24</v>
      </c>
      <c r="C34" t="s">
        <v>22</v>
      </c>
      <c r="D34">
        <v>12.420000000000002</v>
      </c>
      <c r="K34" t="s">
        <v>9</v>
      </c>
      <c r="L34">
        <v>0</v>
      </c>
      <c r="M34" t="s">
        <v>22</v>
      </c>
    </row>
    <row r="35" spans="1:14" x14ac:dyDescent="0.3">
      <c r="B35" t="s">
        <v>33</v>
      </c>
      <c r="C35" t="s">
        <v>22</v>
      </c>
      <c r="D35">
        <v>4.5999999999999999E-2</v>
      </c>
      <c r="J35" t="s">
        <v>39</v>
      </c>
      <c r="K35" t="s">
        <v>4</v>
      </c>
      <c r="L35">
        <v>0</v>
      </c>
      <c r="M35" t="s">
        <v>22</v>
      </c>
    </row>
    <row r="36" spans="1:14" x14ac:dyDescent="0.3">
      <c r="B36" t="s">
        <v>34</v>
      </c>
      <c r="C36" t="s">
        <v>22</v>
      </c>
      <c r="D36">
        <v>0.46</v>
      </c>
      <c r="K36" t="s">
        <v>24</v>
      </c>
      <c r="L36">
        <v>11.8</v>
      </c>
      <c r="M36" t="s">
        <v>22</v>
      </c>
    </row>
    <row r="37" spans="1:14" x14ac:dyDescent="0.3">
      <c r="K37" t="s">
        <v>25</v>
      </c>
      <c r="L37">
        <v>0</v>
      </c>
      <c r="M37" t="s">
        <v>22</v>
      </c>
    </row>
    <row r="38" spans="1:14" x14ac:dyDescent="0.3">
      <c r="K38" t="s">
        <v>316</v>
      </c>
      <c r="L38">
        <v>0</v>
      </c>
      <c r="M38" t="s">
        <v>22</v>
      </c>
    </row>
    <row r="39" spans="1:14" x14ac:dyDescent="0.3">
      <c r="K39" t="s">
        <v>26</v>
      </c>
      <c r="L39">
        <v>0</v>
      </c>
      <c r="M39" t="s">
        <v>22</v>
      </c>
    </row>
    <row r="40" spans="1:14" x14ac:dyDescent="0.3">
      <c r="K40" t="s">
        <v>317</v>
      </c>
      <c r="L40">
        <v>5.8999999999999997E-2</v>
      </c>
      <c r="M40" t="s">
        <v>22</v>
      </c>
      <c r="N40" t="s">
        <v>135</v>
      </c>
    </row>
    <row r="41" spans="1:14" x14ac:dyDescent="0.3">
      <c r="D41" s="12"/>
      <c r="K41" t="s">
        <v>27</v>
      </c>
      <c r="M41" t="s">
        <v>22</v>
      </c>
    </row>
    <row r="42" spans="1:14" x14ac:dyDescent="0.3">
      <c r="D42" s="12"/>
      <c r="K42" t="s">
        <v>28</v>
      </c>
      <c r="L42">
        <f>0.118+0.885</f>
        <v>1.0030000000000001</v>
      </c>
      <c r="M42" t="s">
        <v>22</v>
      </c>
    </row>
    <row r="43" spans="1:14" x14ac:dyDescent="0.3">
      <c r="D43" s="12"/>
      <c r="K43" t="s">
        <v>5</v>
      </c>
      <c r="L43">
        <v>50.15</v>
      </c>
      <c r="M43" t="s">
        <v>22</v>
      </c>
    </row>
    <row r="44" spans="1:14" x14ac:dyDescent="0.3">
      <c r="D44" s="12"/>
      <c r="K44" t="s">
        <v>29</v>
      </c>
      <c r="L44">
        <v>0</v>
      </c>
      <c r="M44" t="s">
        <v>22</v>
      </c>
    </row>
    <row r="45" spans="1:14" x14ac:dyDescent="0.3">
      <c r="D45" s="12"/>
      <c r="K45" t="s">
        <v>9</v>
      </c>
      <c r="L45">
        <v>0</v>
      </c>
      <c r="M45" t="s">
        <v>22</v>
      </c>
    </row>
    <row r="46" spans="1:14" x14ac:dyDescent="0.3">
      <c r="D46" s="12"/>
      <c r="J46" t="s">
        <v>126</v>
      </c>
      <c r="K46" t="s">
        <v>4</v>
      </c>
      <c r="L46">
        <v>0</v>
      </c>
      <c r="M46" t="s">
        <v>22</v>
      </c>
    </row>
    <row r="47" spans="1:14" x14ac:dyDescent="0.3">
      <c r="D47" s="12"/>
      <c r="J47" t="s">
        <v>23</v>
      </c>
      <c r="K47" t="s">
        <v>24</v>
      </c>
      <c r="L47">
        <v>11.61</v>
      </c>
      <c r="M47" t="s">
        <v>22</v>
      </c>
    </row>
    <row r="48" spans="1:14" x14ac:dyDescent="0.3">
      <c r="D48" s="12"/>
      <c r="K48" t="s">
        <v>25</v>
      </c>
      <c r="L48">
        <v>0</v>
      </c>
      <c r="M48" t="s">
        <v>22</v>
      </c>
    </row>
    <row r="49" spans="4:13" x14ac:dyDescent="0.3">
      <c r="D49" s="12"/>
      <c r="K49" t="s">
        <v>316</v>
      </c>
      <c r="L49">
        <v>0</v>
      </c>
      <c r="M49" t="s">
        <v>22</v>
      </c>
    </row>
    <row r="50" spans="4:13" x14ac:dyDescent="0.3">
      <c r="D50" s="12"/>
      <c r="K50" t="s">
        <v>26</v>
      </c>
      <c r="L50">
        <v>0</v>
      </c>
      <c r="M50" t="s">
        <v>22</v>
      </c>
    </row>
    <row r="51" spans="4:13" x14ac:dyDescent="0.3">
      <c r="D51" s="12"/>
      <c r="K51" t="s">
        <v>317</v>
      </c>
      <c r="L51">
        <v>4.2999999999999997E-2</v>
      </c>
      <c r="M51" t="s">
        <v>22</v>
      </c>
    </row>
    <row r="52" spans="4:13" x14ac:dyDescent="0.3">
      <c r="D52" s="12"/>
      <c r="K52" t="s">
        <v>27</v>
      </c>
      <c r="L52">
        <v>0</v>
      </c>
      <c r="M52" t="s">
        <v>22</v>
      </c>
    </row>
    <row r="53" spans="4:13" x14ac:dyDescent="0.3">
      <c r="D53" s="12"/>
      <c r="K53" t="s">
        <v>28</v>
      </c>
      <c r="L53">
        <f>0.043+0.43</f>
        <v>0.47299999999999998</v>
      </c>
      <c r="M53" t="s">
        <v>22</v>
      </c>
    </row>
    <row r="54" spans="4:13" x14ac:dyDescent="0.3">
      <c r="D54" s="12"/>
      <c r="K54" t="s">
        <v>5</v>
      </c>
      <c r="L54">
        <v>30.1</v>
      </c>
      <c r="M54" t="s">
        <v>22</v>
      </c>
    </row>
    <row r="55" spans="4:13" x14ac:dyDescent="0.3">
      <c r="D55" s="12"/>
      <c r="K55" t="s">
        <v>29</v>
      </c>
      <c r="L55">
        <v>0</v>
      </c>
      <c r="M55" t="s">
        <v>22</v>
      </c>
    </row>
    <row r="56" spans="4:13" x14ac:dyDescent="0.3">
      <c r="D56" s="13"/>
      <c r="K56" t="s">
        <v>9</v>
      </c>
      <c r="L56">
        <v>0</v>
      </c>
      <c r="M56" t="s">
        <v>22</v>
      </c>
    </row>
    <row r="57" spans="4:13" x14ac:dyDescent="0.3">
      <c r="J57" t="s">
        <v>128</v>
      </c>
      <c r="K57" t="s">
        <v>4</v>
      </c>
      <c r="L57">
        <v>0</v>
      </c>
      <c r="M57" t="s">
        <v>22</v>
      </c>
    </row>
    <row r="58" spans="4:13" x14ac:dyDescent="0.3">
      <c r="J58" t="s">
        <v>23</v>
      </c>
      <c r="K58" t="s">
        <v>24</v>
      </c>
      <c r="L58">
        <v>12.15</v>
      </c>
      <c r="M58" t="s">
        <v>22</v>
      </c>
    </row>
    <row r="59" spans="4:13" x14ac:dyDescent="0.3">
      <c r="K59" t="s">
        <v>25</v>
      </c>
      <c r="L59">
        <v>0</v>
      </c>
      <c r="M59" t="s">
        <v>22</v>
      </c>
    </row>
    <row r="60" spans="4:13" x14ac:dyDescent="0.3">
      <c r="K60" t="s">
        <v>316</v>
      </c>
      <c r="L60">
        <v>0</v>
      </c>
      <c r="M60" t="s">
        <v>22</v>
      </c>
    </row>
    <row r="61" spans="4:13" x14ac:dyDescent="0.3">
      <c r="K61" t="s">
        <v>26</v>
      </c>
      <c r="L61">
        <v>0</v>
      </c>
      <c r="M61" t="s">
        <v>22</v>
      </c>
    </row>
    <row r="62" spans="4:13" x14ac:dyDescent="0.3">
      <c r="K62" t="s">
        <v>317</v>
      </c>
      <c r="L62">
        <v>4.4999999999999998E-2</v>
      </c>
      <c r="M62" t="s">
        <v>22</v>
      </c>
    </row>
    <row r="63" spans="4:13" x14ac:dyDescent="0.3">
      <c r="K63" t="s">
        <v>27</v>
      </c>
      <c r="L63">
        <v>0</v>
      </c>
      <c r="M63" t="s">
        <v>22</v>
      </c>
    </row>
    <row r="64" spans="4:13" x14ac:dyDescent="0.3">
      <c r="K64" t="s">
        <v>28</v>
      </c>
      <c r="L64">
        <f>0.045+0.46</f>
        <v>0.505</v>
      </c>
      <c r="M64" t="s">
        <v>22</v>
      </c>
    </row>
    <row r="65" spans="10:13" x14ac:dyDescent="0.3">
      <c r="K65" t="s">
        <v>5</v>
      </c>
      <c r="L65">
        <v>31.5</v>
      </c>
      <c r="M65" t="s">
        <v>22</v>
      </c>
    </row>
    <row r="66" spans="10:13" x14ac:dyDescent="0.3">
      <c r="K66" t="s">
        <v>29</v>
      </c>
      <c r="L66">
        <v>0</v>
      </c>
      <c r="M66" t="s">
        <v>22</v>
      </c>
    </row>
    <row r="67" spans="10:13" x14ac:dyDescent="0.3">
      <c r="K67" t="s">
        <v>9</v>
      </c>
      <c r="L67">
        <v>0</v>
      </c>
      <c r="M67" t="s">
        <v>22</v>
      </c>
    </row>
    <row r="68" spans="10:13" x14ac:dyDescent="0.3">
      <c r="J68" t="s">
        <v>129</v>
      </c>
      <c r="K68" t="s">
        <v>4</v>
      </c>
      <c r="L68">
        <v>0</v>
      </c>
      <c r="M68" t="s">
        <v>22</v>
      </c>
    </row>
    <row r="69" spans="10:13" x14ac:dyDescent="0.3">
      <c r="J69" t="s">
        <v>23</v>
      </c>
      <c r="K69" t="s">
        <v>24</v>
      </c>
      <c r="L69">
        <v>12.42</v>
      </c>
      <c r="M69" t="s">
        <v>22</v>
      </c>
    </row>
    <row r="70" spans="10:13" x14ac:dyDescent="0.3">
      <c r="K70" t="s">
        <v>25</v>
      </c>
      <c r="L70">
        <v>0</v>
      </c>
      <c r="M70" t="s">
        <v>22</v>
      </c>
    </row>
    <row r="71" spans="10:13" x14ac:dyDescent="0.3">
      <c r="K71" t="s">
        <v>316</v>
      </c>
      <c r="L71">
        <v>0</v>
      </c>
      <c r="M71" t="s">
        <v>22</v>
      </c>
    </row>
    <row r="72" spans="10:13" x14ac:dyDescent="0.3">
      <c r="K72" t="s">
        <v>26</v>
      </c>
      <c r="L72">
        <v>0</v>
      </c>
      <c r="M72" t="s">
        <v>22</v>
      </c>
    </row>
    <row r="73" spans="10:13" x14ac:dyDescent="0.3">
      <c r="K73" t="s">
        <v>317</v>
      </c>
      <c r="L73">
        <v>4.5999999999999999E-2</v>
      </c>
      <c r="M73" t="s">
        <v>22</v>
      </c>
    </row>
    <row r="74" spans="10:13" x14ac:dyDescent="0.3">
      <c r="K74" t="s">
        <v>27</v>
      </c>
      <c r="L74">
        <v>0</v>
      </c>
      <c r="M74" t="s">
        <v>22</v>
      </c>
    </row>
    <row r="75" spans="10:13" x14ac:dyDescent="0.3">
      <c r="K75" t="s">
        <v>28</v>
      </c>
      <c r="L75">
        <f>0.046+0.46</f>
        <v>0.50600000000000001</v>
      </c>
      <c r="M75" t="s">
        <v>22</v>
      </c>
    </row>
    <row r="76" spans="10:13" x14ac:dyDescent="0.3">
      <c r="K76" t="s">
        <v>5</v>
      </c>
      <c r="L76">
        <v>32.200000000000003</v>
      </c>
      <c r="M76" t="s">
        <v>22</v>
      </c>
    </row>
    <row r="77" spans="10:13" x14ac:dyDescent="0.3">
      <c r="K77" t="s">
        <v>29</v>
      </c>
      <c r="L77">
        <v>0</v>
      </c>
      <c r="M77" t="s">
        <v>22</v>
      </c>
    </row>
    <row r="78" spans="10:13" x14ac:dyDescent="0.3">
      <c r="K78" t="s">
        <v>9</v>
      </c>
      <c r="L78">
        <v>0</v>
      </c>
      <c r="M78" t="s">
        <v>22</v>
      </c>
    </row>
  </sheetData>
  <hyperlinks>
    <hyperlink ref="E3" r:id="rId1" xr:uid="{7B6EA37F-B745-477B-87FD-246AF574A83C}"/>
    <hyperlink ref="E8" r:id="rId2" xr:uid="{7222D6EC-1ECB-41B6-A1B1-ADF99D35BC7F}"/>
    <hyperlink ref="E13" r:id="rId3" xr:uid="{3C7CBD39-6BAF-4AE0-B419-36EBDC6B6728}"/>
    <hyperlink ref="E18" r:id="rId4" xr:uid="{E2DC2411-238E-4E61-BD94-73FA64FEC5B8}"/>
    <hyperlink ref="E23" r:id="rId5" xr:uid="{B0BD9224-A77B-4D45-ACDB-AD573864898A}"/>
    <hyperlink ref="E28" r:id="rId6" xr:uid="{681BD93B-59BA-4DF1-800F-E4971617839F}"/>
    <hyperlink ref="E33" r:id="rId7" xr:uid="{7C8CC2C9-3124-4417-A5E7-AEDF59B186CE}"/>
  </hyperlinks>
  <pageMargins left="0.7" right="0.7" top="0.75" bottom="0.75" header="0.3" footer="0.3"/>
  <pageSetup paperSize="9" orientation="portrait" r:id="rId8"/>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D0E3-189D-42E7-BFC5-F0F7375243EA}">
  <dimension ref="A1:S155"/>
  <sheetViews>
    <sheetView zoomScale="85" zoomScaleNormal="85" workbookViewId="0">
      <selection activeCell="S77" sqref="S77"/>
    </sheetView>
  </sheetViews>
  <sheetFormatPr defaultRowHeight="14.4" x14ac:dyDescent="0.3"/>
  <cols>
    <col min="1" max="1" width="19" customWidth="1"/>
    <col min="2" max="2" width="30.44140625" customWidth="1"/>
    <col min="3" max="3" width="11.44140625" customWidth="1"/>
    <col min="5" max="5" width="52.21875" customWidth="1"/>
    <col min="8" max="8" width="19.5546875" customWidth="1"/>
  </cols>
  <sheetData>
    <row r="1" spans="1:11" x14ac:dyDescent="0.3">
      <c r="A1" s="2" t="s">
        <v>1</v>
      </c>
      <c r="B1" s="2" t="s">
        <v>2</v>
      </c>
      <c r="C1" s="2" t="s">
        <v>204</v>
      </c>
      <c r="D1" s="2"/>
      <c r="E1" s="2" t="s">
        <v>205</v>
      </c>
      <c r="F1" s="2"/>
      <c r="G1" s="2"/>
      <c r="H1" s="2" t="s">
        <v>202</v>
      </c>
      <c r="I1" s="2" t="s">
        <v>203</v>
      </c>
    </row>
    <row r="2" spans="1:11" x14ac:dyDescent="0.3">
      <c r="A2" t="s">
        <v>168</v>
      </c>
      <c r="B2" t="s">
        <v>4</v>
      </c>
      <c r="C2" s="8">
        <f>Armchair!Q2</f>
        <v>1.9833333333333334</v>
      </c>
      <c r="E2" t="str">
        <f>A2&amp;";"&amp;B2&amp;";"&amp;C2</f>
        <v>Armchair;Aluminium;1.98333333333333</v>
      </c>
      <c r="H2" t="s">
        <v>168</v>
      </c>
      <c r="I2">
        <f>Armchair!Q14</f>
        <v>15</v>
      </c>
      <c r="K2" t="str">
        <f>H2&amp;";"&amp;I2</f>
        <v>Armchair;15</v>
      </c>
    </row>
    <row r="3" spans="1:11" x14ac:dyDescent="0.3">
      <c r="A3" t="s">
        <v>168</v>
      </c>
      <c r="B3" t="s">
        <v>24</v>
      </c>
      <c r="C3" s="8">
        <f>Armchair!Q3</f>
        <v>0</v>
      </c>
      <c r="E3" t="str">
        <f>A3&amp;";"&amp;B3&amp;";"&amp;C3</f>
        <v>Armchair;Concrete;0</v>
      </c>
      <c r="H3" t="s">
        <v>169</v>
      </c>
      <c r="I3">
        <f>'Bar stool'!R14</f>
        <v>15</v>
      </c>
      <c r="K3" t="str">
        <f t="shared" ref="K3:K15" si="0">H3&amp;";"&amp;I3</f>
        <v>Bar stool;15</v>
      </c>
    </row>
    <row r="4" spans="1:11" x14ac:dyDescent="0.3">
      <c r="A4" t="s">
        <v>168</v>
      </c>
      <c r="B4" t="s">
        <v>25</v>
      </c>
      <c r="C4" s="8">
        <f>Armchair!Q4</f>
        <v>0</v>
      </c>
      <c r="E4" t="str">
        <f t="shared" ref="E4:E56" si="1">A4&amp;";"&amp;B4&amp;";"&amp;C4</f>
        <v>Armchair;Glass (fibre);0</v>
      </c>
      <c r="H4" t="s">
        <v>179</v>
      </c>
      <c r="I4">
        <f>'Big closet'!R14</f>
        <v>11.666666666666666</v>
      </c>
      <c r="K4" t="str">
        <f t="shared" si="0"/>
        <v>Big closet;11.6666666666667</v>
      </c>
    </row>
    <row r="5" spans="1:11" x14ac:dyDescent="0.3">
      <c r="A5" t="s">
        <v>168</v>
      </c>
      <c r="B5" t="s">
        <v>316</v>
      </c>
      <c r="C5" s="8">
        <f>Armchair!Q5</f>
        <v>0.48000000000000004</v>
      </c>
      <c r="E5" t="str">
        <f t="shared" si="1"/>
        <v>Armchair;Coatings;0.48</v>
      </c>
      <c r="H5" t="s">
        <v>157</v>
      </c>
      <c r="I5">
        <f>'Office chair'!R14</f>
        <v>13.333333333333334</v>
      </c>
      <c r="K5" t="str">
        <f t="shared" si="0"/>
        <v>Office chair;13.3333333333333</v>
      </c>
    </row>
    <row r="6" spans="1:11" x14ac:dyDescent="0.3">
      <c r="A6" t="s">
        <v>168</v>
      </c>
      <c r="B6" t="s">
        <v>26</v>
      </c>
      <c r="C6" s="8">
        <f>Armchair!Q6</f>
        <v>0</v>
      </c>
      <c r="E6" t="str">
        <f t="shared" si="1"/>
        <v>Armchair;MDF;0</v>
      </c>
      <c r="H6" t="s">
        <v>163</v>
      </c>
      <c r="I6">
        <f>Chair!U14</f>
        <v>15</v>
      </c>
      <c r="K6" t="str">
        <f t="shared" si="0"/>
        <v>Chair;15</v>
      </c>
    </row>
    <row r="7" spans="1:11" x14ac:dyDescent="0.3">
      <c r="A7" t="s">
        <v>168</v>
      </c>
      <c r="B7" t="s">
        <v>317</v>
      </c>
      <c r="C7" s="8">
        <f>Armchair!Q7</f>
        <v>2.08</v>
      </c>
      <c r="E7" t="str">
        <f t="shared" si="1"/>
        <v>Armchair;Metals excl. Steel &amp; Aluminium;2.08</v>
      </c>
      <c r="H7" t="s">
        <v>164</v>
      </c>
      <c r="I7">
        <f>Desk!S14</f>
        <v>15</v>
      </c>
      <c r="K7" t="str">
        <f t="shared" si="0"/>
        <v>Desk;15</v>
      </c>
    </row>
    <row r="8" spans="1:11" x14ac:dyDescent="0.3">
      <c r="A8" t="s">
        <v>168</v>
      </c>
      <c r="B8" t="s">
        <v>27</v>
      </c>
      <c r="C8" s="8">
        <f>Armchair!Q8</f>
        <v>0.27</v>
      </c>
      <c r="E8" t="str">
        <f t="shared" si="1"/>
        <v>Armchair;Paper &amp; Cardboard;0.27</v>
      </c>
      <c r="H8" t="s">
        <v>170</v>
      </c>
      <c r="I8">
        <f>'Dining table'!S14</f>
        <v>15</v>
      </c>
      <c r="K8" t="str">
        <f t="shared" si="0"/>
        <v>Dining table;15</v>
      </c>
    </row>
    <row r="9" spans="1:11" x14ac:dyDescent="0.3">
      <c r="A9" t="s">
        <v>168</v>
      </c>
      <c r="B9" t="s">
        <v>28</v>
      </c>
      <c r="C9" s="8">
        <f>Armchair!Q9</f>
        <v>6.8046666666666669</v>
      </c>
      <c r="E9" t="str">
        <f t="shared" si="1"/>
        <v>Armchair;Plastics;6.80466666666667</v>
      </c>
      <c r="H9" t="s">
        <v>180</v>
      </c>
      <c r="I9">
        <f>'Small closet'!U14</f>
        <v>15</v>
      </c>
      <c r="K9" t="str">
        <f t="shared" si="0"/>
        <v>Small closet;15</v>
      </c>
    </row>
    <row r="10" spans="1:11" x14ac:dyDescent="0.3">
      <c r="A10" t="s">
        <v>168</v>
      </c>
      <c r="B10" t="s">
        <v>5</v>
      </c>
      <c r="C10" s="8">
        <f>Armchair!Q10</f>
        <v>6.1943333333333328</v>
      </c>
      <c r="E10" t="str">
        <f t="shared" si="1"/>
        <v>Armchair;Steel;6.19433333333333</v>
      </c>
      <c r="H10" t="s">
        <v>315</v>
      </c>
      <c r="I10">
        <f>'(Double) bed'!R14</f>
        <v>15</v>
      </c>
      <c r="K10" t="str">
        <f t="shared" si="0"/>
        <v>(Double) bed;15</v>
      </c>
    </row>
    <row r="11" spans="1:11" x14ac:dyDescent="0.3">
      <c r="A11" t="s">
        <v>168</v>
      </c>
      <c r="B11" t="s">
        <v>29</v>
      </c>
      <c r="C11" s="8">
        <f>Armchair!Q11</f>
        <v>1.5799999999999998</v>
      </c>
      <c r="E11" t="str">
        <f t="shared" si="1"/>
        <v>Armchair;Textiles &amp; Leather;1.58</v>
      </c>
      <c r="H11" t="s">
        <v>100</v>
      </c>
      <c r="I11">
        <f>Mattress!R14</f>
        <v>9</v>
      </c>
      <c r="K11" t="str">
        <f t="shared" si="0"/>
        <v>Mattress;9</v>
      </c>
    </row>
    <row r="12" spans="1:11" x14ac:dyDescent="0.3">
      <c r="A12" t="s">
        <v>168</v>
      </c>
      <c r="B12" t="s">
        <v>9</v>
      </c>
      <c r="C12" s="8">
        <f>Armchair!Q12</f>
        <v>4.57</v>
      </c>
      <c r="E12" t="str">
        <f t="shared" si="1"/>
        <v>Armchair;Wood;4.57</v>
      </c>
      <c r="H12" t="s">
        <v>181</v>
      </c>
      <c r="I12">
        <f>'Side table'!R14</f>
        <v>15</v>
      </c>
      <c r="K12" t="str">
        <f t="shared" si="0"/>
        <v>Side table;15</v>
      </c>
    </row>
    <row r="13" spans="1:11" x14ac:dyDescent="0.3">
      <c r="A13" t="s">
        <v>169</v>
      </c>
      <c r="B13" t="s">
        <v>4</v>
      </c>
      <c r="C13">
        <f>'Bar stool'!R2</f>
        <v>0</v>
      </c>
      <c r="E13" t="str">
        <f t="shared" si="1"/>
        <v>Bar stool;Aluminium;0</v>
      </c>
      <c r="H13" t="s">
        <v>120</v>
      </c>
      <c r="I13">
        <f>Sofa!R14</f>
        <v>14.642857142857142</v>
      </c>
      <c r="K13" t="str">
        <f t="shared" si="0"/>
        <v>Sofa;14.6428571428571</v>
      </c>
    </row>
    <row r="14" spans="1:11" x14ac:dyDescent="0.3">
      <c r="A14" t="s">
        <v>169</v>
      </c>
      <c r="B14" t="s">
        <v>24</v>
      </c>
      <c r="C14">
        <f>'Bar stool'!R3</f>
        <v>0</v>
      </c>
      <c r="E14" t="str">
        <f t="shared" si="1"/>
        <v>Bar stool;Concrete;0</v>
      </c>
      <c r="H14" t="s">
        <v>177</v>
      </c>
      <c r="I14">
        <f>Stool!S14</f>
        <v>15</v>
      </c>
      <c r="K14" t="str">
        <f t="shared" si="0"/>
        <v>Stool;15</v>
      </c>
    </row>
    <row r="15" spans="1:11" x14ac:dyDescent="0.3">
      <c r="A15" t="s">
        <v>169</v>
      </c>
      <c r="B15" t="s">
        <v>25</v>
      </c>
      <c r="C15">
        <f>'Bar stool'!R4</f>
        <v>0.05</v>
      </c>
      <c r="E15" t="str">
        <f t="shared" si="1"/>
        <v>Bar stool;Glass (fibre);0.05</v>
      </c>
      <c r="H15" t="s">
        <v>182</v>
      </c>
      <c r="I15">
        <f>'Container_ Filing cabinet'!U14</f>
        <v>15</v>
      </c>
      <c r="K15" t="str">
        <f t="shared" si="0"/>
        <v>Container;15</v>
      </c>
    </row>
    <row r="16" spans="1:11" x14ac:dyDescent="0.3">
      <c r="A16" t="s">
        <v>169</v>
      </c>
      <c r="B16" t="s">
        <v>316</v>
      </c>
      <c r="C16">
        <f>'Bar stool'!R5</f>
        <v>0.05</v>
      </c>
      <c r="E16" t="str">
        <f t="shared" si="1"/>
        <v>Bar stool;Coatings;0.05</v>
      </c>
    </row>
    <row r="17" spans="1:11" x14ac:dyDescent="0.3">
      <c r="A17" t="s">
        <v>169</v>
      </c>
      <c r="B17" t="s">
        <v>26</v>
      </c>
      <c r="C17">
        <f>'Bar stool'!R6</f>
        <v>0.47</v>
      </c>
      <c r="E17" t="str">
        <f t="shared" si="1"/>
        <v>Bar stool;MDF;0.47</v>
      </c>
    </row>
    <row r="18" spans="1:11" x14ac:dyDescent="0.3">
      <c r="A18" t="s">
        <v>169</v>
      </c>
      <c r="B18" t="s">
        <v>317</v>
      </c>
      <c r="C18">
        <f>'Bar stool'!R7</f>
        <v>0.01</v>
      </c>
      <c r="E18" t="str">
        <f t="shared" si="1"/>
        <v>Bar stool;Metals excl. Steel &amp; Aluminium;0.01</v>
      </c>
      <c r="H18" s="2" t="s">
        <v>265</v>
      </c>
      <c r="I18" s="2" t="s">
        <v>206</v>
      </c>
    </row>
    <row r="19" spans="1:11" x14ac:dyDescent="0.3">
      <c r="A19" t="s">
        <v>169</v>
      </c>
      <c r="B19" t="s">
        <v>27</v>
      </c>
      <c r="C19">
        <f>'Bar stool'!R8</f>
        <v>0</v>
      </c>
      <c r="E19" t="str">
        <f t="shared" si="1"/>
        <v>Bar stool;Paper &amp; Cardboard;0</v>
      </c>
      <c r="H19" t="s">
        <v>168</v>
      </c>
      <c r="I19">
        <f>Armchair!$Q$13</f>
        <v>23.96233333333333</v>
      </c>
      <c r="K19" t="str">
        <f>H19&amp;";"&amp;I19</f>
        <v>Armchair;23.9623333333333</v>
      </c>
    </row>
    <row r="20" spans="1:11" x14ac:dyDescent="0.3">
      <c r="A20" t="s">
        <v>169</v>
      </c>
      <c r="B20" t="s">
        <v>28</v>
      </c>
      <c r="C20">
        <f>'Bar stool'!R9</f>
        <v>0.98499999999999999</v>
      </c>
      <c r="E20" t="str">
        <f t="shared" si="1"/>
        <v>Bar stool;Plastics;0.985</v>
      </c>
      <c r="H20" t="s">
        <v>169</v>
      </c>
      <c r="I20">
        <f>'Bar stool'!$R$13</f>
        <v>8.66</v>
      </c>
      <c r="K20" t="str">
        <f t="shared" ref="K20:K32" si="2">H20&amp;";"&amp;I20</f>
        <v>Bar stool;8.66</v>
      </c>
    </row>
    <row r="21" spans="1:11" x14ac:dyDescent="0.3">
      <c r="A21" t="s">
        <v>169</v>
      </c>
      <c r="B21" t="s">
        <v>5</v>
      </c>
      <c r="C21">
        <f>'Bar stool'!R10</f>
        <v>4.6050000000000004</v>
      </c>
      <c r="E21" t="str">
        <f t="shared" si="1"/>
        <v>Bar stool;Steel;4.605</v>
      </c>
      <c r="H21" t="s">
        <v>179</v>
      </c>
      <c r="I21">
        <f>'Big closet'!$R$13</f>
        <v>177.81399999999999</v>
      </c>
      <c r="K21" t="str">
        <f t="shared" si="2"/>
        <v>Big closet;177.814</v>
      </c>
    </row>
    <row r="22" spans="1:11" x14ac:dyDescent="0.3">
      <c r="A22" t="s">
        <v>169</v>
      </c>
      <c r="B22" t="s">
        <v>29</v>
      </c>
      <c r="C22">
        <f>'Bar stool'!R11</f>
        <v>0.30500000000000005</v>
      </c>
      <c r="E22" t="str">
        <f t="shared" si="1"/>
        <v>Bar stool;Textiles &amp; Leather;0.305</v>
      </c>
      <c r="H22" t="s">
        <v>157</v>
      </c>
      <c r="I22">
        <f>'Office chair'!$R$13</f>
        <v>14.887166666666666</v>
      </c>
      <c r="K22" t="str">
        <f t="shared" si="2"/>
        <v>Office chair;14.8871666666667</v>
      </c>
    </row>
    <row r="23" spans="1:11" x14ac:dyDescent="0.3">
      <c r="A23" t="s">
        <v>169</v>
      </c>
      <c r="B23" t="s">
        <v>9</v>
      </c>
      <c r="C23">
        <f>'Bar stool'!R12</f>
        <v>2.1850000000000001</v>
      </c>
      <c r="E23" t="str">
        <f t="shared" si="1"/>
        <v>Bar stool;Wood;2.185</v>
      </c>
      <c r="H23" t="s">
        <v>163</v>
      </c>
      <c r="I23">
        <f>Chair!$U$13</f>
        <v>7.2760909090909092</v>
      </c>
      <c r="K23" t="str">
        <f t="shared" si="2"/>
        <v>Chair;7.27609090909091</v>
      </c>
    </row>
    <row r="24" spans="1:11" x14ac:dyDescent="0.3">
      <c r="A24" t="s">
        <v>179</v>
      </c>
      <c r="B24" t="s">
        <v>4</v>
      </c>
      <c r="C24">
        <f>'Big closet'!R2</f>
        <v>2.4159999999999999</v>
      </c>
      <c r="E24" t="str">
        <f t="shared" si="1"/>
        <v>Big closet;Aluminium;2.416</v>
      </c>
      <c r="H24" t="s">
        <v>164</v>
      </c>
      <c r="I24">
        <f>Desk!$S$13</f>
        <v>36.330999999999996</v>
      </c>
      <c r="K24" t="str">
        <f t="shared" si="2"/>
        <v>Desk;36.331</v>
      </c>
    </row>
    <row r="25" spans="1:11" x14ac:dyDescent="0.3">
      <c r="A25" t="s">
        <v>179</v>
      </c>
      <c r="B25" t="s">
        <v>24</v>
      </c>
      <c r="C25">
        <f>'Big closet'!R3</f>
        <v>0</v>
      </c>
      <c r="E25" t="str">
        <f t="shared" si="1"/>
        <v>Big closet;Concrete;0</v>
      </c>
      <c r="H25" t="s">
        <v>170</v>
      </c>
      <c r="I25">
        <f>'Dining table'!$S$13</f>
        <v>64.20920000000001</v>
      </c>
      <c r="K25" t="str">
        <f t="shared" si="2"/>
        <v>Dining table;64.2092</v>
      </c>
    </row>
    <row r="26" spans="1:11" x14ac:dyDescent="0.3">
      <c r="A26" t="s">
        <v>179</v>
      </c>
      <c r="B26" t="s">
        <v>25</v>
      </c>
      <c r="C26">
        <f>'Big closet'!R4</f>
        <v>0</v>
      </c>
      <c r="E26" t="str">
        <f t="shared" si="1"/>
        <v>Big closet;Glass (fibre);0</v>
      </c>
      <c r="H26" t="s">
        <v>180</v>
      </c>
      <c r="I26">
        <f>'Small closet'!$U$13</f>
        <v>51.895200000000003</v>
      </c>
      <c r="K26" t="str">
        <f t="shared" si="2"/>
        <v>Small closet;51.8952</v>
      </c>
    </row>
    <row r="27" spans="1:11" x14ac:dyDescent="0.3">
      <c r="A27" t="s">
        <v>179</v>
      </c>
      <c r="B27" t="s">
        <v>316</v>
      </c>
      <c r="C27">
        <f>'Big closet'!R5</f>
        <v>4.9820000000000002</v>
      </c>
      <c r="E27" t="str">
        <f t="shared" si="1"/>
        <v>Big closet;Coatings;4.982</v>
      </c>
      <c r="H27" t="s">
        <v>315</v>
      </c>
      <c r="I27">
        <f>'(Double) bed'!R13</f>
        <v>108.46946666666668</v>
      </c>
      <c r="K27" t="str">
        <f t="shared" si="2"/>
        <v>(Double) bed;108.469466666667</v>
      </c>
    </row>
    <row r="28" spans="1:11" x14ac:dyDescent="0.3">
      <c r="A28" t="s">
        <v>179</v>
      </c>
      <c r="B28" t="s">
        <v>26</v>
      </c>
      <c r="C28">
        <f>'Big closet'!R6</f>
        <v>112.85</v>
      </c>
      <c r="E28" t="str">
        <f t="shared" si="1"/>
        <v>Big closet;MDF;112.85</v>
      </c>
      <c r="H28" t="s">
        <v>100</v>
      </c>
      <c r="I28">
        <f>Mattress!$R$13</f>
        <v>34.038428571428575</v>
      </c>
      <c r="K28" t="str">
        <f t="shared" si="2"/>
        <v>Mattress;34.0384285714286</v>
      </c>
    </row>
    <row r="29" spans="1:11" x14ac:dyDescent="0.3">
      <c r="A29" t="s">
        <v>179</v>
      </c>
      <c r="B29" t="s">
        <v>317</v>
      </c>
      <c r="C29">
        <f>'Big closet'!R7</f>
        <v>0</v>
      </c>
      <c r="E29" t="str">
        <f t="shared" si="1"/>
        <v>Big closet;Metals excl. Steel &amp; Aluminium;0</v>
      </c>
      <c r="H29" t="s">
        <v>181</v>
      </c>
      <c r="I29">
        <f>'Side table'!$R$13</f>
        <v>23.846133125000001</v>
      </c>
      <c r="K29" t="str">
        <f t="shared" si="2"/>
        <v>Side table;23.846133125</v>
      </c>
    </row>
    <row r="30" spans="1:11" x14ac:dyDescent="0.3">
      <c r="A30" t="s">
        <v>179</v>
      </c>
      <c r="B30" t="s">
        <v>27</v>
      </c>
      <c r="C30">
        <f>'Big closet'!R8</f>
        <v>4.7080000000000002</v>
      </c>
      <c r="E30" t="str">
        <f t="shared" si="1"/>
        <v>Big closet;Paper &amp; Cardboard;4.708</v>
      </c>
      <c r="H30" t="s">
        <v>120</v>
      </c>
      <c r="I30">
        <f>Sofa!R13</f>
        <v>62.516332500000004</v>
      </c>
      <c r="K30" t="str">
        <f t="shared" si="2"/>
        <v>Sofa;62.5163325</v>
      </c>
    </row>
    <row r="31" spans="1:11" x14ac:dyDescent="0.3">
      <c r="A31" t="s">
        <v>179</v>
      </c>
      <c r="B31" t="s">
        <v>28</v>
      </c>
      <c r="C31">
        <f>'Big closet'!R9</f>
        <v>6.2451999999999996</v>
      </c>
      <c r="E31" t="str">
        <f t="shared" si="1"/>
        <v>Big closet;Plastics;6.2452</v>
      </c>
      <c r="H31" t="s">
        <v>177</v>
      </c>
      <c r="I31">
        <f>Stool!$S$13</f>
        <v>5.08</v>
      </c>
      <c r="K31" t="str">
        <f t="shared" si="2"/>
        <v>Stool;5.08</v>
      </c>
    </row>
    <row r="32" spans="1:11" x14ac:dyDescent="0.3">
      <c r="A32" t="s">
        <v>179</v>
      </c>
      <c r="B32" t="s">
        <v>5</v>
      </c>
      <c r="C32">
        <f>'Big closet'!R10</f>
        <v>19.6128</v>
      </c>
      <c r="E32" t="str">
        <f t="shared" si="1"/>
        <v>Big closet;Steel;19.6128</v>
      </c>
      <c r="H32" t="s">
        <v>182</v>
      </c>
      <c r="I32">
        <f>'Container_ Filing cabinet'!$U$13</f>
        <v>63.374000000000002</v>
      </c>
      <c r="K32" t="str">
        <f t="shared" si="2"/>
        <v>Container;63.374</v>
      </c>
    </row>
    <row r="33" spans="1:19" x14ac:dyDescent="0.3">
      <c r="A33" t="s">
        <v>179</v>
      </c>
      <c r="B33" t="s">
        <v>29</v>
      </c>
      <c r="C33">
        <f>'Big closet'!R11</f>
        <v>0</v>
      </c>
      <c r="E33" t="str">
        <f t="shared" si="1"/>
        <v>Big closet;Textiles &amp; Leather;0</v>
      </c>
    </row>
    <row r="34" spans="1:19" x14ac:dyDescent="0.3">
      <c r="A34" t="s">
        <v>179</v>
      </c>
      <c r="B34" t="s">
        <v>9</v>
      </c>
      <c r="C34">
        <f>'Big closet'!R12</f>
        <v>27</v>
      </c>
      <c r="E34" t="str">
        <f t="shared" si="1"/>
        <v>Big closet;Wood;27</v>
      </c>
    </row>
    <row r="35" spans="1:19" x14ac:dyDescent="0.3">
      <c r="A35" t="s">
        <v>157</v>
      </c>
      <c r="B35" t="s">
        <v>4</v>
      </c>
      <c r="C35">
        <f>'Office chair'!R2</f>
        <v>3.19</v>
      </c>
      <c r="E35" t="str">
        <f t="shared" si="1"/>
        <v>Office chair;Aluminium;3.19</v>
      </c>
    </row>
    <row r="36" spans="1:19" x14ac:dyDescent="0.3">
      <c r="A36" t="s">
        <v>157</v>
      </c>
      <c r="B36" t="s">
        <v>24</v>
      </c>
      <c r="C36">
        <f>'Office chair'!R3</f>
        <v>0</v>
      </c>
      <c r="E36" t="str">
        <f t="shared" si="1"/>
        <v>Office chair;Concrete;0</v>
      </c>
    </row>
    <row r="37" spans="1:19" x14ac:dyDescent="0.3">
      <c r="A37" t="s">
        <v>157</v>
      </c>
      <c r="B37" t="s">
        <v>25</v>
      </c>
      <c r="C37">
        <f>'Office chair'!R4</f>
        <v>0.64</v>
      </c>
      <c r="E37" t="str">
        <f t="shared" si="1"/>
        <v>Office chair;Glass (fibre);0.64</v>
      </c>
      <c r="I37" t="s">
        <v>4</v>
      </c>
      <c r="J37" t="s">
        <v>24</v>
      </c>
      <c r="K37" t="s">
        <v>25</v>
      </c>
      <c r="L37" t="s">
        <v>316</v>
      </c>
      <c r="M37" t="s">
        <v>26</v>
      </c>
      <c r="N37" t="s">
        <v>317</v>
      </c>
      <c r="O37" t="s">
        <v>27</v>
      </c>
      <c r="P37" t="s">
        <v>28</v>
      </c>
      <c r="Q37" t="s">
        <v>5</v>
      </c>
      <c r="R37" t="s">
        <v>29</v>
      </c>
      <c r="S37" t="s">
        <v>9</v>
      </c>
    </row>
    <row r="38" spans="1:19" x14ac:dyDescent="0.3">
      <c r="A38" t="s">
        <v>157</v>
      </c>
      <c r="B38" t="s">
        <v>316</v>
      </c>
      <c r="C38">
        <f>'Office chair'!R5</f>
        <v>1.0333333333333333E-2</v>
      </c>
      <c r="E38" t="str">
        <f t="shared" si="1"/>
        <v>Office chair;Coatings;0.0103333333333333</v>
      </c>
      <c r="H38" t="s">
        <v>168</v>
      </c>
      <c r="I38">
        <v>1.9833333333333334</v>
      </c>
      <c r="J38">
        <v>0</v>
      </c>
      <c r="K38">
        <v>0</v>
      </c>
      <c r="L38">
        <v>0.48000000000000004</v>
      </c>
      <c r="M38">
        <v>0</v>
      </c>
      <c r="N38">
        <v>2.08</v>
      </c>
      <c r="O38">
        <v>0.27</v>
      </c>
      <c r="P38">
        <v>6.8046666666666669</v>
      </c>
      <c r="Q38">
        <v>6.1943333333333328</v>
      </c>
      <c r="R38">
        <v>1.5799999999999998</v>
      </c>
      <c r="S38">
        <v>4.57</v>
      </c>
    </row>
    <row r="39" spans="1:19" x14ac:dyDescent="0.3">
      <c r="A39" t="s">
        <v>157</v>
      </c>
      <c r="B39" t="s">
        <v>26</v>
      </c>
      <c r="C39">
        <f>'Office chair'!R6</f>
        <v>0</v>
      </c>
      <c r="E39" t="str">
        <f t="shared" si="1"/>
        <v>Office chair;MDF;0</v>
      </c>
      <c r="H39" t="s">
        <v>169</v>
      </c>
      <c r="I39">
        <v>0</v>
      </c>
      <c r="J39">
        <v>0</v>
      </c>
      <c r="K39">
        <v>0.05</v>
      </c>
      <c r="L39">
        <v>0.05</v>
      </c>
      <c r="M39">
        <v>0.47</v>
      </c>
      <c r="N39">
        <v>0.01</v>
      </c>
      <c r="O39">
        <v>0</v>
      </c>
      <c r="P39">
        <v>0.98499999999999999</v>
      </c>
      <c r="Q39">
        <v>4.6050000000000004</v>
      </c>
      <c r="R39">
        <v>0.30500000000000005</v>
      </c>
      <c r="S39">
        <v>2.1850000000000001</v>
      </c>
    </row>
    <row r="40" spans="1:19" x14ac:dyDescent="0.3">
      <c r="A40" t="s">
        <v>157</v>
      </c>
      <c r="B40" t="s">
        <v>317</v>
      </c>
      <c r="C40">
        <f>'Office chair'!R7</f>
        <v>5.1666666666666666E-3</v>
      </c>
      <c r="E40" t="str">
        <f t="shared" si="1"/>
        <v>Office chair;Metals excl. Steel &amp; Aluminium;0.00516666666666667</v>
      </c>
      <c r="H40" t="s">
        <v>179</v>
      </c>
      <c r="I40">
        <v>2.4159999999999999</v>
      </c>
      <c r="J40">
        <v>0</v>
      </c>
      <c r="K40">
        <v>0</v>
      </c>
      <c r="L40">
        <v>4.9820000000000002</v>
      </c>
      <c r="M40">
        <v>112.85</v>
      </c>
      <c r="N40">
        <v>0</v>
      </c>
      <c r="O40">
        <v>4.7080000000000002</v>
      </c>
      <c r="P40">
        <v>6.2451999999999996</v>
      </c>
      <c r="Q40">
        <v>19.6128</v>
      </c>
      <c r="R40">
        <v>0</v>
      </c>
      <c r="S40">
        <v>27</v>
      </c>
    </row>
    <row r="41" spans="1:19" x14ac:dyDescent="0.3">
      <c r="A41" t="s">
        <v>157</v>
      </c>
      <c r="B41" t="s">
        <v>27</v>
      </c>
      <c r="C41">
        <f>'Office chair'!R8</f>
        <v>0</v>
      </c>
      <c r="E41" t="str">
        <f t="shared" si="1"/>
        <v>Office chair;Paper &amp; Cardboard;0</v>
      </c>
      <c r="H41" t="s">
        <v>157</v>
      </c>
      <c r="I41">
        <v>3.19</v>
      </c>
      <c r="J41">
        <v>0</v>
      </c>
      <c r="K41">
        <v>0.64</v>
      </c>
      <c r="L41">
        <v>1.0333333333333333E-2</v>
      </c>
      <c r="M41">
        <v>0</v>
      </c>
      <c r="N41">
        <v>5.1666666666666666E-3</v>
      </c>
      <c r="O41">
        <v>0</v>
      </c>
      <c r="P41">
        <v>6.4289999999999994</v>
      </c>
      <c r="Q41">
        <v>4.4999999999999991</v>
      </c>
      <c r="R41">
        <v>0.11266666666666668</v>
      </c>
      <c r="S41">
        <v>0</v>
      </c>
    </row>
    <row r="42" spans="1:19" x14ac:dyDescent="0.3">
      <c r="A42" t="s">
        <v>157</v>
      </c>
      <c r="B42" t="s">
        <v>28</v>
      </c>
      <c r="C42">
        <f>'Office chair'!R9</f>
        <v>6.4289999999999994</v>
      </c>
      <c r="E42" t="str">
        <f t="shared" si="1"/>
        <v>Office chair;Plastics;6.429</v>
      </c>
      <c r="H42" t="s">
        <v>163</v>
      </c>
      <c r="I42">
        <v>1.1181818181818182</v>
      </c>
      <c r="J42">
        <v>0</v>
      </c>
      <c r="K42">
        <v>0.38127272727272726</v>
      </c>
      <c r="L42">
        <v>5.8545454545454546E-2</v>
      </c>
      <c r="M42">
        <v>0</v>
      </c>
      <c r="N42">
        <v>1.4727272727272728E-2</v>
      </c>
      <c r="O42">
        <v>0</v>
      </c>
      <c r="P42">
        <v>2.7678181818181824</v>
      </c>
      <c r="Q42">
        <v>1.6883636363636365</v>
      </c>
      <c r="R42">
        <v>0.16909090909090907</v>
      </c>
      <c r="S42">
        <v>1.078090909090909</v>
      </c>
    </row>
    <row r="43" spans="1:19" x14ac:dyDescent="0.3">
      <c r="A43" t="s">
        <v>157</v>
      </c>
      <c r="B43" t="s">
        <v>5</v>
      </c>
      <c r="C43">
        <f>'Office chair'!R10</f>
        <v>4.4999999999999991</v>
      </c>
      <c r="E43" t="str">
        <f t="shared" si="1"/>
        <v>Office chair;Steel;4.5</v>
      </c>
      <c r="H43" t="s">
        <v>164</v>
      </c>
      <c r="I43">
        <v>3.6666666666666667E-2</v>
      </c>
      <c r="J43">
        <v>0</v>
      </c>
      <c r="K43">
        <v>0</v>
      </c>
      <c r="L43">
        <v>0.13333333333333333</v>
      </c>
      <c r="M43">
        <v>0</v>
      </c>
      <c r="N43">
        <v>0</v>
      </c>
      <c r="O43">
        <v>1.9800000000000002</v>
      </c>
      <c r="P43">
        <v>1.4563333333333333</v>
      </c>
      <c r="Q43">
        <v>21.99133333333333</v>
      </c>
      <c r="R43">
        <v>0</v>
      </c>
      <c r="S43">
        <v>10.733333333333334</v>
      </c>
    </row>
    <row r="44" spans="1:19" x14ac:dyDescent="0.3">
      <c r="A44" t="s">
        <v>157</v>
      </c>
      <c r="B44" t="s">
        <v>29</v>
      </c>
      <c r="C44">
        <f>'Office chair'!R11</f>
        <v>0.11266666666666668</v>
      </c>
      <c r="E44" t="str">
        <f t="shared" si="1"/>
        <v>Office chair;Textiles &amp; Leather;0.112666666666667</v>
      </c>
      <c r="H44" t="s">
        <v>170</v>
      </c>
      <c r="I44">
        <v>5.2</v>
      </c>
      <c r="J44">
        <v>0</v>
      </c>
      <c r="K44">
        <v>0</v>
      </c>
      <c r="L44">
        <v>1.1636</v>
      </c>
      <c r="M44">
        <v>0</v>
      </c>
      <c r="N44">
        <v>1.0204</v>
      </c>
      <c r="O44">
        <v>0</v>
      </c>
      <c r="P44">
        <v>3.2000000000000002E-3</v>
      </c>
      <c r="Q44">
        <v>2.6000000000000002E-2</v>
      </c>
      <c r="R44">
        <v>0</v>
      </c>
      <c r="S44">
        <v>56.796000000000006</v>
      </c>
    </row>
    <row r="45" spans="1:19" x14ac:dyDescent="0.3">
      <c r="A45" t="s">
        <v>157</v>
      </c>
      <c r="B45" t="s">
        <v>9</v>
      </c>
      <c r="C45">
        <f>'Office chair'!R12</f>
        <v>0</v>
      </c>
      <c r="E45" t="str">
        <f t="shared" si="1"/>
        <v>Office chair;Wood;0</v>
      </c>
      <c r="H45" t="s">
        <v>180</v>
      </c>
      <c r="I45">
        <v>9.5599999999999991E-2</v>
      </c>
      <c r="J45">
        <v>3.5159999999999996</v>
      </c>
      <c r="K45">
        <v>0</v>
      </c>
      <c r="L45">
        <v>1.6992</v>
      </c>
      <c r="M45">
        <v>0</v>
      </c>
      <c r="N45">
        <v>0.16699999999999998</v>
      </c>
      <c r="O45">
        <v>0.39400000000000002</v>
      </c>
      <c r="P45">
        <v>0.53139999999999998</v>
      </c>
      <c r="Q45">
        <v>34.292000000000002</v>
      </c>
      <c r="R45">
        <v>0</v>
      </c>
      <c r="S45">
        <v>11.200000000000001</v>
      </c>
    </row>
    <row r="46" spans="1:19" x14ac:dyDescent="0.3">
      <c r="A46" t="s">
        <v>163</v>
      </c>
      <c r="B46" t="s">
        <v>4</v>
      </c>
      <c r="C46">
        <f>Chair!U2</f>
        <v>1.1181818181818182</v>
      </c>
      <c r="E46" t="str">
        <f t="shared" si="1"/>
        <v>Chair;Aluminium;1.11818181818182</v>
      </c>
      <c r="H46" t="s">
        <v>315</v>
      </c>
      <c r="I46">
        <v>0</v>
      </c>
      <c r="J46">
        <v>0</v>
      </c>
      <c r="K46">
        <v>0</v>
      </c>
      <c r="L46">
        <v>0</v>
      </c>
      <c r="M46">
        <v>94.581466666666685</v>
      </c>
      <c r="N46">
        <v>0</v>
      </c>
      <c r="O46">
        <v>0.41899999999999998</v>
      </c>
      <c r="P46">
        <v>2.8556666666666666</v>
      </c>
      <c r="Q46">
        <v>9.9433333333333334</v>
      </c>
      <c r="R46">
        <v>0.66999999999999993</v>
      </c>
      <c r="S46">
        <v>0</v>
      </c>
    </row>
    <row r="47" spans="1:19" x14ac:dyDescent="0.3">
      <c r="A47" t="s">
        <v>163</v>
      </c>
      <c r="B47" t="s">
        <v>24</v>
      </c>
      <c r="C47">
        <f>Chair!U3</f>
        <v>0</v>
      </c>
      <c r="E47" t="str">
        <f t="shared" si="1"/>
        <v>Chair;Concrete;0</v>
      </c>
      <c r="H47" t="s">
        <v>100</v>
      </c>
      <c r="I47">
        <v>0</v>
      </c>
      <c r="J47">
        <v>0</v>
      </c>
      <c r="K47">
        <v>0</v>
      </c>
      <c r="L47">
        <v>0</v>
      </c>
      <c r="M47">
        <v>0</v>
      </c>
      <c r="N47">
        <v>1.1428571428571429E-2</v>
      </c>
      <c r="O47">
        <v>0.54714285714285715</v>
      </c>
      <c r="P47">
        <v>13.039142857142858</v>
      </c>
      <c r="Q47">
        <v>11.813714285714285</v>
      </c>
      <c r="R47">
        <v>5.9984285714285717</v>
      </c>
      <c r="S47">
        <v>2.6285714285714286</v>
      </c>
    </row>
    <row r="48" spans="1:19" x14ac:dyDescent="0.3">
      <c r="A48" t="s">
        <v>163</v>
      </c>
      <c r="B48" t="s">
        <v>25</v>
      </c>
      <c r="C48">
        <f>Chair!U4</f>
        <v>0.38127272727272726</v>
      </c>
      <c r="E48" t="str">
        <f t="shared" si="1"/>
        <v>Chair;Glass (fibre);0.381272727272727</v>
      </c>
      <c r="H48" t="s">
        <v>181</v>
      </c>
      <c r="I48">
        <v>0.23574999999999999</v>
      </c>
      <c r="J48">
        <v>0</v>
      </c>
      <c r="K48">
        <v>7.1805000000000003</v>
      </c>
      <c r="L48">
        <v>0.31295812499999998</v>
      </c>
      <c r="M48">
        <v>3.5648</v>
      </c>
      <c r="N48">
        <v>5.6375000000000001E-2</v>
      </c>
      <c r="O48">
        <v>0.32074999999999998</v>
      </c>
      <c r="P48">
        <v>0.10912500000000001</v>
      </c>
      <c r="Q48">
        <v>2.7328749999999999</v>
      </c>
      <c r="R48">
        <v>1.7999999999999999E-2</v>
      </c>
      <c r="S48">
        <v>9.3149999999999995</v>
      </c>
    </row>
    <row r="49" spans="1:19" x14ac:dyDescent="0.3">
      <c r="A49" t="s">
        <v>163</v>
      </c>
      <c r="B49" t="s">
        <v>316</v>
      </c>
      <c r="C49">
        <f>Chair!U5</f>
        <v>5.8545454545454546E-2</v>
      </c>
      <c r="E49" t="str">
        <f t="shared" si="1"/>
        <v>Chair;Coatings;0.0585454545454545</v>
      </c>
      <c r="H49" t="s">
        <v>120</v>
      </c>
      <c r="I49">
        <v>4.5307499999999994</v>
      </c>
      <c r="J49">
        <v>0</v>
      </c>
      <c r="K49">
        <v>0</v>
      </c>
      <c r="L49">
        <v>0.45021249999999996</v>
      </c>
      <c r="M49">
        <v>15.6525</v>
      </c>
      <c r="N49">
        <v>0.32824999999999999</v>
      </c>
      <c r="O49">
        <v>0.85624999999999996</v>
      </c>
      <c r="P49">
        <v>13.831375000000001</v>
      </c>
      <c r="Q49">
        <v>9.9746250000000014</v>
      </c>
      <c r="R49">
        <v>2.7837499999999999</v>
      </c>
      <c r="S49">
        <v>14.10862</v>
      </c>
    </row>
    <row r="50" spans="1:19" x14ac:dyDescent="0.3">
      <c r="A50" t="s">
        <v>163</v>
      </c>
      <c r="B50" t="s">
        <v>26</v>
      </c>
      <c r="C50">
        <f>Chair!U6</f>
        <v>0</v>
      </c>
      <c r="E50" t="str">
        <f t="shared" si="1"/>
        <v>Chair;MDF;0</v>
      </c>
      <c r="H50" t="s">
        <v>177</v>
      </c>
      <c r="I50">
        <v>0</v>
      </c>
      <c r="J50">
        <v>0</v>
      </c>
      <c r="K50">
        <v>0</v>
      </c>
      <c r="L50">
        <v>6.5000000000000002E-2</v>
      </c>
      <c r="M50">
        <v>0</v>
      </c>
      <c r="N50">
        <v>0.01</v>
      </c>
      <c r="O50">
        <v>0</v>
      </c>
      <c r="P50">
        <v>0</v>
      </c>
      <c r="Q50">
        <v>0</v>
      </c>
      <c r="R50">
        <v>0.14500000000000002</v>
      </c>
      <c r="S50">
        <v>4.8600000000000003</v>
      </c>
    </row>
    <row r="51" spans="1:19" x14ac:dyDescent="0.3">
      <c r="A51" t="s">
        <v>163</v>
      </c>
      <c r="B51" t="s">
        <v>317</v>
      </c>
      <c r="C51">
        <f>Chair!U7</f>
        <v>1.4727272727272728E-2</v>
      </c>
      <c r="E51" t="str">
        <f t="shared" si="1"/>
        <v>Chair;Metals excl. Steel &amp; Aluminium;0.0147272727272727</v>
      </c>
      <c r="H51" t="s">
        <v>182</v>
      </c>
      <c r="I51">
        <v>0</v>
      </c>
      <c r="J51">
        <v>21.568571428571428</v>
      </c>
      <c r="K51">
        <v>0</v>
      </c>
      <c r="L51">
        <v>0</v>
      </c>
      <c r="M51">
        <v>0</v>
      </c>
      <c r="N51">
        <v>9.0571428571428567E-2</v>
      </c>
      <c r="O51">
        <v>0</v>
      </c>
      <c r="P51">
        <v>0.4048571428571428</v>
      </c>
      <c r="Q51">
        <v>41.31</v>
      </c>
      <c r="R51">
        <v>0</v>
      </c>
      <c r="S51">
        <v>0</v>
      </c>
    </row>
    <row r="52" spans="1:19" x14ac:dyDescent="0.3">
      <c r="A52" t="s">
        <v>163</v>
      </c>
      <c r="B52" t="s">
        <v>27</v>
      </c>
      <c r="C52">
        <f>Chair!U8</f>
        <v>0</v>
      </c>
      <c r="E52" t="str">
        <f t="shared" si="1"/>
        <v>Chair;Paper &amp; Cardboard;0</v>
      </c>
    </row>
    <row r="53" spans="1:19" x14ac:dyDescent="0.3">
      <c r="A53" t="s">
        <v>163</v>
      </c>
      <c r="B53" t="s">
        <v>28</v>
      </c>
      <c r="C53">
        <f>Chair!U9</f>
        <v>2.7678181818181824</v>
      </c>
      <c r="E53" t="str">
        <f t="shared" si="1"/>
        <v>Chair;Plastics;2.76781818181818</v>
      </c>
    </row>
    <row r="54" spans="1:19" x14ac:dyDescent="0.3">
      <c r="A54" t="s">
        <v>163</v>
      </c>
      <c r="B54" t="s">
        <v>5</v>
      </c>
      <c r="C54">
        <f>Chair!U10</f>
        <v>1.6883636363636365</v>
      </c>
      <c r="E54" t="str">
        <f t="shared" si="1"/>
        <v>Chair;Steel;1.68836363636364</v>
      </c>
    </row>
    <row r="55" spans="1:19" x14ac:dyDescent="0.3">
      <c r="A55" t="s">
        <v>163</v>
      </c>
      <c r="B55" t="s">
        <v>29</v>
      </c>
      <c r="C55">
        <f>Chair!U11</f>
        <v>0.16909090909090907</v>
      </c>
      <c r="E55" t="str">
        <f t="shared" si="1"/>
        <v>Chair;Textiles &amp; Leather;0.169090909090909</v>
      </c>
    </row>
    <row r="56" spans="1:19" x14ac:dyDescent="0.3">
      <c r="A56" t="s">
        <v>163</v>
      </c>
      <c r="B56" t="s">
        <v>9</v>
      </c>
      <c r="C56">
        <f>Chair!U12</f>
        <v>1.078090909090909</v>
      </c>
      <c r="E56" t="str">
        <f t="shared" si="1"/>
        <v>Chair;Wood;1.07809090909091</v>
      </c>
    </row>
    <row r="57" spans="1:19" x14ac:dyDescent="0.3">
      <c r="A57" t="s">
        <v>164</v>
      </c>
      <c r="B57" t="s">
        <v>4</v>
      </c>
      <c r="C57">
        <f>Desk!S2</f>
        <v>3.6666666666666667E-2</v>
      </c>
      <c r="E57" t="str">
        <f t="shared" ref="E57:E120" si="3">A57&amp;";"&amp;B57&amp;";"&amp;C57</f>
        <v>Desk;Aluminium;0.0366666666666667</v>
      </c>
    </row>
    <row r="58" spans="1:19" x14ac:dyDescent="0.3">
      <c r="A58" t="s">
        <v>164</v>
      </c>
      <c r="B58" t="s">
        <v>24</v>
      </c>
      <c r="C58">
        <f>Desk!S3</f>
        <v>0</v>
      </c>
      <c r="E58" t="str">
        <f t="shared" si="3"/>
        <v>Desk;Concrete;0</v>
      </c>
    </row>
    <row r="59" spans="1:19" x14ac:dyDescent="0.3">
      <c r="A59" t="s">
        <v>164</v>
      </c>
      <c r="B59" t="s">
        <v>25</v>
      </c>
      <c r="C59">
        <f>Desk!S4</f>
        <v>0</v>
      </c>
      <c r="E59" t="str">
        <f t="shared" si="3"/>
        <v>Desk;Glass (fibre);0</v>
      </c>
    </row>
    <row r="60" spans="1:19" x14ac:dyDescent="0.3">
      <c r="A60" t="s">
        <v>164</v>
      </c>
      <c r="B60" t="s">
        <v>316</v>
      </c>
      <c r="C60">
        <f>Desk!S5</f>
        <v>0.13333333333333333</v>
      </c>
      <c r="E60" t="str">
        <f t="shared" si="3"/>
        <v>Desk;Coatings;0.133333333333333</v>
      </c>
    </row>
    <row r="61" spans="1:19" x14ac:dyDescent="0.3">
      <c r="A61" t="s">
        <v>164</v>
      </c>
      <c r="B61" t="s">
        <v>26</v>
      </c>
      <c r="C61">
        <f>Desk!S6</f>
        <v>0</v>
      </c>
      <c r="E61" t="str">
        <f t="shared" si="3"/>
        <v>Desk;MDF;0</v>
      </c>
    </row>
    <row r="62" spans="1:19" x14ac:dyDescent="0.3">
      <c r="A62" t="s">
        <v>164</v>
      </c>
      <c r="B62" t="s">
        <v>317</v>
      </c>
      <c r="C62">
        <f>Desk!S7</f>
        <v>0</v>
      </c>
      <c r="E62" t="str">
        <f t="shared" si="3"/>
        <v>Desk;Metals excl. Steel &amp; Aluminium;0</v>
      </c>
    </row>
    <row r="63" spans="1:19" x14ac:dyDescent="0.3">
      <c r="A63" t="s">
        <v>164</v>
      </c>
      <c r="B63" t="s">
        <v>27</v>
      </c>
      <c r="C63">
        <f>Desk!S8</f>
        <v>1.9800000000000002</v>
      </c>
      <c r="E63" t="str">
        <f t="shared" si="3"/>
        <v>Desk;Paper &amp; Cardboard;1.98</v>
      </c>
    </row>
    <row r="64" spans="1:19" x14ac:dyDescent="0.3">
      <c r="A64" t="s">
        <v>164</v>
      </c>
      <c r="B64" t="s">
        <v>28</v>
      </c>
      <c r="C64">
        <f>Desk!S9</f>
        <v>1.4563333333333333</v>
      </c>
      <c r="E64" t="str">
        <f t="shared" si="3"/>
        <v>Desk;Plastics;1.45633333333333</v>
      </c>
    </row>
    <row r="65" spans="1:5" x14ac:dyDescent="0.3">
      <c r="A65" t="s">
        <v>164</v>
      </c>
      <c r="B65" t="s">
        <v>5</v>
      </c>
      <c r="C65">
        <f>Desk!S10</f>
        <v>21.99133333333333</v>
      </c>
      <c r="E65" t="str">
        <f t="shared" si="3"/>
        <v>Desk;Steel;21.9913333333333</v>
      </c>
    </row>
    <row r="66" spans="1:5" x14ac:dyDescent="0.3">
      <c r="A66" t="s">
        <v>164</v>
      </c>
      <c r="B66" t="s">
        <v>29</v>
      </c>
      <c r="C66">
        <f>Desk!S11</f>
        <v>0</v>
      </c>
      <c r="E66" t="str">
        <f t="shared" si="3"/>
        <v>Desk;Textiles &amp; Leather;0</v>
      </c>
    </row>
    <row r="67" spans="1:5" x14ac:dyDescent="0.3">
      <c r="A67" t="s">
        <v>164</v>
      </c>
      <c r="B67" t="s">
        <v>9</v>
      </c>
      <c r="C67">
        <f>Desk!S12</f>
        <v>10.733333333333334</v>
      </c>
      <c r="E67" t="str">
        <f t="shared" si="3"/>
        <v>Desk;Wood;10.7333333333333</v>
      </c>
    </row>
    <row r="68" spans="1:5" x14ac:dyDescent="0.3">
      <c r="A68" t="s">
        <v>170</v>
      </c>
      <c r="B68" t="s">
        <v>4</v>
      </c>
      <c r="C68">
        <f>'Dining table'!S2</f>
        <v>5.2</v>
      </c>
      <c r="E68" t="str">
        <f t="shared" si="3"/>
        <v>Dining table;Aluminium;5.2</v>
      </c>
    </row>
    <row r="69" spans="1:5" x14ac:dyDescent="0.3">
      <c r="A69" t="s">
        <v>170</v>
      </c>
      <c r="B69" t="s">
        <v>24</v>
      </c>
      <c r="C69">
        <f>'Dining table'!S3</f>
        <v>0</v>
      </c>
      <c r="E69" t="str">
        <f t="shared" si="3"/>
        <v>Dining table;Concrete;0</v>
      </c>
    </row>
    <row r="70" spans="1:5" x14ac:dyDescent="0.3">
      <c r="A70" t="s">
        <v>170</v>
      </c>
      <c r="B70" t="s">
        <v>25</v>
      </c>
      <c r="C70">
        <f>'Dining table'!S4</f>
        <v>0</v>
      </c>
      <c r="E70" t="str">
        <f t="shared" si="3"/>
        <v>Dining table;Glass (fibre);0</v>
      </c>
    </row>
    <row r="71" spans="1:5" x14ac:dyDescent="0.3">
      <c r="A71" t="s">
        <v>170</v>
      </c>
      <c r="B71" t="s">
        <v>316</v>
      </c>
      <c r="C71">
        <f>'Dining table'!S5</f>
        <v>1.1636</v>
      </c>
      <c r="E71" t="str">
        <f t="shared" si="3"/>
        <v>Dining table;Coatings;1.1636</v>
      </c>
    </row>
    <row r="72" spans="1:5" x14ac:dyDescent="0.3">
      <c r="A72" t="s">
        <v>170</v>
      </c>
      <c r="B72" t="s">
        <v>26</v>
      </c>
      <c r="C72">
        <f>'Dining table'!S6</f>
        <v>0</v>
      </c>
      <c r="E72" t="str">
        <f t="shared" si="3"/>
        <v>Dining table;MDF;0</v>
      </c>
    </row>
    <row r="73" spans="1:5" x14ac:dyDescent="0.3">
      <c r="A73" t="s">
        <v>170</v>
      </c>
      <c r="B73" t="s">
        <v>317</v>
      </c>
      <c r="C73">
        <f>'Dining table'!S7</f>
        <v>1.0204</v>
      </c>
      <c r="E73" t="str">
        <f t="shared" si="3"/>
        <v>Dining table;Metals excl. Steel &amp; Aluminium;1.0204</v>
      </c>
    </row>
    <row r="74" spans="1:5" x14ac:dyDescent="0.3">
      <c r="A74" t="s">
        <v>170</v>
      </c>
      <c r="B74" t="s">
        <v>27</v>
      </c>
      <c r="C74">
        <f>'Dining table'!S8</f>
        <v>0</v>
      </c>
      <c r="E74" t="str">
        <f t="shared" si="3"/>
        <v>Dining table;Paper &amp; Cardboard;0</v>
      </c>
    </row>
    <row r="75" spans="1:5" x14ac:dyDescent="0.3">
      <c r="A75" t="s">
        <v>170</v>
      </c>
      <c r="B75" t="s">
        <v>28</v>
      </c>
      <c r="C75">
        <f>'Dining table'!S9</f>
        <v>3.2000000000000002E-3</v>
      </c>
      <c r="E75" t="str">
        <f t="shared" si="3"/>
        <v>Dining table;Plastics;0.0032</v>
      </c>
    </row>
    <row r="76" spans="1:5" x14ac:dyDescent="0.3">
      <c r="A76" t="s">
        <v>170</v>
      </c>
      <c r="B76" t="s">
        <v>5</v>
      </c>
      <c r="C76">
        <f>'Dining table'!S10</f>
        <v>2.6000000000000002E-2</v>
      </c>
      <c r="E76" t="str">
        <f t="shared" si="3"/>
        <v>Dining table;Steel;0.026</v>
      </c>
    </row>
    <row r="77" spans="1:5" x14ac:dyDescent="0.3">
      <c r="A77" t="s">
        <v>170</v>
      </c>
      <c r="B77" t="s">
        <v>29</v>
      </c>
      <c r="C77">
        <f>'Dining table'!S11</f>
        <v>0</v>
      </c>
      <c r="E77" t="str">
        <f t="shared" si="3"/>
        <v>Dining table;Textiles &amp; Leather;0</v>
      </c>
    </row>
    <row r="78" spans="1:5" x14ac:dyDescent="0.3">
      <c r="A78" t="s">
        <v>170</v>
      </c>
      <c r="B78" t="s">
        <v>9</v>
      </c>
      <c r="C78">
        <f>'Dining table'!S12</f>
        <v>56.796000000000006</v>
      </c>
      <c r="E78" t="str">
        <f t="shared" si="3"/>
        <v>Dining table;Wood;56.796</v>
      </c>
    </row>
    <row r="79" spans="1:5" x14ac:dyDescent="0.3">
      <c r="A79" t="s">
        <v>180</v>
      </c>
      <c r="B79" t="s">
        <v>4</v>
      </c>
      <c r="C79">
        <f>'Small closet'!U2</f>
        <v>9.5599999999999991E-2</v>
      </c>
      <c r="E79" t="str">
        <f t="shared" si="3"/>
        <v>Small closet;Aluminium;0.0956</v>
      </c>
    </row>
    <row r="80" spans="1:5" x14ac:dyDescent="0.3">
      <c r="A80" t="s">
        <v>180</v>
      </c>
      <c r="B80" t="s">
        <v>24</v>
      </c>
      <c r="C80">
        <f>'Small closet'!U3</f>
        <v>3.5159999999999996</v>
      </c>
      <c r="E80" t="str">
        <f t="shared" si="3"/>
        <v>Small closet;Concrete;3.516</v>
      </c>
    </row>
    <row r="81" spans="1:5" x14ac:dyDescent="0.3">
      <c r="A81" t="s">
        <v>180</v>
      </c>
      <c r="B81" t="s">
        <v>25</v>
      </c>
      <c r="C81">
        <f>'Small closet'!U4</f>
        <v>0</v>
      </c>
      <c r="E81" t="str">
        <f t="shared" si="3"/>
        <v>Small closet;Glass (fibre);0</v>
      </c>
    </row>
    <row r="82" spans="1:5" x14ac:dyDescent="0.3">
      <c r="A82" t="s">
        <v>180</v>
      </c>
      <c r="B82" t="s">
        <v>316</v>
      </c>
      <c r="C82">
        <f>'Small closet'!U5</f>
        <v>1.6992</v>
      </c>
      <c r="E82" t="str">
        <f t="shared" si="3"/>
        <v>Small closet;Coatings;1.6992</v>
      </c>
    </row>
    <row r="83" spans="1:5" x14ac:dyDescent="0.3">
      <c r="A83" t="s">
        <v>180</v>
      </c>
      <c r="B83" t="s">
        <v>26</v>
      </c>
      <c r="C83">
        <f>'Small closet'!U6</f>
        <v>0</v>
      </c>
      <c r="E83" t="str">
        <f t="shared" si="3"/>
        <v>Small closet;MDF;0</v>
      </c>
    </row>
    <row r="84" spans="1:5" x14ac:dyDescent="0.3">
      <c r="A84" t="s">
        <v>180</v>
      </c>
      <c r="B84" t="s">
        <v>317</v>
      </c>
      <c r="C84">
        <f>'Small closet'!U7</f>
        <v>0.16699999999999998</v>
      </c>
      <c r="E84" t="str">
        <f t="shared" si="3"/>
        <v>Small closet;Metals excl. Steel &amp; Aluminium;0.167</v>
      </c>
    </row>
    <row r="85" spans="1:5" x14ac:dyDescent="0.3">
      <c r="A85" t="s">
        <v>180</v>
      </c>
      <c r="B85" t="s">
        <v>27</v>
      </c>
      <c r="C85">
        <f>'Small closet'!U8</f>
        <v>0.39400000000000002</v>
      </c>
      <c r="E85" t="str">
        <f t="shared" si="3"/>
        <v>Small closet;Paper &amp; Cardboard;0.394</v>
      </c>
    </row>
    <row r="86" spans="1:5" x14ac:dyDescent="0.3">
      <c r="A86" t="s">
        <v>180</v>
      </c>
      <c r="B86" t="s">
        <v>28</v>
      </c>
      <c r="C86">
        <f>'Small closet'!U9</f>
        <v>0.53139999999999998</v>
      </c>
      <c r="E86" t="str">
        <f t="shared" si="3"/>
        <v>Small closet;Plastics;0.5314</v>
      </c>
    </row>
    <row r="87" spans="1:5" x14ac:dyDescent="0.3">
      <c r="A87" t="s">
        <v>180</v>
      </c>
      <c r="B87" t="s">
        <v>5</v>
      </c>
      <c r="C87">
        <f>'Small closet'!U10</f>
        <v>34.292000000000002</v>
      </c>
      <c r="E87" t="str">
        <f t="shared" si="3"/>
        <v>Small closet;Steel;34.292</v>
      </c>
    </row>
    <row r="88" spans="1:5" x14ac:dyDescent="0.3">
      <c r="A88" t="s">
        <v>180</v>
      </c>
      <c r="B88" t="s">
        <v>29</v>
      </c>
      <c r="C88">
        <f>'Small closet'!U11</f>
        <v>0</v>
      </c>
      <c r="E88" t="str">
        <f t="shared" si="3"/>
        <v>Small closet;Textiles &amp; Leather;0</v>
      </c>
    </row>
    <row r="89" spans="1:5" x14ac:dyDescent="0.3">
      <c r="A89" t="s">
        <v>180</v>
      </c>
      <c r="B89" t="s">
        <v>9</v>
      </c>
      <c r="C89">
        <f>'Small closet'!U12</f>
        <v>11.200000000000001</v>
      </c>
      <c r="E89" t="str">
        <f t="shared" si="3"/>
        <v>Small closet;Wood;11.2</v>
      </c>
    </row>
    <row r="90" spans="1:5" x14ac:dyDescent="0.3">
      <c r="A90" t="s">
        <v>315</v>
      </c>
      <c r="B90" t="s">
        <v>4</v>
      </c>
      <c r="C90">
        <f>'(Double) bed'!R2</f>
        <v>0</v>
      </c>
      <c r="E90" t="str">
        <f t="shared" si="3"/>
        <v>(Double) bed;Aluminium;0</v>
      </c>
    </row>
    <row r="91" spans="1:5" x14ac:dyDescent="0.3">
      <c r="A91" t="s">
        <v>315</v>
      </c>
      <c r="B91" t="s">
        <v>24</v>
      </c>
      <c r="C91">
        <f>'(Double) bed'!R3</f>
        <v>0</v>
      </c>
      <c r="E91" t="str">
        <f t="shared" si="3"/>
        <v>(Double) bed;Concrete;0</v>
      </c>
    </row>
    <row r="92" spans="1:5" x14ac:dyDescent="0.3">
      <c r="A92" t="s">
        <v>315</v>
      </c>
      <c r="B92" t="s">
        <v>25</v>
      </c>
      <c r="C92">
        <f>'(Double) bed'!R4</f>
        <v>0</v>
      </c>
      <c r="E92" t="str">
        <f t="shared" si="3"/>
        <v>(Double) bed;Glass (fibre);0</v>
      </c>
    </row>
    <row r="93" spans="1:5" x14ac:dyDescent="0.3">
      <c r="A93" t="s">
        <v>315</v>
      </c>
      <c r="B93" t="s">
        <v>316</v>
      </c>
      <c r="C93">
        <f>'(Double) bed'!R5</f>
        <v>0</v>
      </c>
      <c r="E93" t="str">
        <f t="shared" si="3"/>
        <v>(Double) bed;Coatings;0</v>
      </c>
    </row>
    <row r="94" spans="1:5" x14ac:dyDescent="0.3">
      <c r="A94" t="s">
        <v>315</v>
      </c>
      <c r="B94" t="s">
        <v>26</v>
      </c>
      <c r="C94">
        <f>'(Double) bed'!R6</f>
        <v>94.581466666666685</v>
      </c>
      <c r="E94" t="str">
        <f t="shared" si="3"/>
        <v>(Double) bed;MDF;94.5814666666667</v>
      </c>
    </row>
    <row r="95" spans="1:5" x14ac:dyDescent="0.3">
      <c r="A95" t="s">
        <v>315</v>
      </c>
      <c r="B95" t="s">
        <v>317</v>
      </c>
      <c r="C95">
        <f>'(Double) bed'!R7</f>
        <v>0</v>
      </c>
      <c r="E95" t="str">
        <f t="shared" si="3"/>
        <v>(Double) bed;Metals excl. Steel &amp; Aluminium;0</v>
      </c>
    </row>
    <row r="96" spans="1:5" x14ac:dyDescent="0.3">
      <c r="A96" t="s">
        <v>315</v>
      </c>
      <c r="B96" t="s">
        <v>27</v>
      </c>
      <c r="C96">
        <f>'(Double) bed'!R8</f>
        <v>0.41899999999999998</v>
      </c>
      <c r="E96" t="str">
        <f t="shared" si="3"/>
        <v>(Double) bed;Paper &amp; Cardboard;0.419</v>
      </c>
    </row>
    <row r="97" spans="1:5" x14ac:dyDescent="0.3">
      <c r="A97" t="s">
        <v>315</v>
      </c>
      <c r="B97" t="s">
        <v>28</v>
      </c>
      <c r="C97">
        <f>'(Double) bed'!R9</f>
        <v>2.8556666666666666</v>
      </c>
      <c r="E97" t="str">
        <f t="shared" si="3"/>
        <v>(Double) bed;Plastics;2.85566666666667</v>
      </c>
    </row>
    <row r="98" spans="1:5" x14ac:dyDescent="0.3">
      <c r="A98" t="s">
        <v>315</v>
      </c>
      <c r="B98" t="s">
        <v>5</v>
      </c>
      <c r="C98">
        <f>'(Double) bed'!R10</f>
        <v>9.9433333333333334</v>
      </c>
      <c r="E98" t="str">
        <f t="shared" si="3"/>
        <v>(Double) bed;Steel;9.94333333333333</v>
      </c>
    </row>
    <row r="99" spans="1:5" x14ac:dyDescent="0.3">
      <c r="A99" t="s">
        <v>315</v>
      </c>
      <c r="B99" t="s">
        <v>29</v>
      </c>
      <c r="C99">
        <f>'(Double) bed'!R11</f>
        <v>0.66999999999999993</v>
      </c>
      <c r="E99" t="str">
        <f t="shared" si="3"/>
        <v>(Double) bed;Textiles &amp; Leather;0.67</v>
      </c>
    </row>
    <row r="100" spans="1:5" x14ac:dyDescent="0.3">
      <c r="A100" t="s">
        <v>315</v>
      </c>
      <c r="B100" t="s">
        <v>9</v>
      </c>
      <c r="C100">
        <f>'(Double) bed'!R12</f>
        <v>0</v>
      </c>
      <c r="E100" t="str">
        <f t="shared" si="3"/>
        <v>(Double) bed;Wood;0</v>
      </c>
    </row>
    <row r="101" spans="1:5" x14ac:dyDescent="0.3">
      <c r="A101" t="s">
        <v>100</v>
      </c>
      <c r="B101" t="s">
        <v>4</v>
      </c>
      <c r="C101">
        <f>Mattress!R2</f>
        <v>0</v>
      </c>
      <c r="E101" t="str">
        <f t="shared" si="3"/>
        <v>Mattress;Aluminium;0</v>
      </c>
    </row>
    <row r="102" spans="1:5" x14ac:dyDescent="0.3">
      <c r="A102" t="s">
        <v>100</v>
      </c>
      <c r="B102" t="s">
        <v>24</v>
      </c>
      <c r="C102">
        <f>Mattress!R3</f>
        <v>0</v>
      </c>
      <c r="E102" t="str">
        <f t="shared" si="3"/>
        <v>Mattress;Concrete;0</v>
      </c>
    </row>
    <row r="103" spans="1:5" x14ac:dyDescent="0.3">
      <c r="A103" t="s">
        <v>100</v>
      </c>
      <c r="B103" t="s">
        <v>25</v>
      </c>
      <c r="C103">
        <f>Mattress!R4</f>
        <v>0</v>
      </c>
      <c r="E103" t="str">
        <f t="shared" si="3"/>
        <v>Mattress;Glass (fibre);0</v>
      </c>
    </row>
    <row r="104" spans="1:5" x14ac:dyDescent="0.3">
      <c r="A104" t="s">
        <v>100</v>
      </c>
      <c r="B104" t="s">
        <v>316</v>
      </c>
      <c r="C104">
        <f>Mattress!R5</f>
        <v>0</v>
      </c>
      <c r="E104" t="str">
        <f t="shared" si="3"/>
        <v>Mattress;Coatings;0</v>
      </c>
    </row>
    <row r="105" spans="1:5" x14ac:dyDescent="0.3">
      <c r="A105" t="s">
        <v>100</v>
      </c>
      <c r="B105" t="s">
        <v>26</v>
      </c>
      <c r="C105">
        <f>Mattress!R6</f>
        <v>0</v>
      </c>
      <c r="E105" t="str">
        <f t="shared" si="3"/>
        <v>Mattress;MDF;0</v>
      </c>
    </row>
    <row r="106" spans="1:5" x14ac:dyDescent="0.3">
      <c r="A106" t="s">
        <v>100</v>
      </c>
      <c r="B106" t="s">
        <v>317</v>
      </c>
      <c r="C106">
        <f>Mattress!R7</f>
        <v>1.1428571428571429E-2</v>
      </c>
      <c r="E106" t="str">
        <f t="shared" si="3"/>
        <v>Mattress;Metals excl. Steel &amp; Aluminium;0.0114285714285714</v>
      </c>
    </row>
    <row r="107" spans="1:5" x14ac:dyDescent="0.3">
      <c r="A107" t="s">
        <v>100</v>
      </c>
      <c r="B107" t="s">
        <v>27</v>
      </c>
      <c r="C107">
        <f>Mattress!R8</f>
        <v>0.54714285714285715</v>
      </c>
      <c r="E107" t="str">
        <f t="shared" si="3"/>
        <v>Mattress;Paper &amp; Cardboard;0.547142857142857</v>
      </c>
    </row>
    <row r="108" spans="1:5" x14ac:dyDescent="0.3">
      <c r="A108" t="s">
        <v>100</v>
      </c>
      <c r="B108" t="s">
        <v>28</v>
      </c>
      <c r="C108">
        <f>Mattress!R9</f>
        <v>13.039142857142858</v>
      </c>
      <c r="E108" t="str">
        <f t="shared" si="3"/>
        <v>Mattress;Plastics;13.0391428571429</v>
      </c>
    </row>
    <row r="109" spans="1:5" x14ac:dyDescent="0.3">
      <c r="A109" t="s">
        <v>100</v>
      </c>
      <c r="B109" t="s">
        <v>5</v>
      </c>
      <c r="C109">
        <f>Mattress!R10</f>
        <v>11.813714285714285</v>
      </c>
      <c r="E109" t="str">
        <f t="shared" si="3"/>
        <v>Mattress;Steel;11.8137142857143</v>
      </c>
    </row>
    <row r="110" spans="1:5" x14ac:dyDescent="0.3">
      <c r="A110" t="s">
        <v>100</v>
      </c>
      <c r="B110" t="s">
        <v>29</v>
      </c>
      <c r="C110">
        <f>Mattress!R11</f>
        <v>5.9984285714285717</v>
      </c>
      <c r="E110" t="str">
        <f t="shared" si="3"/>
        <v>Mattress;Textiles &amp; Leather;5.99842857142857</v>
      </c>
    </row>
    <row r="111" spans="1:5" x14ac:dyDescent="0.3">
      <c r="A111" t="s">
        <v>100</v>
      </c>
      <c r="B111" t="s">
        <v>9</v>
      </c>
      <c r="C111">
        <f>Mattress!R12</f>
        <v>2.6285714285714286</v>
      </c>
      <c r="E111" t="str">
        <f t="shared" si="3"/>
        <v>Mattress;Wood;2.62857142857143</v>
      </c>
    </row>
    <row r="112" spans="1:5" x14ac:dyDescent="0.3">
      <c r="A112" t="s">
        <v>181</v>
      </c>
      <c r="B112" t="s">
        <v>4</v>
      </c>
      <c r="C112">
        <f>'Side table'!R2</f>
        <v>0.23574999999999999</v>
      </c>
      <c r="E112" t="str">
        <f t="shared" si="3"/>
        <v>Side table;Aluminium;0.23575</v>
      </c>
    </row>
    <row r="113" spans="1:5" x14ac:dyDescent="0.3">
      <c r="A113" t="s">
        <v>181</v>
      </c>
      <c r="B113" t="s">
        <v>24</v>
      </c>
      <c r="C113">
        <f>'Side table'!R3</f>
        <v>0</v>
      </c>
      <c r="E113" t="str">
        <f t="shared" si="3"/>
        <v>Side table;Concrete;0</v>
      </c>
    </row>
    <row r="114" spans="1:5" x14ac:dyDescent="0.3">
      <c r="A114" t="s">
        <v>181</v>
      </c>
      <c r="B114" t="s">
        <v>25</v>
      </c>
      <c r="C114">
        <f>'Side table'!R4</f>
        <v>7.1805000000000003</v>
      </c>
      <c r="E114" t="str">
        <f t="shared" si="3"/>
        <v>Side table;Glass (fibre);7.1805</v>
      </c>
    </row>
    <row r="115" spans="1:5" x14ac:dyDescent="0.3">
      <c r="A115" t="s">
        <v>181</v>
      </c>
      <c r="B115" t="s">
        <v>316</v>
      </c>
      <c r="C115">
        <f>'Side table'!R5</f>
        <v>0.31295812499999998</v>
      </c>
      <c r="E115" t="str">
        <f t="shared" si="3"/>
        <v>Side table;Coatings;0.312958125</v>
      </c>
    </row>
    <row r="116" spans="1:5" x14ac:dyDescent="0.3">
      <c r="A116" t="s">
        <v>181</v>
      </c>
      <c r="B116" t="s">
        <v>26</v>
      </c>
      <c r="C116">
        <f>'Side table'!R6</f>
        <v>3.5648</v>
      </c>
      <c r="E116" t="str">
        <f t="shared" si="3"/>
        <v>Side table;MDF;3.5648</v>
      </c>
    </row>
    <row r="117" spans="1:5" x14ac:dyDescent="0.3">
      <c r="A117" t="s">
        <v>181</v>
      </c>
      <c r="B117" t="s">
        <v>317</v>
      </c>
      <c r="C117">
        <f>'Side table'!R7</f>
        <v>5.6375000000000001E-2</v>
      </c>
      <c r="E117" t="str">
        <f t="shared" si="3"/>
        <v>Side table;Metals excl. Steel &amp; Aluminium;0.056375</v>
      </c>
    </row>
    <row r="118" spans="1:5" x14ac:dyDescent="0.3">
      <c r="A118" t="s">
        <v>181</v>
      </c>
      <c r="B118" t="s">
        <v>27</v>
      </c>
      <c r="C118">
        <f>'Side table'!R8</f>
        <v>0.32074999999999998</v>
      </c>
      <c r="E118" t="str">
        <f t="shared" si="3"/>
        <v>Side table;Paper &amp; Cardboard;0.32075</v>
      </c>
    </row>
    <row r="119" spans="1:5" x14ac:dyDescent="0.3">
      <c r="A119" t="s">
        <v>181</v>
      </c>
      <c r="B119" t="s">
        <v>28</v>
      </c>
      <c r="C119">
        <f>'Side table'!R9</f>
        <v>0.10912500000000001</v>
      </c>
      <c r="E119" t="str">
        <f t="shared" si="3"/>
        <v>Side table;Plastics;0.109125</v>
      </c>
    </row>
    <row r="120" spans="1:5" x14ac:dyDescent="0.3">
      <c r="A120" t="s">
        <v>181</v>
      </c>
      <c r="B120" t="s">
        <v>5</v>
      </c>
      <c r="C120">
        <f>'Side table'!R10</f>
        <v>2.7328749999999999</v>
      </c>
      <c r="E120" t="str">
        <f t="shared" si="3"/>
        <v>Side table;Steel;2.732875</v>
      </c>
    </row>
    <row r="121" spans="1:5" x14ac:dyDescent="0.3">
      <c r="A121" t="s">
        <v>181</v>
      </c>
      <c r="B121" t="s">
        <v>29</v>
      </c>
      <c r="C121">
        <f>'Side table'!R11</f>
        <v>1.7999999999999999E-2</v>
      </c>
      <c r="E121" t="str">
        <f t="shared" ref="E121:E155" si="4">A121&amp;";"&amp;B121&amp;";"&amp;C121</f>
        <v>Side table;Textiles &amp; Leather;0.018</v>
      </c>
    </row>
    <row r="122" spans="1:5" x14ac:dyDescent="0.3">
      <c r="A122" t="s">
        <v>181</v>
      </c>
      <c r="B122" t="s">
        <v>9</v>
      </c>
      <c r="C122">
        <f>'Side table'!R12</f>
        <v>9.3149999999999995</v>
      </c>
      <c r="E122" t="str">
        <f t="shared" si="4"/>
        <v>Side table;Wood;9.315</v>
      </c>
    </row>
    <row r="123" spans="1:5" x14ac:dyDescent="0.3">
      <c r="A123" t="s">
        <v>120</v>
      </c>
      <c r="B123" t="s">
        <v>4</v>
      </c>
      <c r="C123">
        <f>Sofa!R2</f>
        <v>4.5307499999999994</v>
      </c>
      <c r="E123" t="str">
        <f t="shared" si="4"/>
        <v>Sofa;Aluminium;4.53075</v>
      </c>
    </row>
    <row r="124" spans="1:5" x14ac:dyDescent="0.3">
      <c r="A124" t="s">
        <v>120</v>
      </c>
      <c r="B124" t="s">
        <v>24</v>
      </c>
      <c r="C124">
        <f>Sofa!R3</f>
        <v>0</v>
      </c>
      <c r="E124" t="str">
        <f t="shared" si="4"/>
        <v>Sofa;Concrete;0</v>
      </c>
    </row>
    <row r="125" spans="1:5" x14ac:dyDescent="0.3">
      <c r="A125" t="s">
        <v>120</v>
      </c>
      <c r="B125" t="s">
        <v>25</v>
      </c>
      <c r="C125">
        <f>Sofa!R4</f>
        <v>0</v>
      </c>
      <c r="E125" t="str">
        <f t="shared" si="4"/>
        <v>Sofa;Glass (fibre);0</v>
      </c>
    </row>
    <row r="126" spans="1:5" x14ac:dyDescent="0.3">
      <c r="A126" t="s">
        <v>120</v>
      </c>
      <c r="B126" t="s">
        <v>316</v>
      </c>
      <c r="C126">
        <f>Sofa!R5</f>
        <v>0.45021249999999996</v>
      </c>
      <c r="E126" t="str">
        <f t="shared" si="4"/>
        <v>Sofa;Coatings;0.4502125</v>
      </c>
    </row>
    <row r="127" spans="1:5" x14ac:dyDescent="0.3">
      <c r="A127" t="s">
        <v>120</v>
      </c>
      <c r="B127" t="s">
        <v>26</v>
      </c>
      <c r="C127">
        <f>Sofa!R6</f>
        <v>15.6525</v>
      </c>
      <c r="E127" t="str">
        <f t="shared" si="4"/>
        <v>Sofa;MDF;15.6525</v>
      </c>
    </row>
    <row r="128" spans="1:5" x14ac:dyDescent="0.3">
      <c r="A128" t="s">
        <v>120</v>
      </c>
      <c r="B128" t="s">
        <v>317</v>
      </c>
      <c r="C128">
        <f>Sofa!R7</f>
        <v>0.32824999999999999</v>
      </c>
      <c r="E128" t="str">
        <f t="shared" si="4"/>
        <v>Sofa;Metals excl. Steel &amp; Aluminium;0.32825</v>
      </c>
    </row>
    <row r="129" spans="1:5" x14ac:dyDescent="0.3">
      <c r="A129" t="s">
        <v>120</v>
      </c>
      <c r="B129" t="s">
        <v>27</v>
      </c>
      <c r="C129">
        <f>Sofa!R8</f>
        <v>0.85624999999999996</v>
      </c>
      <c r="E129" t="str">
        <f t="shared" si="4"/>
        <v>Sofa;Paper &amp; Cardboard;0.85625</v>
      </c>
    </row>
    <row r="130" spans="1:5" x14ac:dyDescent="0.3">
      <c r="A130" t="s">
        <v>120</v>
      </c>
      <c r="B130" t="s">
        <v>28</v>
      </c>
      <c r="C130">
        <f>Sofa!R9</f>
        <v>13.831375000000001</v>
      </c>
      <c r="E130" t="str">
        <f t="shared" si="4"/>
        <v>Sofa;Plastics;13.831375</v>
      </c>
    </row>
    <row r="131" spans="1:5" x14ac:dyDescent="0.3">
      <c r="A131" t="s">
        <v>120</v>
      </c>
      <c r="B131" t="s">
        <v>5</v>
      </c>
      <c r="C131">
        <f>Sofa!R10</f>
        <v>9.9746250000000014</v>
      </c>
      <c r="E131" t="str">
        <f t="shared" si="4"/>
        <v>Sofa;Steel;9.974625</v>
      </c>
    </row>
    <row r="132" spans="1:5" x14ac:dyDescent="0.3">
      <c r="A132" t="s">
        <v>120</v>
      </c>
      <c r="B132" t="s">
        <v>29</v>
      </c>
      <c r="C132">
        <f>Sofa!R11</f>
        <v>2.7837499999999999</v>
      </c>
      <c r="E132" t="str">
        <f t="shared" si="4"/>
        <v>Sofa;Textiles &amp; Leather;2.78375</v>
      </c>
    </row>
    <row r="133" spans="1:5" x14ac:dyDescent="0.3">
      <c r="A133" t="s">
        <v>120</v>
      </c>
      <c r="B133" t="s">
        <v>9</v>
      </c>
      <c r="C133">
        <f>Sofa!R12</f>
        <v>14.10862</v>
      </c>
      <c r="E133" t="str">
        <f t="shared" si="4"/>
        <v>Sofa;Wood;14.10862</v>
      </c>
    </row>
    <row r="134" spans="1:5" x14ac:dyDescent="0.3">
      <c r="A134" t="s">
        <v>177</v>
      </c>
      <c r="B134" t="s">
        <v>4</v>
      </c>
      <c r="C134">
        <f>Stool!S2</f>
        <v>0</v>
      </c>
      <c r="E134" t="str">
        <f t="shared" si="4"/>
        <v>Stool;Aluminium;0</v>
      </c>
    </row>
    <row r="135" spans="1:5" x14ac:dyDescent="0.3">
      <c r="A135" t="s">
        <v>177</v>
      </c>
      <c r="B135" t="s">
        <v>24</v>
      </c>
      <c r="C135">
        <f>Stool!S3</f>
        <v>0</v>
      </c>
      <c r="E135" t="str">
        <f t="shared" si="4"/>
        <v>Stool;Concrete;0</v>
      </c>
    </row>
    <row r="136" spans="1:5" x14ac:dyDescent="0.3">
      <c r="A136" t="s">
        <v>177</v>
      </c>
      <c r="B136" t="s">
        <v>25</v>
      </c>
      <c r="C136">
        <f>Stool!S4</f>
        <v>0</v>
      </c>
      <c r="E136" t="str">
        <f t="shared" si="4"/>
        <v>Stool;Glass (fibre);0</v>
      </c>
    </row>
    <row r="137" spans="1:5" x14ac:dyDescent="0.3">
      <c r="A137" t="s">
        <v>177</v>
      </c>
      <c r="B137" t="s">
        <v>316</v>
      </c>
      <c r="C137">
        <f>Stool!S5</f>
        <v>6.5000000000000002E-2</v>
      </c>
      <c r="E137" t="str">
        <f t="shared" si="4"/>
        <v>Stool;Coatings;0.065</v>
      </c>
    </row>
    <row r="138" spans="1:5" x14ac:dyDescent="0.3">
      <c r="A138" t="s">
        <v>177</v>
      </c>
      <c r="B138" t="s">
        <v>26</v>
      </c>
      <c r="C138">
        <f>Stool!S6</f>
        <v>0</v>
      </c>
      <c r="E138" t="str">
        <f t="shared" si="4"/>
        <v>Stool;MDF;0</v>
      </c>
    </row>
    <row r="139" spans="1:5" x14ac:dyDescent="0.3">
      <c r="A139" t="s">
        <v>177</v>
      </c>
      <c r="B139" t="s">
        <v>317</v>
      </c>
      <c r="C139">
        <f>Stool!S7</f>
        <v>0.01</v>
      </c>
      <c r="E139" t="str">
        <f t="shared" si="4"/>
        <v>Stool;Metals excl. Steel &amp; Aluminium;0.01</v>
      </c>
    </row>
    <row r="140" spans="1:5" x14ac:dyDescent="0.3">
      <c r="A140" t="s">
        <v>177</v>
      </c>
      <c r="B140" t="s">
        <v>27</v>
      </c>
      <c r="C140">
        <f>Stool!S8</f>
        <v>0</v>
      </c>
      <c r="E140" t="str">
        <f t="shared" si="4"/>
        <v>Stool;Paper &amp; Cardboard;0</v>
      </c>
    </row>
    <row r="141" spans="1:5" x14ac:dyDescent="0.3">
      <c r="A141" t="s">
        <v>177</v>
      </c>
      <c r="B141" t="s">
        <v>28</v>
      </c>
      <c r="C141">
        <f>Stool!S9</f>
        <v>0</v>
      </c>
      <c r="E141" t="str">
        <f t="shared" si="4"/>
        <v>Stool;Plastics;0</v>
      </c>
    </row>
    <row r="142" spans="1:5" x14ac:dyDescent="0.3">
      <c r="A142" t="s">
        <v>177</v>
      </c>
      <c r="B142" t="s">
        <v>5</v>
      </c>
      <c r="C142">
        <f>Stool!S10</f>
        <v>0</v>
      </c>
      <c r="E142" t="str">
        <f t="shared" si="4"/>
        <v>Stool;Steel;0</v>
      </c>
    </row>
    <row r="143" spans="1:5" x14ac:dyDescent="0.3">
      <c r="A143" t="s">
        <v>177</v>
      </c>
      <c r="B143" t="s">
        <v>29</v>
      </c>
      <c r="C143">
        <f>Stool!S11</f>
        <v>0.14500000000000002</v>
      </c>
      <c r="E143" t="str">
        <f t="shared" si="4"/>
        <v>Stool;Textiles &amp; Leather;0.145</v>
      </c>
    </row>
    <row r="144" spans="1:5" x14ac:dyDescent="0.3">
      <c r="A144" t="s">
        <v>177</v>
      </c>
      <c r="B144" t="s">
        <v>9</v>
      </c>
      <c r="C144">
        <f>Stool!S12</f>
        <v>4.8600000000000003</v>
      </c>
      <c r="E144" t="str">
        <f t="shared" si="4"/>
        <v>Stool;Wood;4.86</v>
      </c>
    </row>
    <row r="145" spans="1:5" x14ac:dyDescent="0.3">
      <c r="A145" t="s">
        <v>182</v>
      </c>
      <c r="B145" t="s">
        <v>4</v>
      </c>
      <c r="C145">
        <f>'Container_ Filing cabinet'!U2</f>
        <v>0</v>
      </c>
      <c r="E145" t="str">
        <f t="shared" si="4"/>
        <v>Container;Aluminium;0</v>
      </c>
    </row>
    <row r="146" spans="1:5" x14ac:dyDescent="0.3">
      <c r="A146" t="s">
        <v>182</v>
      </c>
      <c r="B146" t="s">
        <v>24</v>
      </c>
      <c r="C146">
        <f>'Container_ Filing cabinet'!U3</f>
        <v>21.568571428571428</v>
      </c>
      <c r="E146" t="str">
        <f t="shared" si="4"/>
        <v>Container;Concrete;21.5685714285714</v>
      </c>
    </row>
    <row r="147" spans="1:5" x14ac:dyDescent="0.3">
      <c r="A147" t="s">
        <v>182</v>
      </c>
      <c r="B147" t="s">
        <v>25</v>
      </c>
      <c r="C147">
        <f>'Container_ Filing cabinet'!U4</f>
        <v>0</v>
      </c>
      <c r="E147" t="str">
        <f t="shared" si="4"/>
        <v>Container;Glass (fibre);0</v>
      </c>
    </row>
    <row r="148" spans="1:5" x14ac:dyDescent="0.3">
      <c r="A148" t="s">
        <v>182</v>
      </c>
      <c r="B148" t="s">
        <v>316</v>
      </c>
      <c r="C148">
        <f>'Container_ Filing cabinet'!U5</f>
        <v>0</v>
      </c>
      <c r="E148" t="str">
        <f t="shared" si="4"/>
        <v>Container;Coatings;0</v>
      </c>
    </row>
    <row r="149" spans="1:5" x14ac:dyDescent="0.3">
      <c r="A149" t="s">
        <v>182</v>
      </c>
      <c r="B149" t="s">
        <v>26</v>
      </c>
      <c r="C149">
        <f>'Container_ Filing cabinet'!U6</f>
        <v>0</v>
      </c>
      <c r="E149" t="str">
        <f t="shared" si="4"/>
        <v>Container;MDF;0</v>
      </c>
    </row>
    <row r="150" spans="1:5" x14ac:dyDescent="0.3">
      <c r="A150" t="s">
        <v>182</v>
      </c>
      <c r="B150" t="s">
        <v>317</v>
      </c>
      <c r="C150">
        <f>'Container_ Filing cabinet'!U7</f>
        <v>9.0571428571428567E-2</v>
      </c>
      <c r="E150" t="str">
        <f t="shared" si="4"/>
        <v>Container;Metals excl. Steel &amp; Aluminium;0.0905714285714286</v>
      </c>
    </row>
    <row r="151" spans="1:5" x14ac:dyDescent="0.3">
      <c r="A151" t="s">
        <v>182</v>
      </c>
      <c r="B151" t="s">
        <v>27</v>
      </c>
      <c r="C151">
        <f>'Container_ Filing cabinet'!U8</f>
        <v>0</v>
      </c>
      <c r="E151" t="str">
        <f t="shared" si="4"/>
        <v>Container;Paper &amp; Cardboard;0</v>
      </c>
    </row>
    <row r="152" spans="1:5" x14ac:dyDescent="0.3">
      <c r="A152" t="s">
        <v>182</v>
      </c>
      <c r="B152" t="s">
        <v>28</v>
      </c>
      <c r="C152">
        <f>'Container_ Filing cabinet'!U9</f>
        <v>0.4048571428571428</v>
      </c>
      <c r="E152" t="str">
        <f t="shared" si="4"/>
        <v>Container;Plastics;0.404857142857143</v>
      </c>
    </row>
    <row r="153" spans="1:5" x14ac:dyDescent="0.3">
      <c r="A153" t="s">
        <v>182</v>
      </c>
      <c r="B153" t="s">
        <v>5</v>
      </c>
      <c r="C153">
        <f>'Container_ Filing cabinet'!U10</f>
        <v>41.31</v>
      </c>
      <c r="E153" t="str">
        <f t="shared" si="4"/>
        <v>Container;Steel;41.31</v>
      </c>
    </row>
    <row r="154" spans="1:5" x14ac:dyDescent="0.3">
      <c r="A154" t="s">
        <v>182</v>
      </c>
      <c r="B154" t="s">
        <v>29</v>
      </c>
      <c r="C154">
        <f>'Container_ Filing cabinet'!U11</f>
        <v>0</v>
      </c>
      <c r="E154" t="str">
        <f t="shared" si="4"/>
        <v>Container;Textiles &amp; Leather;0</v>
      </c>
    </row>
    <row r="155" spans="1:5" x14ac:dyDescent="0.3">
      <c r="A155" t="s">
        <v>182</v>
      </c>
      <c r="B155" t="s">
        <v>9</v>
      </c>
      <c r="C155">
        <f>'Container_ Filing cabinet'!U12</f>
        <v>0</v>
      </c>
      <c r="E155" t="str">
        <f t="shared" si="4"/>
        <v>Container;Wood;0</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D2107-7067-4BDE-BED9-E81D83ADAF58}">
  <dimension ref="A1:O74"/>
  <sheetViews>
    <sheetView topLeftCell="A61" zoomScale="115" zoomScaleNormal="115" workbookViewId="0">
      <selection activeCell="F21" sqref="F21"/>
    </sheetView>
  </sheetViews>
  <sheetFormatPr defaultRowHeight="14.4" x14ac:dyDescent="0.3"/>
  <cols>
    <col min="1" max="1" width="28.6640625" style="2" customWidth="1"/>
    <col min="2" max="2" width="33.6640625" customWidth="1"/>
  </cols>
  <sheetData>
    <row r="1" spans="1:4" x14ac:dyDescent="0.3">
      <c r="A1" s="2" t="s">
        <v>325</v>
      </c>
      <c r="B1" s="2" t="s">
        <v>2</v>
      </c>
      <c r="C1" s="2" t="s">
        <v>183</v>
      </c>
    </row>
    <row r="2" spans="1:4" x14ac:dyDescent="0.3">
      <c r="A2" s="2" t="s">
        <v>4</v>
      </c>
      <c r="B2" t="s">
        <v>4</v>
      </c>
    </row>
    <row r="3" spans="1:4" x14ac:dyDescent="0.3">
      <c r="A3" s="2" t="s">
        <v>24</v>
      </c>
      <c r="B3" t="s">
        <v>24</v>
      </c>
    </row>
    <row r="4" spans="1:4" x14ac:dyDescent="0.3">
      <c r="A4" s="2" t="s">
        <v>25</v>
      </c>
      <c r="B4" t="s">
        <v>25</v>
      </c>
    </row>
    <row r="5" spans="1:4" x14ac:dyDescent="0.3">
      <c r="B5" t="s">
        <v>192</v>
      </c>
    </row>
    <row r="6" spans="1:4" x14ac:dyDescent="0.3">
      <c r="B6" t="s">
        <v>53</v>
      </c>
    </row>
    <row r="7" spans="1:4" x14ac:dyDescent="0.3">
      <c r="A7" s="2" t="s">
        <v>316</v>
      </c>
      <c r="B7" t="s">
        <v>200</v>
      </c>
    </row>
    <row r="8" spans="1:4" x14ac:dyDescent="0.3">
      <c r="B8" t="s">
        <v>245</v>
      </c>
      <c r="C8" t="s">
        <v>345</v>
      </c>
    </row>
    <row r="9" spans="1:4" x14ac:dyDescent="0.3">
      <c r="B9" t="s">
        <v>316</v>
      </c>
    </row>
    <row r="10" spans="1:4" x14ac:dyDescent="0.3">
      <c r="B10" t="s">
        <v>201</v>
      </c>
      <c r="C10" t="s">
        <v>375</v>
      </c>
      <c r="D10" t="s">
        <v>185</v>
      </c>
    </row>
    <row r="11" spans="1:4" x14ac:dyDescent="0.3">
      <c r="B11" t="s">
        <v>80</v>
      </c>
    </row>
    <row r="12" spans="1:4" x14ac:dyDescent="0.3">
      <c r="B12" t="s">
        <v>331</v>
      </c>
    </row>
    <row r="13" spans="1:4" x14ac:dyDescent="0.3">
      <c r="B13" t="s">
        <v>45</v>
      </c>
    </row>
    <row r="14" spans="1:4" x14ac:dyDescent="0.3">
      <c r="B14" t="s">
        <v>7</v>
      </c>
    </row>
    <row r="15" spans="1:4" x14ac:dyDescent="0.3">
      <c r="B15" t="s">
        <v>246</v>
      </c>
      <c r="C15" t="s">
        <v>345</v>
      </c>
    </row>
    <row r="16" spans="1:4" x14ac:dyDescent="0.3">
      <c r="B16" t="s">
        <v>244</v>
      </c>
      <c r="C16" t="s">
        <v>345</v>
      </c>
    </row>
    <row r="17" spans="1:4" x14ac:dyDescent="0.3">
      <c r="B17" t="s">
        <v>124</v>
      </c>
    </row>
    <row r="18" spans="1:4" x14ac:dyDescent="0.3">
      <c r="B18" t="s">
        <v>329</v>
      </c>
    </row>
    <row r="19" spans="1:4" x14ac:dyDescent="0.3">
      <c r="A19" s="2" t="s">
        <v>26</v>
      </c>
      <c r="B19" t="s">
        <v>26</v>
      </c>
    </row>
    <row r="20" spans="1:4" x14ac:dyDescent="0.3">
      <c r="B20" t="s">
        <v>346</v>
      </c>
    </row>
    <row r="21" spans="1:4" x14ac:dyDescent="0.3">
      <c r="B21" t="s">
        <v>48</v>
      </c>
    </row>
    <row r="22" spans="1:4" x14ac:dyDescent="0.3">
      <c r="B22" t="s">
        <v>347</v>
      </c>
    </row>
    <row r="23" spans="1:4" x14ac:dyDescent="0.3">
      <c r="A23" s="2" t="s">
        <v>317</v>
      </c>
      <c r="B23" t="s">
        <v>189</v>
      </c>
    </row>
    <row r="24" spans="1:4" x14ac:dyDescent="0.3">
      <c r="B24" t="s">
        <v>278</v>
      </c>
    </row>
    <row r="25" spans="1:4" x14ac:dyDescent="0.3">
      <c r="B25" t="s">
        <v>284</v>
      </c>
      <c r="C25" t="s">
        <v>335</v>
      </c>
      <c r="D25" t="s">
        <v>185</v>
      </c>
    </row>
    <row r="26" spans="1:4" x14ac:dyDescent="0.3">
      <c r="B26" t="s">
        <v>224</v>
      </c>
    </row>
    <row r="27" spans="1:4" x14ac:dyDescent="0.3">
      <c r="B27" t="s">
        <v>112</v>
      </c>
    </row>
    <row r="28" spans="1:4" x14ac:dyDescent="0.3">
      <c r="B28" t="s">
        <v>142</v>
      </c>
      <c r="C28" t="s">
        <v>330</v>
      </c>
      <c r="D28" t="s">
        <v>185</v>
      </c>
    </row>
    <row r="29" spans="1:4" x14ac:dyDescent="0.3">
      <c r="B29" t="s">
        <v>223</v>
      </c>
    </row>
    <row r="30" spans="1:4" x14ac:dyDescent="0.3">
      <c r="A30" s="2" t="s">
        <v>27</v>
      </c>
      <c r="B30" t="s">
        <v>8</v>
      </c>
    </row>
    <row r="31" spans="1:4" x14ac:dyDescent="0.3">
      <c r="B31" t="s">
        <v>337</v>
      </c>
    </row>
    <row r="32" spans="1:4" x14ac:dyDescent="0.3">
      <c r="B32" t="s">
        <v>191</v>
      </c>
    </row>
    <row r="33" spans="1:4" x14ac:dyDescent="0.3">
      <c r="B33" t="s">
        <v>96</v>
      </c>
    </row>
    <row r="34" spans="1:4" x14ac:dyDescent="0.3">
      <c r="B34" t="s">
        <v>131</v>
      </c>
    </row>
    <row r="35" spans="1:4" x14ac:dyDescent="0.3">
      <c r="A35" s="2" t="s">
        <v>28</v>
      </c>
      <c r="B35" t="s">
        <v>336</v>
      </c>
    </row>
    <row r="36" spans="1:4" x14ac:dyDescent="0.3">
      <c r="B36" t="s">
        <v>349</v>
      </c>
    </row>
    <row r="37" spans="1:4" x14ac:dyDescent="0.3">
      <c r="B37" t="s">
        <v>309</v>
      </c>
      <c r="C37" t="s">
        <v>341</v>
      </c>
      <c r="D37" t="s">
        <v>185</v>
      </c>
    </row>
    <row r="38" spans="1:4" x14ac:dyDescent="0.3">
      <c r="B38" t="s">
        <v>343</v>
      </c>
    </row>
    <row r="39" spans="1:4" x14ac:dyDescent="0.3">
      <c r="B39" t="s">
        <v>193</v>
      </c>
    </row>
    <row r="40" spans="1:4" x14ac:dyDescent="0.3">
      <c r="B40" t="s">
        <v>339</v>
      </c>
      <c r="C40" t="s">
        <v>340</v>
      </c>
      <c r="D40" t="s">
        <v>185</v>
      </c>
    </row>
    <row r="41" spans="1:4" x14ac:dyDescent="0.3">
      <c r="B41" t="s">
        <v>197</v>
      </c>
    </row>
    <row r="42" spans="1:4" x14ac:dyDescent="0.3">
      <c r="B42" t="s">
        <v>61</v>
      </c>
    </row>
    <row r="43" spans="1:4" x14ac:dyDescent="0.3">
      <c r="B43" t="s">
        <v>62</v>
      </c>
    </row>
    <row r="44" spans="1:4" x14ac:dyDescent="0.3">
      <c r="B44" t="s">
        <v>196</v>
      </c>
      <c r="C44" t="s">
        <v>333</v>
      </c>
      <c r="D44" t="s">
        <v>185</v>
      </c>
    </row>
    <row r="45" spans="1:4" x14ac:dyDescent="0.3">
      <c r="B45" t="s">
        <v>199</v>
      </c>
    </row>
    <row r="46" spans="1:4" x14ac:dyDescent="0.3">
      <c r="B46" t="s">
        <v>194</v>
      </c>
      <c r="D46" t="s">
        <v>185</v>
      </c>
    </row>
    <row r="47" spans="1:4" x14ac:dyDescent="0.3">
      <c r="B47" t="s">
        <v>348</v>
      </c>
    </row>
    <row r="48" spans="1:4" x14ac:dyDescent="0.3">
      <c r="B48" t="s">
        <v>324</v>
      </c>
      <c r="D48" t="s">
        <v>185</v>
      </c>
    </row>
    <row r="49" spans="1:15" x14ac:dyDescent="0.3">
      <c r="B49" t="s">
        <v>327</v>
      </c>
    </row>
    <row r="50" spans="1:15" x14ac:dyDescent="0.3">
      <c r="B50" t="s">
        <v>195</v>
      </c>
    </row>
    <row r="51" spans="1:15" x14ac:dyDescent="0.3">
      <c r="B51" t="s">
        <v>338</v>
      </c>
    </row>
    <row r="52" spans="1:15" x14ac:dyDescent="0.3">
      <c r="B52" t="s">
        <v>320</v>
      </c>
      <c r="O52" s="2"/>
    </row>
    <row r="53" spans="1:15" x14ac:dyDescent="0.3">
      <c r="B53" t="s">
        <v>231</v>
      </c>
      <c r="C53" t="s">
        <v>344</v>
      </c>
      <c r="D53" t="s">
        <v>185</v>
      </c>
    </row>
    <row r="54" spans="1:15" x14ac:dyDescent="0.3">
      <c r="B54" t="s">
        <v>49</v>
      </c>
    </row>
    <row r="55" spans="1:15" x14ac:dyDescent="0.3">
      <c r="B55" t="s">
        <v>6</v>
      </c>
      <c r="C55" t="s">
        <v>326</v>
      </c>
      <c r="D55" t="s">
        <v>185</v>
      </c>
    </row>
    <row r="56" spans="1:15" x14ac:dyDescent="0.3">
      <c r="B56" t="s">
        <v>303</v>
      </c>
    </row>
    <row r="57" spans="1:15" x14ac:dyDescent="0.3">
      <c r="B57" t="s">
        <v>198</v>
      </c>
    </row>
    <row r="58" spans="1:15" x14ac:dyDescent="0.3">
      <c r="B58" t="s">
        <v>321</v>
      </c>
    </row>
    <row r="59" spans="1:15" x14ac:dyDescent="0.3">
      <c r="B59" t="s">
        <v>334</v>
      </c>
    </row>
    <row r="60" spans="1:15" x14ac:dyDescent="0.3">
      <c r="A60" s="2" t="s">
        <v>5</v>
      </c>
      <c r="B60" t="s">
        <v>5</v>
      </c>
    </row>
    <row r="61" spans="1:15" x14ac:dyDescent="0.3">
      <c r="A61" s="2" t="s">
        <v>29</v>
      </c>
      <c r="B61" t="s">
        <v>190</v>
      </c>
    </row>
    <row r="62" spans="1:15" x14ac:dyDescent="0.3">
      <c r="B62" t="s">
        <v>353</v>
      </c>
    </row>
    <row r="63" spans="1:15" x14ac:dyDescent="0.3">
      <c r="B63" t="s">
        <v>258</v>
      </c>
    </row>
    <row r="64" spans="1:15" x14ac:dyDescent="0.3">
      <c r="B64" t="s">
        <v>123</v>
      </c>
    </row>
    <row r="65" spans="1:4" x14ac:dyDescent="0.3">
      <c r="B65" t="s">
        <v>152</v>
      </c>
    </row>
    <row r="66" spans="1:4" x14ac:dyDescent="0.3">
      <c r="B66" t="s">
        <v>352</v>
      </c>
      <c r="C66" t="s">
        <v>357</v>
      </c>
      <c r="D66" t="s">
        <v>185</v>
      </c>
    </row>
    <row r="67" spans="1:4" x14ac:dyDescent="0.3">
      <c r="B67" t="s">
        <v>46</v>
      </c>
    </row>
    <row r="68" spans="1:4" x14ac:dyDescent="0.3">
      <c r="B68" t="s">
        <v>17</v>
      </c>
    </row>
    <row r="69" spans="1:4" x14ac:dyDescent="0.3">
      <c r="B69" t="s">
        <v>342</v>
      </c>
      <c r="D69" t="s">
        <v>185</v>
      </c>
    </row>
    <row r="70" spans="1:4" x14ac:dyDescent="0.3">
      <c r="B70" t="s">
        <v>355</v>
      </c>
      <c r="C70" t="s">
        <v>356</v>
      </c>
      <c r="D70" t="s">
        <v>185</v>
      </c>
    </row>
    <row r="71" spans="1:4" x14ac:dyDescent="0.3">
      <c r="B71" t="s">
        <v>307</v>
      </c>
    </row>
    <row r="72" spans="1:4" x14ac:dyDescent="0.3">
      <c r="A72" s="2" t="s">
        <v>9</v>
      </c>
      <c r="B72" t="s">
        <v>322</v>
      </c>
    </row>
    <row r="73" spans="1:4" x14ac:dyDescent="0.3">
      <c r="B73" t="s">
        <v>328</v>
      </c>
      <c r="C73" t="s">
        <v>185</v>
      </c>
    </row>
    <row r="74" spans="1:4" x14ac:dyDescent="0.3">
      <c r="B74" t="s">
        <v>9</v>
      </c>
    </row>
  </sheetData>
  <sortState xmlns:xlrd2="http://schemas.microsoft.com/office/spreadsheetml/2017/richdata2" ref="B72:B74">
    <sortCondition ref="B72:B74"/>
  </sortState>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28D42-D2C9-4A79-B7FC-94EE63315CD7}">
  <dimension ref="A1:R34"/>
  <sheetViews>
    <sheetView zoomScale="70" zoomScaleNormal="70" workbookViewId="0">
      <selection activeCell="E12" sqref="E12"/>
    </sheetView>
  </sheetViews>
  <sheetFormatPr defaultRowHeight="14.4" x14ac:dyDescent="0.3"/>
  <cols>
    <col min="1" max="1" width="40.21875" customWidth="1"/>
    <col min="2" max="2" width="26.6640625" customWidth="1"/>
    <col min="3" max="3" width="15.77734375" customWidth="1"/>
    <col min="7" max="7" width="1.109375" style="3" customWidth="1"/>
    <col min="9" max="9" width="27" customWidth="1"/>
    <col min="10" max="10" width="26.6640625" customWidth="1"/>
    <col min="11" max="11" width="10.5546875" customWidth="1"/>
    <col min="13" max="13" width="1.5546875" style="3" customWidth="1"/>
    <col min="15" max="15" width="16.109375" customWidth="1"/>
    <col min="16" max="16" width="27.6640625" customWidth="1"/>
  </cols>
  <sheetData>
    <row r="1" spans="1:18" x14ac:dyDescent="0.3">
      <c r="A1" s="2" t="s">
        <v>1</v>
      </c>
      <c r="B1" s="2" t="s">
        <v>2</v>
      </c>
      <c r="C1" s="2" t="s">
        <v>3</v>
      </c>
      <c r="D1" s="2" t="s">
        <v>21</v>
      </c>
      <c r="E1" s="2" t="s">
        <v>11</v>
      </c>
      <c r="I1" s="2" t="s">
        <v>1</v>
      </c>
      <c r="J1" s="2" t="s">
        <v>2</v>
      </c>
      <c r="K1" s="2" t="s">
        <v>3</v>
      </c>
      <c r="L1" s="2" t="s">
        <v>21</v>
      </c>
      <c r="O1" s="2" t="s">
        <v>1</v>
      </c>
      <c r="P1" s="2" t="s">
        <v>2</v>
      </c>
      <c r="Q1" s="2" t="s">
        <v>3</v>
      </c>
      <c r="R1" s="2" t="s">
        <v>21</v>
      </c>
    </row>
    <row r="2" spans="1:18" x14ac:dyDescent="0.3">
      <c r="A2" t="s">
        <v>0</v>
      </c>
      <c r="B2" t="s">
        <v>4</v>
      </c>
      <c r="C2">
        <v>5.95</v>
      </c>
      <c r="D2" t="s">
        <v>22</v>
      </c>
      <c r="E2" t="s">
        <v>12</v>
      </c>
      <c r="I2" t="s">
        <v>0</v>
      </c>
      <c r="J2" t="s">
        <v>4</v>
      </c>
      <c r="K2">
        <v>5.95</v>
      </c>
      <c r="L2" t="s">
        <v>22</v>
      </c>
      <c r="O2" t="s">
        <v>168</v>
      </c>
      <c r="P2" t="s">
        <v>4</v>
      </c>
      <c r="Q2" s="8">
        <f>(K2+K13+K24)/3</f>
        <v>1.9833333333333334</v>
      </c>
    </row>
    <row r="3" spans="1:18" x14ac:dyDescent="0.3">
      <c r="A3">
        <v>15</v>
      </c>
      <c r="B3" t="s">
        <v>5</v>
      </c>
      <c r="C3" s="1">
        <v>8.3000000000000004E-2</v>
      </c>
      <c r="D3" t="s">
        <v>22</v>
      </c>
      <c r="E3" s="15" t="s">
        <v>376</v>
      </c>
      <c r="F3" t="s">
        <v>185</v>
      </c>
      <c r="J3" t="s">
        <v>24</v>
      </c>
      <c r="K3">
        <v>0</v>
      </c>
      <c r="L3" t="s">
        <v>22</v>
      </c>
      <c r="P3" t="s">
        <v>24</v>
      </c>
      <c r="Q3" s="8">
        <f>(K3+K14+K25)/3</f>
        <v>0</v>
      </c>
    </row>
    <row r="4" spans="1:18" x14ac:dyDescent="0.3">
      <c r="B4" t="s">
        <v>6</v>
      </c>
      <c r="C4" s="1">
        <v>1.4E-2</v>
      </c>
      <c r="D4" t="s">
        <v>22</v>
      </c>
      <c r="J4" t="s">
        <v>25</v>
      </c>
      <c r="K4">
        <v>0</v>
      </c>
      <c r="L4" t="s">
        <v>22</v>
      </c>
      <c r="P4" t="s">
        <v>25</v>
      </c>
      <c r="Q4" s="8">
        <f t="shared" ref="Q4:Q12" si="0">(K4+K15+K26)/3</f>
        <v>0</v>
      </c>
    </row>
    <row r="5" spans="1:18" x14ac:dyDescent="0.3">
      <c r="B5" t="s">
        <v>7</v>
      </c>
      <c r="C5" s="1">
        <v>0.4</v>
      </c>
      <c r="D5" t="s">
        <v>22</v>
      </c>
      <c r="J5" t="s">
        <v>316</v>
      </c>
      <c r="K5" s="1">
        <v>0.4</v>
      </c>
      <c r="L5" t="s">
        <v>22</v>
      </c>
      <c r="P5" t="s">
        <v>316</v>
      </c>
      <c r="Q5" s="8">
        <f t="shared" si="0"/>
        <v>0.48000000000000004</v>
      </c>
    </row>
    <row r="6" spans="1:18" x14ac:dyDescent="0.3">
      <c r="B6" t="s">
        <v>8</v>
      </c>
      <c r="C6" s="1">
        <v>0.81</v>
      </c>
      <c r="D6" t="s">
        <v>22</v>
      </c>
      <c r="J6" t="s">
        <v>26</v>
      </c>
      <c r="K6">
        <v>0</v>
      </c>
      <c r="L6" t="s">
        <v>22</v>
      </c>
      <c r="P6" t="s">
        <v>26</v>
      </c>
      <c r="Q6" s="8">
        <f t="shared" si="0"/>
        <v>0</v>
      </c>
    </row>
    <row r="7" spans="1:18" x14ac:dyDescent="0.3">
      <c r="A7" t="s">
        <v>13</v>
      </c>
      <c r="B7" t="s">
        <v>9</v>
      </c>
      <c r="C7" s="1">
        <v>13.71</v>
      </c>
      <c r="D7" t="s">
        <v>22</v>
      </c>
      <c r="E7" t="s">
        <v>12</v>
      </c>
      <c r="J7" t="s">
        <v>317</v>
      </c>
      <c r="K7">
        <v>0</v>
      </c>
      <c r="L7" t="s">
        <v>22</v>
      </c>
      <c r="P7" t="s">
        <v>317</v>
      </c>
      <c r="Q7" s="8">
        <f t="shared" si="0"/>
        <v>2.08</v>
      </c>
    </row>
    <row r="8" spans="1:18" x14ac:dyDescent="0.3">
      <c r="A8">
        <v>15</v>
      </c>
      <c r="B8" t="s">
        <v>14</v>
      </c>
      <c r="C8" s="1">
        <v>6.24</v>
      </c>
      <c r="D8" t="s">
        <v>22</v>
      </c>
      <c r="E8" s="15" t="s">
        <v>377</v>
      </c>
      <c r="F8" t="s">
        <v>185</v>
      </c>
      <c r="J8" t="s">
        <v>27</v>
      </c>
      <c r="K8" s="1">
        <v>0.81</v>
      </c>
      <c r="L8" t="s">
        <v>22</v>
      </c>
      <c r="P8" t="s">
        <v>27</v>
      </c>
      <c r="Q8" s="8">
        <f t="shared" si="0"/>
        <v>0.27</v>
      </c>
    </row>
    <row r="9" spans="1:18" x14ac:dyDescent="0.3">
      <c r="B9" t="s">
        <v>15</v>
      </c>
      <c r="C9" s="1">
        <v>0.93</v>
      </c>
      <c r="D9" t="s">
        <v>22</v>
      </c>
      <c r="J9" t="s">
        <v>28</v>
      </c>
      <c r="K9" s="1">
        <v>1.4E-2</v>
      </c>
      <c r="L9" t="s">
        <v>22</v>
      </c>
      <c r="P9" t="s">
        <v>28</v>
      </c>
      <c r="Q9" s="8">
        <f t="shared" si="0"/>
        <v>6.8046666666666669</v>
      </c>
    </row>
    <row r="10" spans="1:18" x14ac:dyDescent="0.3">
      <c r="B10" t="s">
        <v>16</v>
      </c>
      <c r="C10" s="1">
        <v>1.19</v>
      </c>
      <c r="D10" t="s">
        <v>22</v>
      </c>
      <c r="J10" t="s">
        <v>5</v>
      </c>
      <c r="K10" s="1">
        <v>8.3000000000000004E-2</v>
      </c>
      <c r="L10" t="s">
        <v>22</v>
      </c>
      <c r="P10" t="s">
        <v>5</v>
      </c>
      <c r="Q10" s="8">
        <f t="shared" si="0"/>
        <v>6.1943333333333328</v>
      </c>
    </row>
    <row r="11" spans="1:18" x14ac:dyDescent="0.3">
      <c r="B11" t="s">
        <v>17</v>
      </c>
      <c r="C11" s="1">
        <v>0.35</v>
      </c>
      <c r="D11" t="s">
        <v>22</v>
      </c>
      <c r="J11" t="s">
        <v>29</v>
      </c>
      <c r="K11" s="1">
        <v>0</v>
      </c>
      <c r="L11" t="s">
        <v>22</v>
      </c>
      <c r="P11" t="s">
        <v>29</v>
      </c>
      <c r="Q11" s="8">
        <f t="shared" si="0"/>
        <v>1.5799999999999998</v>
      </c>
    </row>
    <row r="12" spans="1:18" x14ac:dyDescent="0.3">
      <c r="A12" t="s">
        <v>18</v>
      </c>
      <c r="B12" t="s">
        <v>5</v>
      </c>
      <c r="C12" s="1">
        <f>5.28+10.4+2.82</f>
        <v>18.5</v>
      </c>
      <c r="D12" t="s">
        <v>22</v>
      </c>
      <c r="E12" t="s">
        <v>12</v>
      </c>
      <c r="J12" t="s">
        <v>9</v>
      </c>
      <c r="K12" s="1">
        <v>0</v>
      </c>
      <c r="L12" t="s">
        <v>22</v>
      </c>
      <c r="P12" t="s">
        <v>9</v>
      </c>
      <c r="Q12" s="8">
        <f t="shared" si="0"/>
        <v>4.57</v>
      </c>
    </row>
    <row r="13" spans="1:18" x14ac:dyDescent="0.3">
      <c r="A13">
        <v>15</v>
      </c>
      <c r="B13" t="s">
        <v>19</v>
      </c>
      <c r="C13" s="1">
        <f>16.1+3.11</f>
        <v>19.21</v>
      </c>
      <c r="D13" t="s">
        <v>22</v>
      </c>
      <c r="E13" s="15" t="s">
        <v>378</v>
      </c>
      <c r="F13" t="s">
        <v>185</v>
      </c>
      <c r="I13" t="s">
        <v>13</v>
      </c>
      <c r="J13" t="s">
        <v>4</v>
      </c>
      <c r="K13" s="1">
        <v>0</v>
      </c>
      <c r="L13" t="s">
        <v>22</v>
      </c>
      <c r="O13" t="s">
        <v>186</v>
      </c>
      <c r="Q13" s="8">
        <f>SUM(Q2:Q12)</f>
        <v>23.96233333333333</v>
      </c>
    </row>
    <row r="14" spans="1:18" x14ac:dyDescent="0.3">
      <c r="B14" t="s">
        <v>7</v>
      </c>
      <c r="C14" s="1">
        <v>0.11</v>
      </c>
      <c r="D14" t="s">
        <v>22</v>
      </c>
      <c r="J14" t="s">
        <v>24</v>
      </c>
      <c r="K14" s="1">
        <v>0</v>
      </c>
      <c r="L14" t="s">
        <v>22</v>
      </c>
      <c r="O14" t="s">
        <v>187</v>
      </c>
      <c r="Q14" s="8">
        <f>(A3+A8+A13)/3</f>
        <v>15</v>
      </c>
    </row>
    <row r="15" spans="1:18" x14ac:dyDescent="0.3">
      <c r="B15" t="s">
        <v>17</v>
      </c>
      <c r="C15" s="1">
        <v>4.3899999999999997</v>
      </c>
      <c r="D15" t="s">
        <v>22</v>
      </c>
      <c r="J15" t="s">
        <v>25</v>
      </c>
      <c r="K15" s="1">
        <v>0</v>
      </c>
      <c r="L15" t="s">
        <v>22</v>
      </c>
    </row>
    <row r="16" spans="1:18" x14ac:dyDescent="0.3">
      <c r="B16" t="s">
        <v>20</v>
      </c>
      <c r="C16" s="1">
        <v>0.01</v>
      </c>
      <c r="D16" t="s">
        <v>22</v>
      </c>
      <c r="J16" t="s">
        <v>316</v>
      </c>
      <c r="K16" s="1">
        <v>0.93</v>
      </c>
      <c r="L16" t="s">
        <v>22</v>
      </c>
    </row>
    <row r="17" spans="9:12" x14ac:dyDescent="0.3">
      <c r="J17" t="s">
        <v>26</v>
      </c>
      <c r="K17" s="1">
        <v>0</v>
      </c>
      <c r="L17" t="s">
        <v>22</v>
      </c>
    </row>
    <row r="18" spans="9:12" x14ac:dyDescent="0.3">
      <c r="J18" t="s">
        <v>317</v>
      </c>
      <c r="K18" s="1">
        <v>6.24</v>
      </c>
      <c r="L18" t="s">
        <v>22</v>
      </c>
    </row>
    <row r="19" spans="9:12" x14ac:dyDescent="0.3">
      <c r="J19" t="s">
        <v>27</v>
      </c>
      <c r="K19" s="1">
        <v>0</v>
      </c>
      <c r="L19" t="s">
        <v>22</v>
      </c>
    </row>
    <row r="20" spans="9:12" x14ac:dyDescent="0.3">
      <c r="J20" t="s">
        <v>28</v>
      </c>
      <c r="K20" s="1">
        <v>1.19</v>
      </c>
      <c r="L20" t="s">
        <v>22</v>
      </c>
    </row>
    <row r="21" spans="9:12" x14ac:dyDescent="0.3">
      <c r="J21" t="s">
        <v>5</v>
      </c>
      <c r="K21" s="1">
        <v>0</v>
      </c>
      <c r="L21" t="s">
        <v>22</v>
      </c>
    </row>
    <row r="22" spans="9:12" x14ac:dyDescent="0.3">
      <c r="J22" t="s">
        <v>29</v>
      </c>
      <c r="K22" s="1">
        <v>0.35</v>
      </c>
      <c r="L22" t="s">
        <v>22</v>
      </c>
    </row>
    <row r="23" spans="9:12" x14ac:dyDescent="0.3">
      <c r="J23" t="s">
        <v>9</v>
      </c>
      <c r="K23" s="1">
        <v>13.71</v>
      </c>
      <c r="L23" t="s">
        <v>22</v>
      </c>
    </row>
    <row r="24" spans="9:12" x14ac:dyDescent="0.3">
      <c r="I24" t="s">
        <v>18</v>
      </c>
      <c r="J24" t="s">
        <v>4</v>
      </c>
      <c r="K24" s="1">
        <v>0</v>
      </c>
      <c r="L24" t="s">
        <v>22</v>
      </c>
    </row>
    <row r="25" spans="9:12" x14ac:dyDescent="0.3">
      <c r="J25" t="s">
        <v>24</v>
      </c>
      <c r="K25" s="1">
        <v>0</v>
      </c>
      <c r="L25" t="s">
        <v>22</v>
      </c>
    </row>
    <row r="26" spans="9:12" x14ac:dyDescent="0.3">
      <c r="J26" t="s">
        <v>25</v>
      </c>
      <c r="K26" s="1">
        <v>0</v>
      </c>
      <c r="L26" t="s">
        <v>22</v>
      </c>
    </row>
    <row r="27" spans="9:12" x14ac:dyDescent="0.3">
      <c r="J27" t="s">
        <v>316</v>
      </c>
      <c r="K27" s="1">
        <v>0.11</v>
      </c>
      <c r="L27" t="s">
        <v>22</v>
      </c>
    </row>
    <row r="28" spans="9:12" x14ac:dyDescent="0.3">
      <c r="J28" t="s">
        <v>26</v>
      </c>
      <c r="K28" s="1">
        <v>0</v>
      </c>
      <c r="L28" t="s">
        <v>22</v>
      </c>
    </row>
    <row r="29" spans="9:12" x14ac:dyDescent="0.3">
      <c r="J29" t="s">
        <v>317</v>
      </c>
      <c r="K29" s="1">
        <v>0</v>
      </c>
      <c r="L29" t="s">
        <v>22</v>
      </c>
    </row>
    <row r="30" spans="9:12" x14ac:dyDescent="0.3">
      <c r="J30" t="s">
        <v>27</v>
      </c>
      <c r="K30" s="1">
        <v>0</v>
      </c>
      <c r="L30" t="s">
        <v>22</v>
      </c>
    </row>
    <row r="31" spans="9:12" x14ac:dyDescent="0.3">
      <c r="J31" t="s">
        <v>28</v>
      </c>
      <c r="K31" s="1">
        <v>19.21</v>
      </c>
      <c r="L31" t="s">
        <v>22</v>
      </c>
    </row>
    <row r="32" spans="9:12" x14ac:dyDescent="0.3">
      <c r="J32" t="s">
        <v>5</v>
      </c>
      <c r="K32" s="1">
        <v>18.5</v>
      </c>
      <c r="L32" t="s">
        <v>22</v>
      </c>
    </row>
    <row r="33" spans="10:12" x14ac:dyDescent="0.3">
      <c r="J33" t="s">
        <v>29</v>
      </c>
      <c r="K33" s="1">
        <v>4.3899999999999997</v>
      </c>
      <c r="L33" t="s">
        <v>22</v>
      </c>
    </row>
    <row r="34" spans="10:12" x14ac:dyDescent="0.3">
      <c r="J34" t="s">
        <v>9</v>
      </c>
      <c r="K34">
        <v>0</v>
      </c>
      <c r="L34" t="s">
        <v>22</v>
      </c>
    </row>
  </sheetData>
  <hyperlinks>
    <hyperlink ref="E3" r:id="rId1" xr:uid="{7D8A4127-C2A8-4C9B-916C-7DB7C2A99601}"/>
    <hyperlink ref="E8" r:id="rId2" xr:uid="{E3BA67F8-B419-4E12-8E2F-12864D064311}"/>
    <hyperlink ref="E13" r:id="rId3" xr:uid="{1E22D0E5-8E62-4071-ABFE-EB63224C437A}"/>
  </hyperlinks>
  <pageMargins left="0.7" right="0.7" top="0.75" bottom="0.75" header="0.3" footer="0.3"/>
  <pageSetup paperSize="9" orientation="portrait" r:id="rId4"/>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87AF2-7AA6-4DE5-9921-733B168ABB36}">
  <dimension ref="A1:S23"/>
  <sheetViews>
    <sheetView zoomScale="85" zoomScaleNormal="85" workbookViewId="0">
      <selection activeCell="E22" sqref="E22"/>
    </sheetView>
  </sheetViews>
  <sheetFormatPr defaultRowHeight="14.4" x14ac:dyDescent="0.3"/>
  <cols>
    <col min="1" max="1" width="30.77734375" customWidth="1"/>
    <col min="2" max="2" width="32.77734375" customWidth="1"/>
    <col min="7" max="7" width="0.77734375" style="3" customWidth="1"/>
    <col min="9" max="9" width="27.21875" customWidth="1"/>
    <col min="10" max="10" width="38.77734375" customWidth="1"/>
    <col min="14" max="14" width="1.44140625" style="3" customWidth="1"/>
    <col min="22" max="22" width="17.44140625" customWidth="1"/>
    <col min="23" max="23" width="27" customWidth="1"/>
  </cols>
  <sheetData>
    <row r="1" spans="1:19" x14ac:dyDescent="0.3">
      <c r="A1" s="2" t="s">
        <v>1</v>
      </c>
      <c r="B1" s="2" t="s">
        <v>2</v>
      </c>
      <c r="C1" s="2" t="s">
        <v>21</v>
      </c>
      <c r="D1" s="2" t="s">
        <v>3</v>
      </c>
      <c r="E1" s="2" t="s">
        <v>11</v>
      </c>
      <c r="F1" s="2" t="s">
        <v>183</v>
      </c>
      <c r="I1" s="2" t="s">
        <v>1</v>
      </c>
      <c r="J1" s="2" t="s">
        <v>2</v>
      </c>
      <c r="K1" s="2" t="s">
        <v>3</v>
      </c>
      <c r="L1" s="2" t="s">
        <v>21</v>
      </c>
      <c r="M1" s="2"/>
      <c r="P1" t="s">
        <v>1</v>
      </c>
      <c r="Q1" t="s">
        <v>2</v>
      </c>
      <c r="R1" t="s">
        <v>3</v>
      </c>
      <c r="S1" t="s">
        <v>21</v>
      </c>
    </row>
    <row r="2" spans="1:19" x14ac:dyDescent="0.3">
      <c r="A2" t="s">
        <v>30</v>
      </c>
      <c r="B2" t="s">
        <v>43</v>
      </c>
      <c r="C2" t="s">
        <v>22</v>
      </c>
      <c r="D2">
        <v>4.37</v>
      </c>
      <c r="E2" t="s">
        <v>12</v>
      </c>
      <c r="I2" t="s">
        <v>30</v>
      </c>
      <c r="J2" t="s">
        <v>4</v>
      </c>
      <c r="K2">
        <v>0</v>
      </c>
      <c r="L2" t="s">
        <v>22</v>
      </c>
      <c r="P2" t="s">
        <v>169</v>
      </c>
      <c r="Q2" t="s">
        <v>4</v>
      </c>
      <c r="R2">
        <f t="shared" ref="R2:R12" si="0">(K2+K13)/2</f>
        <v>0</v>
      </c>
      <c r="S2" t="s">
        <v>22</v>
      </c>
    </row>
    <row r="3" spans="1:19" x14ac:dyDescent="0.3">
      <c r="A3">
        <v>15</v>
      </c>
      <c r="B3" t="s">
        <v>14</v>
      </c>
      <c r="C3" t="s">
        <v>22</v>
      </c>
      <c r="D3">
        <v>0.02</v>
      </c>
      <c r="E3" s="15" t="s">
        <v>380</v>
      </c>
      <c r="F3" t="s">
        <v>185</v>
      </c>
      <c r="I3" t="s">
        <v>23</v>
      </c>
      <c r="J3" t="s">
        <v>24</v>
      </c>
      <c r="K3">
        <v>0</v>
      </c>
      <c r="L3" t="s">
        <v>22</v>
      </c>
      <c r="Q3" t="s">
        <v>24</v>
      </c>
      <c r="R3">
        <f t="shared" si="0"/>
        <v>0</v>
      </c>
      <c r="S3" t="s">
        <v>22</v>
      </c>
    </row>
    <row r="4" spans="1:19" x14ac:dyDescent="0.3">
      <c r="B4" t="s">
        <v>44</v>
      </c>
      <c r="C4" t="s">
        <v>22</v>
      </c>
      <c r="D4">
        <v>0.04</v>
      </c>
      <c r="J4" t="s">
        <v>25</v>
      </c>
      <c r="K4">
        <v>0</v>
      </c>
      <c r="L4" t="s">
        <v>22</v>
      </c>
      <c r="Q4" t="s">
        <v>25</v>
      </c>
      <c r="R4">
        <f t="shared" si="0"/>
        <v>0.05</v>
      </c>
      <c r="S4" t="s">
        <v>22</v>
      </c>
    </row>
    <row r="5" spans="1:19" x14ac:dyDescent="0.3">
      <c r="B5" t="s">
        <v>45</v>
      </c>
      <c r="C5" t="s">
        <v>22</v>
      </c>
      <c r="D5">
        <v>0.02</v>
      </c>
      <c r="J5" t="s">
        <v>316</v>
      </c>
      <c r="K5">
        <f>0.04+0.02</f>
        <v>0.06</v>
      </c>
      <c r="L5" t="s">
        <v>22</v>
      </c>
      <c r="Q5" t="s">
        <v>316</v>
      </c>
      <c r="R5">
        <f t="shared" si="0"/>
        <v>0.05</v>
      </c>
      <c r="S5" t="s">
        <v>22</v>
      </c>
    </row>
    <row r="6" spans="1:19" x14ac:dyDescent="0.3">
      <c r="B6" t="s">
        <v>46</v>
      </c>
      <c r="C6" t="s">
        <v>22</v>
      </c>
      <c r="D6">
        <v>0.4</v>
      </c>
      <c r="J6" t="s">
        <v>26</v>
      </c>
      <c r="K6">
        <f>D8</f>
        <v>0.94</v>
      </c>
      <c r="L6" t="s">
        <v>22</v>
      </c>
      <c r="Q6" t="s">
        <v>26</v>
      </c>
      <c r="R6">
        <f t="shared" si="0"/>
        <v>0.47</v>
      </c>
      <c r="S6" t="s">
        <v>22</v>
      </c>
    </row>
    <row r="7" spans="1:19" x14ac:dyDescent="0.3">
      <c r="B7" t="s">
        <v>47</v>
      </c>
      <c r="C7" t="s">
        <v>22</v>
      </c>
      <c r="D7">
        <v>0.16</v>
      </c>
      <c r="J7" t="s">
        <v>317</v>
      </c>
      <c r="K7">
        <v>0.02</v>
      </c>
      <c r="L7" t="s">
        <v>22</v>
      </c>
      <c r="Q7" t="s">
        <v>317</v>
      </c>
      <c r="R7">
        <f t="shared" si="0"/>
        <v>0.01</v>
      </c>
      <c r="S7" t="s">
        <v>22</v>
      </c>
    </row>
    <row r="8" spans="1:19" x14ac:dyDescent="0.3">
      <c r="B8" t="s">
        <v>48</v>
      </c>
      <c r="C8" t="s">
        <v>22</v>
      </c>
      <c r="D8">
        <v>0.94</v>
      </c>
      <c r="E8" t="s">
        <v>12</v>
      </c>
      <c r="J8" t="s">
        <v>27</v>
      </c>
      <c r="K8">
        <v>0</v>
      </c>
      <c r="L8" t="s">
        <v>22</v>
      </c>
      <c r="Q8" t="s">
        <v>27</v>
      </c>
      <c r="R8">
        <f t="shared" si="0"/>
        <v>0</v>
      </c>
      <c r="S8" t="s">
        <v>22</v>
      </c>
    </row>
    <row r="9" spans="1:19" x14ac:dyDescent="0.3">
      <c r="A9" t="s">
        <v>149</v>
      </c>
      <c r="B9" t="s">
        <v>5</v>
      </c>
      <c r="C9" t="s">
        <v>22</v>
      </c>
      <c r="D9">
        <v>9.2100000000000009</v>
      </c>
      <c r="E9" s="15" t="s">
        <v>379</v>
      </c>
      <c r="F9" t="s">
        <v>185</v>
      </c>
      <c r="J9" t="s">
        <v>28</v>
      </c>
      <c r="K9">
        <v>0</v>
      </c>
      <c r="L9" t="s">
        <v>22</v>
      </c>
      <c r="Q9" t="s">
        <v>28</v>
      </c>
      <c r="R9">
        <f t="shared" si="0"/>
        <v>0.98499999999999999</v>
      </c>
      <c r="S9" t="s">
        <v>22</v>
      </c>
    </row>
    <row r="10" spans="1:19" x14ac:dyDescent="0.3">
      <c r="A10">
        <v>15</v>
      </c>
      <c r="B10" t="s">
        <v>56</v>
      </c>
      <c r="C10" t="s">
        <v>22</v>
      </c>
      <c r="D10">
        <v>1.38</v>
      </c>
      <c r="J10" t="s">
        <v>5</v>
      </c>
      <c r="K10">
        <v>0</v>
      </c>
      <c r="L10" t="s">
        <v>22</v>
      </c>
      <c r="Q10" t="s">
        <v>5</v>
      </c>
      <c r="R10">
        <f t="shared" si="0"/>
        <v>4.6050000000000004</v>
      </c>
      <c r="S10" t="s">
        <v>22</v>
      </c>
    </row>
    <row r="11" spans="1:19" x14ac:dyDescent="0.3">
      <c r="B11" t="s">
        <v>150</v>
      </c>
      <c r="C11" t="s">
        <v>22</v>
      </c>
      <c r="D11">
        <v>0.46</v>
      </c>
      <c r="F11" t="s">
        <v>94</v>
      </c>
      <c r="H11" t="s">
        <v>185</v>
      </c>
      <c r="J11" t="s">
        <v>29</v>
      </c>
      <c r="K11">
        <f>0.4+0.16</f>
        <v>0.56000000000000005</v>
      </c>
      <c r="L11" t="s">
        <v>22</v>
      </c>
      <c r="Q11" t="s">
        <v>29</v>
      </c>
      <c r="R11">
        <f t="shared" si="0"/>
        <v>0.30500000000000005</v>
      </c>
      <c r="S11" t="s">
        <v>22</v>
      </c>
    </row>
    <row r="12" spans="1:19" x14ac:dyDescent="0.3">
      <c r="B12" t="s">
        <v>151</v>
      </c>
      <c r="C12" t="s">
        <v>22</v>
      </c>
      <c r="D12">
        <v>0.1</v>
      </c>
      <c r="F12" t="s">
        <v>323</v>
      </c>
      <c r="H12" t="s">
        <v>185</v>
      </c>
      <c r="J12" t="s">
        <v>9</v>
      </c>
      <c r="K12">
        <f>4.37</f>
        <v>4.37</v>
      </c>
      <c r="L12" t="s">
        <v>22</v>
      </c>
      <c r="Q12" t="s">
        <v>9</v>
      </c>
      <c r="R12">
        <f t="shared" si="0"/>
        <v>2.1850000000000001</v>
      </c>
      <c r="S12" t="s">
        <v>22</v>
      </c>
    </row>
    <row r="13" spans="1:19" x14ac:dyDescent="0.3">
      <c r="B13" t="s">
        <v>61</v>
      </c>
      <c r="C13" t="s">
        <v>22</v>
      </c>
      <c r="D13">
        <v>0.08</v>
      </c>
      <c r="I13" t="s">
        <v>149</v>
      </c>
      <c r="J13" t="s">
        <v>4</v>
      </c>
      <c r="K13">
        <v>0</v>
      </c>
      <c r="L13" t="s">
        <v>22</v>
      </c>
      <c r="P13" t="s">
        <v>186</v>
      </c>
      <c r="R13">
        <f>SUM(R2:R12)</f>
        <v>8.66</v>
      </c>
    </row>
    <row r="14" spans="1:19" x14ac:dyDescent="0.3">
      <c r="B14" t="s">
        <v>152</v>
      </c>
      <c r="C14" t="s">
        <v>22</v>
      </c>
      <c r="D14">
        <v>0.05</v>
      </c>
      <c r="J14" t="s">
        <v>24</v>
      </c>
      <c r="K14">
        <v>0</v>
      </c>
      <c r="L14" t="s">
        <v>22</v>
      </c>
      <c r="P14" t="s">
        <v>188</v>
      </c>
      <c r="R14">
        <f>(A3+A10)/2</f>
        <v>15</v>
      </c>
    </row>
    <row r="15" spans="1:19" x14ac:dyDescent="0.3">
      <c r="B15" t="s">
        <v>153</v>
      </c>
      <c r="C15" t="s">
        <v>22</v>
      </c>
      <c r="D15">
        <v>0.04</v>
      </c>
      <c r="J15" t="s">
        <v>25</v>
      </c>
      <c r="K15">
        <v>0.1</v>
      </c>
      <c r="L15" t="s">
        <v>22</v>
      </c>
    </row>
    <row r="16" spans="1:19" x14ac:dyDescent="0.3">
      <c r="B16" t="s">
        <v>7</v>
      </c>
      <c r="C16" t="s">
        <v>22</v>
      </c>
      <c r="D16">
        <v>0.04</v>
      </c>
      <c r="J16" t="s">
        <v>316</v>
      </c>
      <c r="K16">
        <v>0.04</v>
      </c>
      <c r="L16" t="s">
        <v>22</v>
      </c>
    </row>
    <row r="17" spans="2:12" x14ac:dyDescent="0.3">
      <c r="B17" t="s">
        <v>49</v>
      </c>
      <c r="C17" t="s">
        <v>22</v>
      </c>
      <c r="D17">
        <v>0.01</v>
      </c>
      <c r="J17" t="s">
        <v>26</v>
      </c>
      <c r="K17">
        <v>0</v>
      </c>
      <c r="L17" t="s">
        <v>22</v>
      </c>
    </row>
    <row r="18" spans="2:12" x14ac:dyDescent="0.3">
      <c r="J18" t="s">
        <v>317</v>
      </c>
      <c r="K18">
        <v>0</v>
      </c>
      <c r="L18" t="s">
        <v>22</v>
      </c>
    </row>
    <row r="19" spans="2:12" x14ac:dyDescent="0.3">
      <c r="J19" t="s">
        <v>27</v>
      </c>
      <c r="K19">
        <v>0</v>
      </c>
      <c r="L19" t="s">
        <v>22</v>
      </c>
    </row>
    <row r="20" spans="2:12" x14ac:dyDescent="0.3">
      <c r="J20" t="s">
        <v>28</v>
      </c>
      <c r="K20">
        <f>1.38+0.46+0.08+0.04+0.01</f>
        <v>1.97</v>
      </c>
      <c r="L20" t="s">
        <v>22</v>
      </c>
    </row>
    <row r="21" spans="2:12" x14ac:dyDescent="0.3">
      <c r="J21" t="s">
        <v>5</v>
      </c>
      <c r="K21">
        <v>9.2100000000000009</v>
      </c>
      <c r="L21" t="s">
        <v>22</v>
      </c>
    </row>
    <row r="22" spans="2:12" x14ac:dyDescent="0.3">
      <c r="J22" t="s">
        <v>29</v>
      </c>
      <c r="K22">
        <v>0.05</v>
      </c>
      <c r="L22" t="s">
        <v>22</v>
      </c>
    </row>
    <row r="23" spans="2:12" x14ac:dyDescent="0.3">
      <c r="J23" t="s">
        <v>9</v>
      </c>
      <c r="K23">
        <v>0</v>
      </c>
      <c r="L23" t="s">
        <v>22</v>
      </c>
    </row>
  </sheetData>
  <hyperlinks>
    <hyperlink ref="E9" r:id="rId1" xr:uid="{2C6CF131-E384-4C77-AB1D-1BB478C92BBA}"/>
    <hyperlink ref="E3" r:id="rId2" xr:uid="{567BF9FD-225C-4080-8217-A4D30BC961B4}"/>
  </hyperlinks>
  <pageMargins left="0.7" right="0.7" top="0.75" bottom="0.75" header="0.3" footer="0.3"/>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A5D42-AC27-4E9C-8B2D-09D035FEF838}">
  <dimension ref="A1:S67"/>
  <sheetViews>
    <sheetView topLeftCell="B4" zoomScale="70" zoomScaleNormal="70" workbookViewId="0">
      <selection activeCell="F32" sqref="F32"/>
    </sheetView>
  </sheetViews>
  <sheetFormatPr defaultRowHeight="14.4" x14ac:dyDescent="0.3"/>
  <cols>
    <col min="1" max="1" width="49.109375" customWidth="1"/>
    <col min="2" max="2" width="29" customWidth="1"/>
    <col min="5" max="5" width="8.88671875" customWidth="1"/>
    <col min="6" max="6" width="45.5546875" customWidth="1"/>
    <col min="7" max="7" width="1.33203125" style="3" customWidth="1"/>
    <col min="9" max="9" width="45.21875" customWidth="1"/>
    <col min="10" max="10" width="27.33203125" customWidth="1"/>
    <col min="13" max="13" width="1" style="3" customWidth="1"/>
    <col min="16" max="16" width="16.21875" customWidth="1"/>
    <col min="17" max="17" width="28.77734375" customWidth="1"/>
  </cols>
  <sheetData>
    <row r="1" spans="1:19" x14ac:dyDescent="0.3">
      <c r="A1" s="2" t="s">
        <v>1</v>
      </c>
      <c r="B1" s="2" t="s">
        <v>2</v>
      </c>
      <c r="C1" s="2" t="s">
        <v>21</v>
      </c>
      <c r="D1" s="2" t="s">
        <v>3</v>
      </c>
      <c r="E1" s="2" t="s">
        <v>11</v>
      </c>
      <c r="F1" s="2" t="s">
        <v>183</v>
      </c>
      <c r="I1" s="2" t="s">
        <v>1</v>
      </c>
      <c r="J1" s="2" t="s">
        <v>2</v>
      </c>
      <c r="K1" s="2" t="s">
        <v>3</v>
      </c>
      <c r="L1" s="2" t="s">
        <v>21</v>
      </c>
      <c r="M1" s="6"/>
      <c r="P1" s="2" t="s">
        <v>1</v>
      </c>
      <c r="Q1" s="2" t="s">
        <v>2</v>
      </c>
      <c r="R1" s="2" t="s">
        <v>3</v>
      </c>
      <c r="S1" s="2" t="s">
        <v>21</v>
      </c>
    </row>
    <row r="2" spans="1:19" x14ac:dyDescent="0.3">
      <c r="A2" t="s">
        <v>31</v>
      </c>
      <c r="B2" t="s">
        <v>9</v>
      </c>
      <c r="C2" t="s">
        <v>22</v>
      </c>
      <c r="D2">
        <v>135</v>
      </c>
      <c r="E2" t="s">
        <v>12</v>
      </c>
      <c r="I2" t="s">
        <v>31</v>
      </c>
      <c r="J2" t="s">
        <v>4</v>
      </c>
      <c r="K2">
        <v>11.8</v>
      </c>
      <c r="L2" t="s">
        <v>22</v>
      </c>
      <c r="P2" t="s">
        <v>368</v>
      </c>
      <c r="Q2" t="s">
        <v>4</v>
      </c>
      <c r="R2">
        <f>(K2+K13+K24+K35+K57)/5</f>
        <v>2.4159999999999999</v>
      </c>
      <c r="S2" t="s">
        <v>22</v>
      </c>
    </row>
    <row r="3" spans="1:19" x14ac:dyDescent="0.3">
      <c r="A3">
        <v>15</v>
      </c>
      <c r="B3" t="s">
        <v>5</v>
      </c>
      <c r="C3" t="s">
        <v>22</v>
      </c>
      <c r="D3">
        <f>3.8+3.61+0.134+0.42</f>
        <v>7.9640000000000004</v>
      </c>
      <c r="E3" s="15" t="s">
        <v>381</v>
      </c>
      <c r="F3" t="s">
        <v>185</v>
      </c>
      <c r="J3" t="s">
        <v>24</v>
      </c>
      <c r="K3">
        <v>0</v>
      </c>
      <c r="L3" t="s">
        <v>22</v>
      </c>
      <c r="Q3" t="s">
        <v>24</v>
      </c>
      <c r="R3">
        <f t="shared" ref="R3:R12" si="0">(K3+K14+K25+K36+K58)/5</f>
        <v>0</v>
      </c>
      <c r="S3" t="s">
        <v>22</v>
      </c>
    </row>
    <row r="4" spans="1:19" x14ac:dyDescent="0.3">
      <c r="B4" t="s">
        <v>4</v>
      </c>
      <c r="C4" t="s">
        <v>22</v>
      </c>
      <c r="D4">
        <v>11.8</v>
      </c>
      <c r="J4" t="s">
        <v>25</v>
      </c>
      <c r="K4">
        <v>0</v>
      </c>
      <c r="L4" t="s">
        <v>22</v>
      </c>
      <c r="Q4" t="s">
        <v>25</v>
      </c>
      <c r="R4">
        <f t="shared" si="0"/>
        <v>0</v>
      </c>
      <c r="S4" t="s">
        <v>22</v>
      </c>
    </row>
    <row r="5" spans="1:19" x14ac:dyDescent="0.3">
      <c r="B5" t="s">
        <v>49</v>
      </c>
      <c r="C5" t="s">
        <v>22</v>
      </c>
      <c r="D5">
        <f>3.51+0.24+0.216</f>
        <v>3.9660000000000002</v>
      </c>
      <c r="J5" t="s">
        <v>316</v>
      </c>
      <c r="K5">
        <v>16.600000000000001</v>
      </c>
      <c r="L5" t="s">
        <v>22</v>
      </c>
      <c r="Q5" t="s">
        <v>316</v>
      </c>
      <c r="R5">
        <f t="shared" si="0"/>
        <v>4.9820000000000002</v>
      </c>
      <c r="S5" t="s">
        <v>22</v>
      </c>
    </row>
    <row r="6" spans="1:19" x14ac:dyDescent="0.3">
      <c r="B6" t="s">
        <v>7</v>
      </c>
      <c r="C6" t="s">
        <v>22</v>
      </c>
      <c r="D6">
        <v>16.600000000000001</v>
      </c>
      <c r="J6" t="s">
        <v>26</v>
      </c>
      <c r="K6">
        <v>0</v>
      </c>
      <c r="L6" t="s">
        <v>22</v>
      </c>
      <c r="Q6" t="s">
        <v>26</v>
      </c>
      <c r="R6">
        <f t="shared" si="0"/>
        <v>112.85</v>
      </c>
      <c r="S6" t="s">
        <v>22</v>
      </c>
    </row>
    <row r="7" spans="1:19" x14ac:dyDescent="0.3">
      <c r="A7" t="s">
        <v>130</v>
      </c>
      <c r="B7" t="s">
        <v>5</v>
      </c>
      <c r="C7" t="s">
        <v>22</v>
      </c>
      <c r="D7">
        <v>63.6</v>
      </c>
      <c r="E7" t="s">
        <v>12</v>
      </c>
      <c r="J7" t="s">
        <v>317</v>
      </c>
      <c r="K7">
        <v>0</v>
      </c>
      <c r="L7" t="s">
        <v>22</v>
      </c>
      <c r="Q7" t="s">
        <v>317</v>
      </c>
      <c r="R7">
        <f t="shared" si="0"/>
        <v>0</v>
      </c>
      <c r="S7" t="s">
        <v>22</v>
      </c>
    </row>
    <row r="8" spans="1:19" x14ac:dyDescent="0.3">
      <c r="A8">
        <v>15</v>
      </c>
      <c r="B8" t="s">
        <v>4</v>
      </c>
      <c r="C8" t="s">
        <v>22</v>
      </c>
      <c r="D8">
        <v>0.28000000000000003</v>
      </c>
      <c r="E8" s="15" t="s">
        <v>382</v>
      </c>
      <c r="F8" t="s">
        <v>185</v>
      </c>
      <c r="J8" t="s">
        <v>27</v>
      </c>
      <c r="K8">
        <v>0</v>
      </c>
      <c r="L8" t="s">
        <v>22</v>
      </c>
      <c r="Q8" t="s">
        <v>27</v>
      </c>
      <c r="R8">
        <f t="shared" si="0"/>
        <v>4.7080000000000002</v>
      </c>
      <c r="S8" t="s">
        <v>22</v>
      </c>
    </row>
    <row r="9" spans="1:19" x14ac:dyDescent="0.3">
      <c r="B9" t="s">
        <v>131</v>
      </c>
      <c r="C9" t="s">
        <v>22</v>
      </c>
      <c r="D9">
        <v>1.33</v>
      </c>
      <c r="J9" t="s">
        <v>28</v>
      </c>
      <c r="K9">
        <v>3.9660000000000002</v>
      </c>
      <c r="L9" t="s">
        <v>22</v>
      </c>
      <c r="Q9" t="s">
        <v>28</v>
      </c>
      <c r="R9">
        <f t="shared" si="0"/>
        <v>6.2451999999999996</v>
      </c>
      <c r="S9" t="s">
        <v>22</v>
      </c>
    </row>
    <row r="10" spans="1:19" x14ac:dyDescent="0.3">
      <c r="B10" t="s">
        <v>132</v>
      </c>
      <c r="C10" t="s">
        <v>22</v>
      </c>
      <c r="D10">
        <v>0.25</v>
      </c>
      <c r="J10" t="s">
        <v>5</v>
      </c>
      <c r="K10">
        <v>7.9640000000000004</v>
      </c>
      <c r="L10" t="s">
        <v>22</v>
      </c>
      <c r="Q10" t="s">
        <v>5</v>
      </c>
      <c r="R10">
        <f t="shared" si="0"/>
        <v>19.6128</v>
      </c>
      <c r="S10" t="s">
        <v>22</v>
      </c>
    </row>
    <row r="11" spans="1:19" x14ac:dyDescent="0.3">
      <c r="B11" t="s">
        <v>96</v>
      </c>
      <c r="C11" t="s">
        <v>22</v>
      </c>
      <c r="D11">
        <v>0.01</v>
      </c>
      <c r="J11" t="s">
        <v>29</v>
      </c>
      <c r="K11">
        <v>0</v>
      </c>
      <c r="L11" t="s">
        <v>22</v>
      </c>
      <c r="Q11" t="s">
        <v>29</v>
      </c>
      <c r="R11">
        <f t="shared" si="0"/>
        <v>0</v>
      </c>
      <c r="S11" t="s">
        <v>22</v>
      </c>
    </row>
    <row r="12" spans="1:19" x14ac:dyDescent="0.3">
      <c r="B12" t="s">
        <v>10</v>
      </c>
      <c r="C12" t="s">
        <v>22</v>
      </c>
      <c r="D12">
        <v>0.39</v>
      </c>
      <c r="J12" t="s">
        <v>9</v>
      </c>
      <c r="K12">
        <v>135</v>
      </c>
      <c r="L12" t="s">
        <v>22</v>
      </c>
      <c r="Q12" t="s">
        <v>9</v>
      </c>
      <c r="R12">
        <f t="shared" si="0"/>
        <v>27</v>
      </c>
      <c r="S12" t="s">
        <v>22</v>
      </c>
    </row>
    <row r="13" spans="1:19" x14ac:dyDescent="0.3">
      <c r="B13" t="s">
        <v>7</v>
      </c>
      <c r="C13" t="s">
        <v>22</v>
      </c>
      <c r="D13">
        <v>2.77</v>
      </c>
      <c r="I13" t="s">
        <v>130</v>
      </c>
      <c r="J13" t="s">
        <v>4</v>
      </c>
      <c r="K13">
        <v>0.28000000000000003</v>
      </c>
      <c r="L13" t="s">
        <v>22</v>
      </c>
      <c r="P13" t="s">
        <v>186</v>
      </c>
      <c r="R13">
        <f xml:space="preserve"> SUM(R2:R12)</f>
        <v>177.81399999999999</v>
      </c>
    </row>
    <row r="14" spans="1:19" x14ac:dyDescent="0.3">
      <c r="B14" t="s">
        <v>133</v>
      </c>
      <c r="C14" t="s">
        <v>22</v>
      </c>
      <c r="D14">
        <v>7.09</v>
      </c>
      <c r="J14" t="s">
        <v>24</v>
      </c>
      <c r="K14">
        <v>0</v>
      </c>
      <c r="L14" t="s">
        <v>22</v>
      </c>
      <c r="P14" t="s">
        <v>188</v>
      </c>
      <c r="R14">
        <f>(A3+A8+A32)/3</f>
        <v>11.666666666666666</v>
      </c>
    </row>
    <row r="15" spans="1:19" x14ac:dyDescent="0.3">
      <c r="A15" t="s">
        <v>212</v>
      </c>
      <c r="B15" t="s">
        <v>26</v>
      </c>
      <c r="C15" t="s">
        <v>22</v>
      </c>
      <c r="D15">
        <v>205.1</v>
      </c>
      <c r="E15" t="s">
        <v>211</v>
      </c>
      <c r="F15" s="9" t="s">
        <v>358</v>
      </c>
      <c r="I15" t="s">
        <v>185</v>
      </c>
      <c r="J15" t="s">
        <v>25</v>
      </c>
      <c r="K15">
        <v>0</v>
      </c>
      <c r="L15" t="s">
        <v>22</v>
      </c>
    </row>
    <row r="16" spans="1:19" x14ac:dyDescent="0.3">
      <c r="B16" t="s">
        <v>5</v>
      </c>
      <c r="C16" t="s">
        <v>22</v>
      </c>
      <c r="D16">
        <v>5.27</v>
      </c>
      <c r="E16" s="15" t="s">
        <v>383</v>
      </c>
      <c r="F16" t="s">
        <v>185</v>
      </c>
      <c r="J16" t="s">
        <v>316</v>
      </c>
      <c r="K16">
        <v>2.77</v>
      </c>
      <c r="L16" t="s">
        <v>22</v>
      </c>
    </row>
    <row r="17" spans="1:12" x14ac:dyDescent="0.3">
      <c r="B17" t="s">
        <v>52</v>
      </c>
      <c r="C17" t="s">
        <v>22</v>
      </c>
      <c r="D17">
        <v>9.14</v>
      </c>
      <c r="J17" t="s">
        <v>26</v>
      </c>
      <c r="K17">
        <v>0</v>
      </c>
      <c r="L17" t="s">
        <v>22</v>
      </c>
    </row>
    <row r="18" spans="1:12" x14ac:dyDescent="0.3">
      <c r="A18" t="s">
        <v>213</v>
      </c>
      <c r="B18" t="s">
        <v>26</v>
      </c>
      <c r="C18" t="s">
        <v>22</v>
      </c>
      <c r="D18">
        <v>124.15</v>
      </c>
      <c r="E18" t="s">
        <v>211</v>
      </c>
      <c r="J18" t="s">
        <v>317</v>
      </c>
      <c r="K18">
        <v>0</v>
      </c>
      <c r="L18" t="s">
        <v>22</v>
      </c>
    </row>
    <row r="19" spans="1:12" x14ac:dyDescent="0.3">
      <c r="B19" t="s">
        <v>72</v>
      </c>
      <c r="C19" t="s">
        <v>22</v>
      </c>
      <c r="D19">
        <v>5.53</v>
      </c>
      <c r="E19" s="15" t="s">
        <v>383</v>
      </c>
      <c r="F19" t="s">
        <v>185</v>
      </c>
      <c r="J19" t="s">
        <v>27</v>
      </c>
      <c r="K19">
        <f>1.33+0.01</f>
        <v>1.34</v>
      </c>
      <c r="L19" t="s">
        <v>22</v>
      </c>
    </row>
    <row r="20" spans="1:12" x14ac:dyDescent="0.3">
      <c r="B20" t="s">
        <v>52</v>
      </c>
      <c r="C20" t="s">
        <v>22</v>
      </c>
      <c r="D20">
        <v>1.25</v>
      </c>
      <c r="J20" t="s">
        <v>28</v>
      </c>
      <c r="K20">
        <f>0.25+0.39+7.09</f>
        <v>7.7299999999999995</v>
      </c>
      <c r="L20" t="s">
        <v>22</v>
      </c>
    </row>
    <row r="21" spans="1:12" x14ac:dyDescent="0.3">
      <c r="A21" t="s">
        <v>215</v>
      </c>
      <c r="B21" t="s">
        <v>216</v>
      </c>
      <c r="C21" t="s">
        <v>22</v>
      </c>
      <c r="D21">
        <v>292.5</v>
      </c>
      <c r="E21" t="s">
        <v>225</v>
      </c>
      <c r="F21" t="s">
        <v>226</v>
      </c>
      <c r="J21" t="s">
        <v>5</v>
      </c>
      <c r="K21">
        <v>63.6</v>
      </c>
      <c r="L21" t="s">
        <v>22</v>
      </c>
    </row>
    <row r="22" spans="1:12" x14ac:dyDescent="0.3">
      <c r="B22" t="s">
        <v>217</v>
      </c>
      <c r="C22" t="s">
        <v>22</v>
      </c>
      <c r="D22">
        <v>165.7</v>
      </c>
      <c r="E22" s="15" t="s">
        <v>384</v>
      </c>
      <c r="F22">
        <f>SUM(D21:D30)</f>
        <v>464.27700000000004</v>
      </c>
      <c r="J22" t="s">
        <v>29</v>
      </c>
      <c r="K22">
        <v>0</v>
      </c>
      <c r="L22" t="s">
        <v>22</v>
      </c>
    </row>
    <row r="23" spans="1:12" x14ac:dyDescent="0.3">
      <c r="B23" t="s">
        <v>218</v>
      </c>
      <c r="C23" t="s">
        <v>22</v>
      </c>
      <c r="D23">
        <v>3.12</v>
      </c>
      <c r="J23" t="s">
        <v>9</v>
      </c>
      <c r="K23">
        <v>0</v>
      </c>
      <c r="L23" t="s">
        <v>22</v>
      </c>
    </row>
    <row r="24" spans="1:12" x14ac:dyDescent="0.3">
      <c r="B24" t="s">
        <v>219</v>
      </c>
      <c r="C24" t="s">
        <v>22</v>
      </c>
      <c r="D24">
        <v>0.8</v>
      </c>
      <c r="I24" t="s">
        <v>212</v>
      </c>
      <c r="J24" t="s">
        <v>4</v>
      </c>
      <c r="K24">
        <v>0</v>
      </c>
      <c r="L24" t="s">
        <v>22</v>
      </c>
    </row>
    <row r="25" spans="1:12" x14ac:dyDescent="0.3">
      <c r="B25" t="s">
        <v>220</v>
      </c>
      <c r="C25" t="s">
        <v>22</v>
      </c>
      <c r="D25">
        <v>0.44</v>
      </c>
      <c r="J25" t="s">
        <v>24</v>
      </c>
      <c r="K25">
        <v>0</v>
      </c>
      <c r="L25" t="s">
        <v>22</v>
      </c>
    </row>
    <row r="26" spans="1:12" x14ac:dyDescent="0.3">
      <c r="B26" t="s">
        <v>221</v>
      </c>
      <c r="C26" t="s">
        <v>22</v>
      </c>
      <c r="D26">
        <v>0.16</v>
      </c>
      <c r="J26" t="s">
        <v>25</v>
      </c>
      <c r="K26">
        <v>0</v>
      </c>
      <c r="L26" t="s">
        <v>22</v>
      </c>
    </row>
    <row r="27" spans="1:12" x14ac:dyDescent="0.3">
      <c r="B27" t="s">
        <v>222</v>
      </c>
      <c r="C27" t="s">
        <v>22</v>
      </c>
      <c r="D27">
        <v>7.0000000000000001E-3</v>
      </c>
      <c r="J27" t="s">
        <v>316</v>
      </c>
      <c r="K27">
        <v>0</v>
      </c>
      <c r="L27" t="s">
        <v>22</v>
      </c>
    </row>
    <row r="28" spans="1:12" x14ac:dyDescent="0.3">
      <c r="B28" t="s">
        <v>223</v>
      </c>
      <c r="C28" t="s">
        <v>22</v>
      </c>
      <c r="D28">
        <v>0.18</v>
      </c>
      <c r="J28" t="s">
        <v>26</v>
      </c>
      <c r="K28">
        <v>205.1</v>
      </c>
      <c r="L28" t="s">
        <v>22</v>
      </c>
    </row>
    <row r="29" spans="1:12" x14ac:dyDescent="0.3">
      <c r="B29" t="s">
        <v>224</v>
      </c>
      <c r="C29" t="s">
        <v>22</v>
      </c>
      <c r="D29">
        <v>0.2</v>
      </c>
      <c r="J29" t="s">
        <v>317</v>
      </c>
      <c r="K29">
        <v>0</v>
      </c>
      <c r="L29" t="s">
        <v>22</v>
      </c>
    </row>
    <row r="30" spans="1:12" x14ac:dyDescent="0.3">
      <c r="B30" t="s">
        <v>5</v>
      </c>
      <c r="C30" t="s">
        <v>22</v>
      </c>
      <c r="D30">
        <v>1.17</v>
      </c>
      <c r="J30" t="s">
        <v>27</v>
      </c>
      <c r="K30">
        <v>0</v>
      </c>
      <c r="L30" t="s">
        <v>22</v>
      </c>
    </row>
    <row r="31" spans="1:12" x14ac:dyDescent="0.3">
      <c r="A31" t="s">
        <v>266</v>
      </c>
      <c r="B31" t="s">
        <v>52</v>
      </c>
      <c r="C31" t="s">
        <v>22</v>
      </c>
      <c r="D31">
        <v>9.14</v>
      </c>
      <c r="E31" t="s">
        <v>267</v>
      </c>
      <c r="J31" t="s">
        <v>28</v>
      </c>
      <c r="K31">
        <v>9.14</v>
      </c>
      <c r="L31" t="s">
        <v>22</v>
      </c>
    </row>
    <row r="32" spans="1:12" x14ac:dyDescent="0.3">
      <c r="A32">
        <v>5</v>
      </c>
      <c r="B32" t="s">
        <v>5</v>
      </c>
      <c r="C32" t="s">
        <v>22</v>
      </c>
      <c r="D32">
        <v>15.7</v>
      </c>
      <c r="E32" s="15" t="s">
        <v>385</v>
      </c>
      <c r="F32" t="s">
        <v>185</v>
      </c>
      <c r="J32" t="s">
        <v>5</v>
      </c>
      <c r="K32">
        <v>5.27</v>
      </c>
      <c r="L32" t="s">
        <v>22</v>
      </c>
    </row>
    <row r="33" spans="2:12" x14ac:dyDescent="0.3">
      <c r="B33" t="s">
        <v>268</v>
      </c>
      <c r="C33" t="s">
        <v>22</v>
      </c>
      <c r="D33">
        <v>4.82</v>
      </c>
      <c r="J33" t="s">
        <v>29</v>
      </c>
      <c r="K33">
        <v>0</v>
      </c>
      <c r="L33" t="s">
        <v>22</v>
      </c>
    </row>
    <row r="34" spans="2:12" x14ac:dyDescent="0.3">
      <c r="B34" t="s">
        <v>269</v>
      </c>
      <c r="C34" t="s">
        <v>22</v>
      </c>
      <c r="D34">
        <v>235</v>
      </c>
      <c r="J34" t="s">
        <v>9</v>
      </c>
      <c r="K34">
        <v>0</v>
      </c>
      <c r="L34" t="s">
        <v>22</v>
      </c>
    </row>
    <row r="35" spans="2:12" x14ac:dyDescent="0.3">
      <c r="B35" t="s">
        <v>270</v>
      </c>
      <c r="C35" t="s">
        <v>22</v>
      </c>
      <c r="D35">
        <v>0.72</v>
      </c>
      <c r="I35" t="s">
        <v>214</v>
      </c>
      <c r="J35" t="s">
        <v>4</v>
      </c>
      <c r="K35">
        <v>0</v>
      </c>
      <c r="L35" t="s">
        <v>22</v>
      </c>
    </row>
    <row r="36" spans="2:12" x14ac:dyDescent="0.3">
      <c r="B36" t="s">
        <v>131</v>
      </c>
      <c r="C36" t="s">
        <v>22</v>
      </c>
      <c r="D36">
        <v>22.2</v>
      </c>
      <c r="J36" t="s">
        <v>24</v>
      </c>
      <c r="K36">
        <v>0</v>
      </c>
      <c r="L36" t="s">
        <v>22</v>
      </c>
    </row>
    <row r="37" spans="2:12" x14ac:dyDescent="0.3">
      <c r="J37" t="s">
        <v>25</v>
      </c>
      <c r="K37">
        <v>0</v>
      </c>
      <c r="L37" t="s">
        <v>22</v>
      </c>
    </row>
    <row r="38" spans="2:12" x14ac:dyDescent="0.3">
      <c r="J38" t="s">
        <v>316</v>
      </c>
      <c r="K38">
        <v>0</v>
      </c>
      <c r="L38" t="s">
        <v>22</v>
      </c>
    </row>
    <row r="39" spans="2:12" x14ac:dyDescent="0.3">
      <c r="J39" t="s">
        <v>26</v>
      </c>
      <c r="K39">
        <v>124.15</v>
      </c>
      <c r="L39" t="s">
        <v>22</v>
      </c>
    </row>
    <row r="40" spans="2:12" x14ac:dyDescent="0.3">
      <c r="J40" t="s">
        <v>317</v>
      </c>
      <c r="K40">
        <v>0</v>
      </c>
      <c r="L40" t="s">
        <v>22</v>
      </c>
    </row>
    <row r="41" spans="2:12" x14ac:dyDescent="0.3">
      <c r="J41" t="s">
        <v>27</v>
      </c>
      <c r="K41">
        <v>0</v>
      </c>
      <c r="L41" t="s">
        <v>22</v>
      </c>
    </row>
    <row r="42" spans="2:12" x14ac:dyDescent="0.3">
      <c r="J42" t="s">
        <v>28</v>
      </c>
      <c r="K42">
        <v>1.25</v>
      </c>
      <c r="L42" t="s">
        <v>22</v>
      </c>
    </row>
    <row r="43" spans="2:12" x14ac:dyDescent="0.3">
      <c r="J43" t="s">
        <v>5</v>
      </c>
      <c r="K43">
        <v>5.53</v>
      </c>
      <c r="L43" t="s">
        <v>22</v>
      </c>
    </row>
    <row r="44" spans="2:12" x14ac:dyDescent="0.3">
      <c r="J44" t="s">
        <v>29</v>
      </c>
      <c r="K44">
        <v>0</v>
      </c>
      <c r="L44" t="s">
        <v>22</v>
      </c>
    </row>
    <row r="45" spans="2:12" x14ac:dyDescent="0.3">
      <c r="J45" t="s">
        <v>9</v>
      </c>
      <c r="K45">
        <v>0</v>
      </c>
      <c r="L45" t="s">
        <v>22</v>
      </c>
    </row>
    <row r="46" spans="2:12" x14ac:dyDescent="0.3">
      <c r="I46" s="11" t="s">
        <v>215</v>
      </c>
      <c r="J46" t="s">
        <v>4</v>
      </c>
      <c r="K46">
        <v>0</v>
      </c>
      <c r="L46" t="s">
        <v>22</v>
      </c>
    </row>
    <row r="47" spans="2:12" x14ac:dyDescent="0.3">
      <c r="J47" t="s">
        <v>24</v>
      </c>
      <c r="K47">
        <v>0</v>
      </c>
      <c r="L47" t="s">
        <v>22</v>
      </c>
    </row>
    <row r="48" spans="2:12" x14ac:dyDescent="0.3">
      <c r="J48" t="s">
        <v>25</v>
      </c>
      <c r="K48">
        <v>0</v>
      </c>
      <c r="L48" t="s">
        <v>22</v>
      </c>
    </row>
    <row r="49" spans="9:12" x14ac:dyDescent="0.3">
      <c r="J49" t="s">
        <v>316</v>
      </c>
      <c r="K49">
        <v>0</v>
      </c>
      <c r="L49" t="s">
        <v>22</v>
      </c>
    </row>
    <row r="50" spans="9:12" x14ac:dyDescent="0.3">
      <c r="J50" t="s">
        <v>26</v>
      </c>
      <c r="K50">
        <v>0</v>
      </c>
      <c r="L50" t="s">
        <v>22</v>
      </c>
    </row>
    <row r="51" spans="9:12" x14ac:dyDescent="0.3">
      <c r="J51" t="s">
        <v>317</v>
      </c>
      <c r="K51">
        <v>0.38700000000000001</v>
      </c>
      <c r="L51" t="s">
        <v>22</v>
      </c>
    </row>
    <row r="52" spans="9:12" x14ac:dyDescent="0.3">
      <c r="J52" t="s">
        <v>27</v>
      </c>
      <c r="K52">
        <v>0</v>
      </c>
      <c r="L52" t="s">
        <v>22</v>
      </c>
    </row>
    <row r="53" spans="9:12" x14ac:dyDescent="0.3">
      <c r="J53" t="s">
        <v>28</v>
      </c>
      <c r="K53">
        <v>0</v>
      </c>
      <c r="L53" t="s">
        <v>22</v>
      </c>
    </row>
    <row r="54" spans="9:12" x14ac:dyDescent="0.3">
      <c r="J54" t="s">
        <v>5</v>
      </c>
      <c r="K54">
        <v>1.3299999999999998</v>
      </c>
      <c r="L54" t="s">
        <v>22</v>
      </c>
    </row>
    <row r="55" spans="9:12" x14ac:dyDescent="0.3">
      <c r="J55" t="s">
        <v>29</v>
      </c>
      <c r="K55">
        <v>0</v>
      </c>
      <c r="L55" t="s">
        <v>22</v>
      </c>
    </row>
    <row r="56" spans="9:12" x14ac:dyDescent="0.3">
      <c r="J56" t="s">
        <v>9</v>
      </c>
      <c r="K56" s="11">
        <v>462.56</v>
      </c>
      <c r="L56" t="s">
        <v>22</v>
      </c>
    </row>
    <row r="57" spans="9:12" x14ac:dyDescent="0.3">
      <c r="I57" t="s">
        <v>266</v>
      </c>
      <c r="J57" t="s">
        <v>4</v>
      </c>
      <c r="K57">
        <v>0</v>
      </c>
      <c r="L57" t="s">
        <v>22</v>
      </c>
    </row>
    <row r="58" spans="9:12" x14ac:dyDescent="0.3">
      <c r="J58" t="s">
        <v>24</v>
      </c>
      <c r="K58">
        <v>0</v>
      </c>
      <c r="L58" t="s">
        <v>22</v>
      </c>
    </row>
    <row r="59" spans="9:12" x14ac:dyDescent="0.3">
      <c r="J59" t="s">
        <v>25</v>
      </c>
      <c r="K59">
        <v>0</v>
      </c>
      <c r="L59" t="s">
        <v>22</v>
      </c>
    </row>
    <row r="60" spans="9:12" x14ac:dyDescent="0.3">
      <c r="J60" t="s">
        <v>316</v>
      </c>
      <c r="K60">
        <f>4.82+0.72</f>
        <v>5.54</v>
      </c>
      <c r="L60" t="s">
        <v>22</v>
      </c>
    </row>
    <row r="61" spans="9:12" x14ac:dyDescent="0.3">
      <c r="J61" t="s">
        <v>26</v>
      </c>
      <c r="K61">
        <v>235</v>
      </c>
      <c r="L61" t="s">
        <v>22</v>
      </c>
    </row>
    <row r="62" spans="9:12" x14ac:dyDescent="0.3">
      <c r="J62" t="s">
        <v>317</v>
      </c>
      <c r="K62">
        <v>0</v>
      </c>
      <c r="L62" t="s">
        <v>22</v>
      </c>
    </row>
    <row r="63" spans="9:12" x14ac:dyDescent="0.3">
      <c r="J63" t="s">
        <v>27</v>
      </c>
      <c r="K63">
        <v>22.2</v>
      </c>
      <c r="L63" t="s">
        <v>22</v>
      </c>
    </row>
    <row r="64" spans="9:12" x14ac:dyDescent="0.3">
      <c r="J64" t="s">
        <v>28</v>
      </c>
      <c r="K64">
        <v>9.14</v>
      </c>
      <c r="L64" t="s">
        <v>22</v>
      </c>
    </row>
    <row r="65" spans="10:12" x14ac:dyDescent="0.3">
      <c r="J65" t="s">
        <v>5</v>
      </c>
      <c r="K65">
        <v>15.7</v>
      </c>
      <c r="L65" t="s">
        <v>22</v>
      </c>
    </row>
    <row r="66" spans="10:12" x14ac:dyDescent="0.3">
      <c r="J66" t="s">
        <v>29</v>
      </c>
      <c r="K66">
        <v>0</v>
      </c>
      <c r="L66" t="s">
        <v>22</v>
      </c>
    </row>
    <row r="67" spans="10:12" x14ac:dyDescent="0.3">
      <c r="J67" t="s">
        <v>9</v>
      </c>
      <c r="K67">
        <v>0</v>
      </c>
      <c r="L67" t="s">
        <v>22</v>
      </c>
    </row>
  </sheetData>
  <hyperlinks>
    <hyperlink ref="E3" r:id="rId1" xr:uid="{86500571-7BEA-451E-911D-D8E85DF334AD}"/>
    <hyperlink ref="E8" r:id="rId2" xr:uid="{E4ECEE73-D12B-429F-AC1C-EE8B142FA818}"/>
    <hyperlink ref="E16" r:id="rId3" xr:uid="{7C4C41B1-7032-4640-8F2D-4D7D1B773D8F}"/>
    <hyperlink ref="E19" r:id="rId4" xr:uid="{D9B9B046-631C-465E-8D4A-BC4D2C13EED7}"/>
    <hyperlink ref="E22" r:id="rId5" xr:uid="{B393AC03-AD9A-4B6A-A6F4-261F8295CD5A}"/>
    <hyperlink ref="E32" r:id="rId6" xr:uid="{C4AB13C2-4E21-4815-817B-491F76117160}"/>
  </hyperlinks>
  <pageMargins left="0.7" right="0.7" top="0.75" bottom="0.75" header="0.3" footer="0.3"/>
  <pageSetup paperSize="9" orientation="portrait" r:id="rId7"/>
  <drawing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932FC-88B3-4D40-BAAF-AA2B61D0DB71}">
  <dimension ref="A1:S67"/>
  <sheetViews>
    <sheetView zoomScale="70" zoomScaleNormal="70" workbookViewId="0">
      <selection activeCell="E32" sqref="E32"/>
    </sheetView>
  </sheetViews>
  <sheetFormatPr defaultRowHeight="14.4" x14ac:dyDescent="0.3"/>
  <cols>
    <col min="1" max="1" width="30.109375" customWidth="1"/>
    <col min="2" max="2" width="28.109375" customWidth="1"/>
    <col min="7" max="7" width="1" style="3" customWidth="1"/>
    <col min="9" max="9" width="25.44140625" customWidth="1"/>
    <col min="10" max="10" width="33.5546875" customWidth="1"/>
    <col min="11" max="11" width="10.88671875" customWidth="1"/>
    <col min="14" max="14" width="1.109375" style="3" customWidth="1"/>
    <col min="16" max="16" width="16.6640625" customWidth="1"/>
    <col min="17" max="17" width="26" customWidth="1"/>
  </cols>
  <sheetData>
    <row r="1" spans="1:19" x14ac:dyDescent="0.3">
      <c r="A1" s="2" t="s">
        <v>1</v>
      </c>
      <c r="B1" s="2" t="s">
        <v>2</v>
      </c>
      <c r="C1" s="2" t="s">
        <v>21</v>
      </c>
      <c r="D1" s="2" t="s">
        <v>3</v>
      </c>
      <c r="E1" s="2" t="s">
        <v>11</v>
      </c>
      <c r="I1" s="2" t="s">
        <v>1</v>
      </c>
      <c r="J1" s="2" t="s">
        <v>2</v>
      </c>
      <c r="K1" s="2" t="s">
        <v>3</v>
      </c>
      <c r="L1" s="2" t="s">
        <v>21</v>
      </c>
      <c r="P1" s="2" t="s">
        <v>1</v>
      </c>
      <c r="Q1" s="2" t="s">
        <v>2</v>
      </c>
      <c r="R1" s="2" t="s">
        <v>3</v>
      </c>
      <c r="S1" s="2" t="s">
        <v>21</v>
      </c>
    </row>
    <row r="2" spans="1:19" x14ac:dyDescent="0.3">
      <c r="A2" t="s">
        <v>136</v>
      </c>
      <c r="B2" t="s">
        <v>49</v>
      </c>
      <c r="C2" t="s">
        <v>22</v>
      </c>
      <c r="D2">
        <f>4.78+3.27</f>
        <v>8.0500000000000007</v>
      </c>
      <c r="E2" t="s">
        <v>12</v>
      </c>
      <c r="I2" t="s">
        <v>154</v>
      </c>
      <c r="J2" t="s">
        <v>4</v>
      </c>
      <c r="K2" s="8">
        <v>0</v>
      </c>
      <c r="L2" t="s">
        <v>22</v>
      </c>
      <c r="P2" t="s">
        <v>157</v>
      </c>
      <c r="Q2" t="s">
        <v>4</v>
      </c>
      <c r="R2">
        <f>(K2+K13+K24+K35+K46+K57)/6</f>
        <v>3.19</v>
      </c>
      <c r="S2" t="s">
        <v>22</v>
      </c>
    </row>
    <row r="3" spans="1:19" x14ac:dyDescent="0.3">
      <c r="A3">
        <v>15</v>
      </c>
      <c r="B3" t="s">
        <v>137</v>
      </c>
      <c r="C3" t="s">
        <v>22</v>
      </c>
      <c r="D3">
        <f>2.34+0.49</f>
        <v>2.83</v>
      </c>
      <c r="E3" s="15" t="s">
        <v>386</v>
      </c>
      <c r="F3" t="s">
        <v>185</v>
      </c>
      <c r="J3" t="s">
        <v>24</v>
      </c>
      <c r="K3" s="8">
        <v>0</v>
      </c>
      <c r="L3" t="s">
        <v>22</v>
      </c>
      <c r="Q3" t="s">
        <v>24</v>
      </c>
      <c r="R3">
        <f t="shared" ref="R3:R12" si="0">(K3+K14+K25+K36+K47+K58)/6</f>
        <v>0</v>
      </c>
      <c r="S3" t="s">
        <v>22</v>
      </c>
    </row>
    <row r="4" spans="1:19" x14ac:dyDescent="0.3">
      <c r="B4" t="s">
        <v>138</v>
      </c>
      <c r="C4" t="s">
        <v>22</v>
      </c>
      <c r="D4">
        <v>0.99099999999999999</v>
      </c>
      <c r="J4" t="s">
        <v>25</v>
      </c>
      <c r="K4" s="8">
        <v>0</v>
      </c>
      <c r="L4" t="s">
        <v>22</v>
      </c>
      <c r="Q4" t="s">
        <v>25</v>
      </c>
      <c r="R4">
        <f t="shared" si="0"/>
        <v>0.64</v>
      </c>
      <c r="S4" t="s">
        <v>22</v>
      </c>
    </row>
    <row r="5" spans="1:19" x14ac:dyDescent="0.3">
      <c r="B5" t="s">
        <v>5</v>
      </c>
      <c r="C5" t="s">
        <v>22</v>
      </c>
      <c r="D5">
        <f>3.95+0.161</f>
        <v>4.1109999999999998</v>
      </c>
      <c r="J5" t="s">
        <v>316</v>
      </c>
      <c r="K5" s="8">
        <v>0</v>
      </c>
      <c r="L5" t="s">
        <v>22</v>
      </c>
      <c r="Q5" t="s">
        <v>316</v>
      </c>
      <c r="R5">
        <f t="shared" si="0"/>
        <v>1.0333333333333333E-2</v>
      </c>
      <c r="S5" t="s">
        <v>22</v>
      </c>
    </row>
    <row r="6" spans="1:19" x14ac:dyDescent="0.3">
      <c r="A6" t="s">
        <v>139</v>
      </c>
      <c r="B6" t="s">
        <v>5</v>
      </c>
      <c r="C6" t="s">
        <v>22</v>
      </c>
      <c r="D6">
        <f>5.6+0.921+1.44+0.175</f>
        <v>8.136000000000001</v>
      </c>
      <c r="E6" t="s">
        <v>12</v>
      </c>
      <c r="J6" t="s">
        <v>26</v>
      </c>
      <c r="K6" s="8">
        <v>0</v>
      </c>
      <c r="L6" t="s">
        <v>22</v>
      </c>
      <c r="Q6" t="s">
        <v>26</v>
      </c>
      <c r="R6">
        <f t="shared" si="0"/>
        <v>0</v>
      </c>
      <c r="S6" t="s">
        <v>22</v>
      </c>
    </row>
    <row r="7" spans="1:19" x14ac:dyDescent="0.3">
      <c r="A7">
        <v>15</v>
      </c>
      <c r="B7" t="s">
        <v>19</v>
      </c>
      <c r="C7" t="s">
        <v>22</v>
      </c>
      <c r="D7">
        <v>1.95</v>
      </c>
      <c r="E7" s="15" t="s">
        <v>387</v>
      </c>
      <c r="F7" t="s">
        <v>185</v>
      </c>
      <c r="J7" t="s">
        <v>317</v>
      </c>
      <c r="K7" s="8">
        <v>0</v>
      </c>
      <c r="L7" t="s">
        <v>22</v>
      </c>
      <c r="Q7" t="s">
        <v>317</v>
      </c>
      <c r="R7">
        <f t="shared" si="0"/>
        <v>5.1666666666666666E-3</v>
      </c>
      <c r="S7" t="s">
        <v>22</v>
      </c>
    </row>
    <row r="8" spans="1:19" x14ac:dyDescent="0.3">
      <c r="B8" t="s">
        <v>49</v>
      </c>
      <c r="C8" t="s">
        <v>22</v>
      </c>
      <c r="D8">
        <f>1.62+0.042</f>
        <v>1.6620000000000001</v>
      </c>
      <c r="J8" t="s">
        <v>27</v>
      </c>
      <c r="K8" s="8">
        <v>0</v>
      </c>
      <c r="L8" t="s">
        <v>22</v>
      </c>
      <c r="Q8" t="s">
        <v>27</v>
      </c>
      <c r="R8">
        <f t="shared" si="0"/>
        <v>0</v>
      </c>
      <c r="S8" t="s">
        <v>22</v>
      </c>
    </row>
    <row r="9" spans="1:19" x14ac:dyDescent="0.3">
      <c r="B9" t="s">
        <v>7</v>
      </c>
      <c r="C9" t="s">
        <v>22</v>
      </c>
      <c r="D9">
        <v>0.03</v>
      </c>
      <c r="J9" t="s">
        <v>28</v>
      </c>
      <c r="K9" s="8">
        <f>8.05+2.83+0.991</f>
        <v>11.871</v>
      </c>
      <c r="L9" t="s">
        <v>22</v>
      </c>
      <c r="Q9" t="s">
        <v>28</v>
      </c>
      <c r="R9">
        <f t="shared" si="0"/>
        <v>6.4289999999999994</v>
      </c>
      <c r="S9" t="s">
        <v>22</v>
      </c>
    </row>
    <row r="10" spans="1:19" x14ac:dyDescent="0.3">
      <c r="B10" t="s">
        <v>140</v>
      </c>
      <c r="C10" t="s">
        <v>22</v>
      </c>
      <c r="D10">
        <v>0.39600000000000002</v>
      </c>
      <c r="J10" t="s">
        <v>5</v>
      </c>
      <c r="K10" s="8">
        <v>4.1109999999999998</v>
      </c>
      <c r="L10" t="s">
        <v>22</v>
      </c>
      <c r="Q10" t="s">
        <v>5</v>
      </c>
      <c r="R10">
        <f t="shared" si="0"/>
        <v>4.4999999999999991</v>
      </c>
      <c r="S10" t="s">
        <v>22</v>
      </c>
    </row>
    <row r="11" spans="1:19" x14ac:dyDescent="0.3">
      <c r="A11" t="s">
        <v>141</v>
      </c>
      <c r="B11" t="s">
        <v>5</v>
      </c>
      <c r="C11" t="s">
        <v>22</v>
      </c>
      <c r="D11">
        <f>4.05+1.15+0.209</f>
        <v>5.4089999999999989</v>
      </c>
      <c r="E11" t="s">
        <v>12</v>
      </c>
      <c r="J11" t="s">
        <v>29</v>
      </c>
      <c r="K11" s="8">
        <v>0</v>
      </c>
      <c r="L11" t="s">
        <v>22</v>
      </c>
      <c r="Q11" t="s">
        <v>29</v>
      </c>
      <c r="R11">
        <f t="shared" si="0"/>
        <v>0.11266666666666668</v>
      </c>
      <c r="S11" t="s">
        <v>22</v>
      </c>
    </row>
    <row r="12" spans="1:19" x14ac:dyDescent="0.3">
      <c r="A12">
        <v>15</v>
      </c>
      <c r="B12" t="s">
        <v>19</v>
      </c>
      <c r="C12" t="s">
        <v>22</v>
      </c>
      <c r="D12">
        <v>0.71499999999999997</v>
      </c>
      <c r="E12" s="15" t="s">
        <v>388</v>
      </c>
      <c r="F12" t="s">
        <v>185</v>
      </c>
      <c r="J12" t="s">
        <v>9</v>
      </c>
      <c r="K12" s="8">
        <v>0</v>
      </c>
      <c r="L12" t="s">
        <v>22</v>
      </c>
      <c r="Q12" t="s">
        <v>9</v>
      </c>
      <c r="R12">
        <f t="shared" si="0"/>
        <v>0</v>
      </c>
      <c r="S12" t="s">
        <v>22</v>
      </c>
    </row>
    <row r="13" spans="1:19" x14ac:dyDescent="0.3">
      <c r="B13" t="s">
        <v>49</v>
      </c>
      <c r="C13" t="s">
        <v>22</v>
      </c>
      <c r="D13">
        <v>12.6</v>
      </c>
      <c r="I13" t="s">
        <v>155</v>
      </c>
      <c r="J13" t="s">
        <v>4</v>
      </c>
      <c r="K13" s="8">
        <v>0</v>
      </c>
      <c r="L13" t="s">
        <v>22</v>
      </c>
      <c r="P13" t="s">
        <v>186</v>
      </c>
      <c r="R13">
        <f>SUM(R2:R12)</f>
        <v>14.887166666666666</v>
      </c>
    </row>
    <row r="14" spans="1:19" x14ac:dyDescent="0.3">
      <c r="B14" t="s">
        <v>7</v>
      </c>
      <c r="C14" t="s">
        <v>22</v>
      </c>
      <c r="D14">
        <v>3.2000000000000001E-2</v>
      </c>
      <c r="J14" t="s">
        <v>24</v>
      </c>
      <c r="K14" s="8">
        <v>0</v>
      </c>
      <c r="L14" t="s">
        <v>22</v>
      </c>
      <c r="P14" t="s">
        <v>188</v>
      </c>
      <c r="R14">
        <f>(A3+A7+A12+A18+A20+A31)/6</f>
        <v>13.333333333333334</v>
      </c>
    </row>
    <row r="15" spans="1:19" x14ac:dyDescent="0.3">
      <c r="B15" t="s">
        <v>142</v>
      </c>
      <c r="C15" t="s">
        <v>22</v>
      </c>
      <c r="D15">
        <v>3.1E-2</v>
      </c>
      <c r="J15" t="s">
        <v>25</v>
      </c>
      <c r="K15" s="8">
        <v>0</v>
      </c>
      <c r="L15" t="s">
        <v>22</v>
      </c>
    </row>
    <row r="16" spans="1:19" x14ac:dyDescent="0.3">
      <c r="B16" t="s">
        <v>137</v>
      </c>
      <c r="C16" t="s">
        <v>22</v>
      </c>
      <c r="D16">
        <v>0.24</v>
      </c>
      <c r="J16" t="s">
        <v>316</v>
      </c>
      <c r="K16" s="8">
        <v>0.03</v>
      </c>
      <c r="L16" t="s">
        <v>22</v>
      </c>
    </row>
    <row r="17" spans="1:12" x14ac:dyDescent="0.3">
      <c r="A17" t="s">
        <v>184</v>
      </c>
      <c r="B17" t="s">
        <v>19</v>
      </c>
      <c r="C17" t="s">
        <v>22</v>
      </c>
      <c r="D17">
        <v>3.37</v>
      </c>
      <c r="E17" t="s">
        <v>12</v>
      </c>
      <c r="J17" t="s">
        <v>26</v>
      </c>
      <c r="K17" s="8">
        <v>0</v>
      </c>
      <c r="L17" t="s">
        <v>22</v>
      </c>
    </row>
    <row r="18" spans="1:12" x14ac:dyDescent="0.3">
      <c r="A18">
        <v>15</v>
      </c>
      <c r="B18" t="s">
        <v>5</v>
      </c>
      <c r="C18" t="s">
        <v>22</v>
      </c>
      <c r="D18">
        <f>6+0.074</f>
        <v>6.0739999999999998</v>
      </c>
      <c r="E18" s="15" t="s">
        <v>389</v>
      </c>
      <c r="F18" t="s">
        <v>185</v>
      </c>
      <c r="J18" t="s">
        <v>317</v>
      </c>
      <c r="K18" s="8">
        <v>0</v>
      </c>
      <c r="L18" t="s">
        <v>22</v>
      </c>
    </row>
    <row r="19" spans="1:12" x14ac:dyDescent="0.3">
      <c r="A19" t="s">
        <v>271</v>
      </c>
      <c r="B19" t="s">
        <v>4</v>
      </c>
      <c r="C19" t="s">
        <v>22</v>
      </c>
      <c r="D19">
        <v>10.673999999999999</v>
      </c>
      <c r="E19" t="s">
        <v>50</v>
      </c>
      <c r="J19" t="s">
        <v>27</v>
      </c>
      <c r="K19" s="8">
        <v>0</v>
      </c>
      <c r="L19" t="s">
        <v>22</v>
      </c>
    </row>
    <row r="20" spans="1:12" x14ac:dyDescent="0.3">
      <c r="A20">
        <v>10</v>
      </c>
      <c r="B20" t="s">
        <v>5</v>
      </c>
      <c r="C20" t="s">
        <v>22</v>
      </c>
      <c r="D20">
        <v>1.6379999999999999</v>
      </c>
      <c r="E20" s="15" t="s">
        <v>390</v>
      </c>
      <c r="F20" t="s">
        <v>185</v>
      </c>
      <c r="J20" t="s">
        <v>28</v>
      </c>
      <c r="K20" s="8">
        <f>1.95+1.662</f>
        <v>3.6120000000000001</v>
      </c>
      <c r="L20" t="s">
        <v>22</v>
      </c>
    </row>
    <row r="21" spans="1:12" x14ac:dyDescent="0.3">
      <c r="B21" t="s">
        <v>51</v>
      </c>
      <c r="C21" t="s">
        <v>22</v>
      </c>
      <c r="D21">
        <v>1.1339999999999999</v>
      </c>
      <c r="F21" t="s">
        <v>332</v>
      </c>
      <c r="H21" t="s">
        <v>185</v>
      </c>
      <c r="J21" t="s">
        <v>5</v>
      </c>
      <c r="K21" s="8">
        <v>8.1359999999999992</v>
      </c>
      <c r="L21" t="s">
        <v>22</v>
      </c>
    </row>
    <row r="22" spans="1:12" x14ac:dyDescent="0.3">
      <c r="B22" t="s">
        <v>52</v>
      </c>
      <c r="C22" t="s">
        <v>22</v>
      </c>
      <c r="D22">
        <v>0.14400000000000002</v>
      </c>
      <c r="J22" t="s">
        <v>29</v>
      </c>
      <c r="K22" s="8">
        <v>0.39600000000000002</v>
      </c>
      <c r="L22" t="s">
        <v>22</v>
      </c>
    </row>
    <row r="23" spans="1:12" x14ac:dyDescent="0.3">
      <c r="B23" t="s">
        <v>53</v>
      </c>
      <c r="C23" t="s">
        <v>22</v>
      </c>
      <c r="D23">
        <v>5.3999999999999999E-2</v>
      </c>
      <c r="F23" t="s">
        <v>332</v>
      </c>
      <c r="H23" t="s">
        <v>185</v>
      </c>
      <c r="J23" t="s">
        <v>9</v>
      </c>
      <c r="K23" s="8">
        <v>0</v>
      </c>
      <c r="L23" t="s">
        <v>22</v>
      </c>
    </row>
    <row r="24" spans="1:12" x14ac:dyDescent="0.3">
      <c r="B24" t="s">
        <v>54</v>
      </c>
      <c r="C24" t="s">
        <v>22</v>
      </c>
      <c r="D24">
        <v>0.82799999999999996</v>
      </c>
      <c r="I24" t="s">
        <v>156</v>
      </c>
      <c r="J24" t="s">
        <v>4</v>
      </c>
      <c r="K24" s="8">
        <v>0</v>
      </c>
      <c r="L24" t="s">
        <v>22</v>
      </c>
    </row>
    <row r="25" spans="1:12" x14ac:dyDescent="0.3">
      <c r="B25" t="s">
        <v>55</v>
      </c>
      <c r="C25" t="s">
        <v>22</v>
      </c>
      <c r="D25">
        <v>0.32400000000000007</v>
      </c>
      <c r="J25" t="s">
        <v>24</v>
      </c>
      <c r="K25" s="8">
        <v>0</v>
      </c>
      <c r="L25" t="s">
        <v>22</v>
      </c>
    </row>
    <row r="26" spans="1:12" x14ac:dyDescent="0.3">
      <c r="B26" t="s">
        <v>56</v>
      </c>
      <c r="C26" t="s">
        <v>22</v>
      </c>
      <c r="D26">
        <v>0.378</v>
      </c>
      <c r="J26" t="s">
        <v>25</v>
      </c>
      <c r="K26" s="8">
        <v>0</v>
      </c>
      <c r="L26" t="s">
        <v>22</v>
      </c>
    </row>
    <row r="27" spans="1:12" x14ac:dyDescent="0.3">
      <c r="B27" t="s">
        <v>57</v>
      </c>
      <c r="C27" t="s">
        <v>22</v>
      </c>
      <c r="D27">
        <v>0.14400000000000002</v>
      </c>
      <c r="J27" t="s">
        <v>316</v>
      </c>
      <c r="K27" s="8">
        <v>3.2000000000000001E-2</v>
      </c>
      <c r="L27" t="s">
        <v>22</v>
      </c>
    </row>
    <row r="28" spans="1:12" x14ac:dyDescent="0.3">
      <c r="B28" t="s">
        <v>58</v>
      </c>
      <c r="C28" t="s">
        <v>22</v>
      </c>
      <c r="D28">
        <v>1.2779999999999998</v>
      </c>
      <c r="J28" t="s">
        <v>26</v>
      </c>
      <c r="K28" s="8">
        <v>0</v>
      </c>
      <c r="L28" t="s">
        <v>22</v>
      </c>
    </row>
    <row r="29" spans="1:12" x14ac:dyDescent="0.3">
      <c r="B29" t="s">
        <v>59</v>
      </c>
      <c r="C29" t="s">
        <v>22</v>
      </c>
      <c r="D29">
        <v>0.39600000000000002</v>
      </c>
      <c r="J29" t="s">
        <v>317</v>
      </c>
      <c r="K29" s="8">
        <v>3.1E-2</v>
      </c>
      <c r="L29" t="s">
        <v>22</v>
      </c>
    </row>
    <row r="30" spans="1:12" x14ac:dyDescent="0.3">
      <c r="A30" t="s">
        <v>272</v>
      </c>
      <c r="B30" t="s">
        <v>4</v>
      </c>
      <c r="C30" t="s">
        <v>22</v>
      </c>
      <c r="D30">
        <v>8.4659999999999993</v>
      </c>
      <c r="E30" t="s">
        <v>50</v>
      </c>
      <c r="J30" t="s">
        <v>27</v>
      </c>
      <c r="K30" s="8">
        <v>0</v>
      </c>
      <c r="L30" t="s">
        <v>22</v>
      </c>
    </row>
    <row r="31" spans="1:12" x14ac:dyDescent="0.3">
      <c r="A31">
        <v>10</v>
      </c>
      <c r="B31" t="s">
        <v>5</v>
      </c>
      <c r="C31" t="s">
        <v>22</v>
      </c>
      <c r="D31">
        <v>1.6320000000000001</v>
      </c>
      <c r="E31" s="15" t="s">
        <v>390</v>
      </c>
      <c r="F31" t="s">
        <v>185</v>
      </c>
      <c r="J31" t="s">
        <v>28</v>
      </c>
      <c r="K31" s="8">
        <f>0.715+12.6+0.24</f>
        <v>13.555</v>
      </c>
      <c r="L31" t="s">
        <v>22</v>
      </c>
    </row>
    <row r="32" spans="1:12" x14ac:dyDescent="0.3">
      <c r="B32" t="s">
        <v>51</v>
      </c>
      <c r="C32" t="s">
        <v>22</v>
      </c>
      <c r="D32">
        <v>2.6520000000000001</v>
      </c>
      <c r="J32" t="s">
        <v>5</v>
      </c>
      <c r="K32" s="8">
        <v>5.4089999999999998</v>
      </c>
      <c r="L32" t="s">
        <v>22</v>
      </c>
    </row>
    <row r="33" spans="2:12" x14ac:dyDescent="0.3">
      <c r="B33" t="s">
        <v>52</v>
      </c>
      <c r="C33" t="s">
        <v>22</v>
      </c>
      <c r="D33">
        <v>0.15300000000000002</v>
      </c>
      <c r="J33" t="s">
        <v>29</v>
      </c>
      <c r="K33" s="8">
        <v>0</v>
      </c>
      <c r="L33" t="s">
        <v>22</v>
      </c>
    </row>
    <row r="34" spans="2:12" x14ac:dyDescent="0.3">
      <c r="B34" t="s">
        <v>53</v>
      </c>
      <c r="C34" t="s">
        <v>22</v>
      </c>
      <c r="D34">
        <v>5.1000000000000004E-2</v>
      </c>
      <c r="J34" t="s">
        <v>9</v>
      </c>
      <c r="K34" s="8">
        <v>0</v>
      </c>
      <c r="L34" t="s">
        <v>22</v>
      </c>
    </row>
    <row r="35" spans="2:12" x14ac:dyDescent="0.3">
      <c r="B35" t="s">
        <v>54</v>
      </c>
      <c r="C35" t="s">
        <v>22</v>
      </c>
      <c r="D35">
        <v>0.81600000000000006</v>
      </c>
      <c r="I35" t="s">
        <v>184</v>
      </c>
      <c r="J35" t="s">
        <v>4</v>
      </c>
      <c r="K35" s="8">
        <v>0</v>
      </c>
      <c r="L35" t="s">
        <v>22</v>
      </c>
    </row>
    <row r="36" spans="2:12" x14ac:dyDescent="0.3">
      <c r="B36" t="s">
        <v>55</v>
      </c>
      <c r="C36" t="s">
        <v>22</v>
      </c>
      <c r="D36">
        <v>0.32300000000000001</v>
      </c>
      <c r="J36" t="s">
        <v>24</v>
      </c>
      <c r="K36" s="8">
        <v>0</v>
      </c>
      <c r="L36" t="s">
        <v>22</v>
      </c>
    </row>
    <row r="37" spans="2:12" x14ac:dyDescent="0.3">
      <c r="B37" t="s">
        <v>56</v>
      </c>
      <c r="C37" t="s">
        <v>22</v>
      </c>
      <c r="D37">
        <v>0.37400000000000005</v>
      </c>
      <c r="J37" t="s">
        <v>25</v>
      </c>
      <c r="K37" s="8">
        <v>0</v>
      </c>
      <c r="L37" t="s">
        <v>22</v>
      </c>
    </row>
    <row r="38" spans="2:12" x14ac:dyDescent="0.3">
      <c r="B38" t="s">
        <v>57</v>
      </c>
      <c r="C38" t="s">
        <v>22</v>
      </c>
      <c r="D38">
        <v>0.13600000000000001</v>
      </c>
      <c r="J38" t="s">
        <v>316</v>
      </c>
      <c r="K38" s="8">
        <v>0</v>
      </c>
      <c r="L38" t="s">
        <v>22</v>
      </c>
    </row>
    <row r="39" spans="2:12" x14ac:dyDescent="0.3">
      <c r="B39" t="s">
        <v>58</v>
      </c>
      <c r="C39" t="s">
        <v>22</v>
      </c>
      <c r="D39">
        <v>1.292</v>
      </c>
      <c r="J39" t="s">
        <v>26</v>
      </c>
      <c r="K39" s="8">
        <v>0</v>
      </c>
      <c r="L39" t="s">
        <v>22</v>
      </c>
    </row>
    <row r="40" spans="2:12" x14ac:dyDescent="0.3">
      <c r="B40" t="s">
        <v>59</v>
      </c>
      <c r="C40" t="s">
        <v>22</v>
      </c>
      <c r="D40">
        <v>0.39100000000000001</v>
      </c>
      <c r="J40" t="s">
        <v>317</v>
      </c>
      <c r="K40" s="8">
        <v>0</v>
      </c>
      <c r="L40" t="s">
        <v>22</v>
      </c>
    </row>
    <row r="41" spans="2:12" x14ac:dyDescent="0.3">
      <c r="J41" t="s">
        <v>27</v>
      </c>
      <c r="K41" s="8">
        <v>0</v>
      </c>
      <c r="L41" t="s">
        <v>22</v>
      </c>
    </row>
    <row r="42" spans="2:12" x14ac:dyDescent="0.3">
      <c r="J42" t="s">
        <v>28</v>
      </c>
      <c r="K42" s="8">
        <v>3.37</v>
      </c>
      <c r="L42" t="s">
        <v>22</v>
      </c>
    </row>
    <row r="43" spans="2:12" x14ac:dyDescent="0.3">
      <c r="J43" t="s">
        <v>5</v>
      </c>
      <c r="K43" s="8">
        <v>6.0739999999999998</v>
      </c>
      <c r="L43" t="s">
        <v>22</v>
      </c>
    </row>
    <row r="44" spans="2:12" x14ac:dyDescent="0.3">
      <c r="J44" t="s">
        <v>29</v>
      </c>
      <c r="K44" s="8">
        <v>0</v>
      </c>
      <c r="L44" t="s">
        <v>22</v>
      </c>
    </row>
    <row r="45" spans="2:12" x14ac:dyDescent="0.3">
      <c r="J45" t="s">
        <v>9</v>
      </c>
      <c r="K45" s="8">
        <v>0</v>
      </c>
      <c r="L45" t="s">
        <v>22</v>
      </c>
    </row>
    <row r="46" spans="2:12" x14ac:dyDescent="0.3">
      <c r="I46" t="s">
        <v>271</v>
      </c>
      <c r="J46" t="s">
        <v>4</v>
      </c>
      <c r="K46" s="8">
        <v>10.673999999999999</v>
      </c>
      <c r="L46" t="s">
        <v>22</v>
      </c>
    </row>
    <row r="47" spans="2:12" x14ac:dyDescent="0.3">
      <c r="J47" t="s">
        <v>24</v>
      </c>
      <c r="K47" s="8">
        <v>0</v>
      </c>
      <c r="L47" t="s">
        <v>22</v>
      </c>
    </row>
    <row r="48" spans="2:12" x14ac:dyDescent="0.3">
      <c r="J48" t="s">
        <v>25</v>
      </c>
      <c r="K48" s="8">
        <f>1.134+0.054</f>
        <v>1.1879999999999999</v>
      </c>
      <c r="L48" t="s">
        <v>22</v>
      </c>
    </row>
    <row r="49" spans="9:12" x14ac:dyDescent="0.3">
      <c r="J49" t="s">
        <v>316</v>
      </c>
      <c r="K49" s="8">
        <v>0</v>
      </c>
      <c r="L49" t="s">
        <v>22</v>
      </c>
    </row>
    <row r="50" spans="9:12" x14ac:dyDescent="0.3">
      <c r="J50" t="s">
        <v>26</v>
      </c>
      <c r="K50" s="8">
        <v>0</v>
      </c>
      <c r="L50" t="s">
        <v>22</v>
      </c>
    </row>
    <row r="51" spans="9:12" x14ac:dyDescent="0.3">
      <c r="J51" t="s">
        <v>317</v>
      </c>
      <c r="K51" s="8">
        <v>0</v>
      </c>
      <c r="L51" t="s">
        <v>22</v>
      </c>
    </row>
    <row r="52" spans="9:12" x14ac:dyDescent="0.3">
      <c r="J52" t="s">
        <v>27</v>
      </c>
      <c r="K52" s="8">
        <v>0</v>
      </c>
      <c r="L52" t="s">
        <v>22</v>
      </c>
    </row>
    <row r="53" spans="9:12" x14ac:dyDescent="0.3">
      <c r="J53" t="s">
        <v>28</v>
      </c>
      <c r="K53" s="8">
        <f>0.144+0.828+0.324+1.278+0.396</f>
        <v>2.9699999999999998</v>
      </c>
      <c r="L53" t="s">
        <v>22</v>
      </c>
    </row>
    <row r="54" spans="9:12" x14ac:dyDescent="0.3">
      <c r="J54" t="s">
        <v>5</v>
      </c>
      <c r="K54" s="8">
        <v>1.6379999999999999</v>
      </c>
      <c r="L54" t="s">
        <v>22</v>
      </c>
    </row>
    <row r="55" spans="9:12" x14ac:dyDescent="0.3">
      <c r="J55" t="s">
        <v>29</v>
      </c>
      <c r="K55" s="8">
        <v>0.14399999999999999</v>
      </c>
      <c r="L55" t="s">
        <v>22</v>
      </c>
    </row>
    <row r="56" spans="9:12" x14ac:dyDescent="0.3">
      <c r="J56" t="s">
        <v>9</v>
      </c>
      <c r="K56" s="8">
        <v>0</v>
      </c>
      <c r="L56" t="s">
        <v>22</v>
      </c>
    </row>
    <row r="57" spans="9:12" x14ac:dyDescent="0.3">
      <c r="I57" t="s">
        <v>272</v>
      </c>
      <c r="J57" t="s">
        <v>4</v>
      </c>
      <c r="K57" s="8">
        <v>8.4659999999999993</v>
      </c>
      <c r="L57" t="s">
        <v>22</v>
      </c>
    </row>
    <row r="58" spans="9:12" x14ac:dyDescent="0.3">
      <c r="J58" t="s">
        <v>24</v>
      </c>
      <c r="K58" s="8">
        <v>0</v>
      </c>
      <c r="L58" t="s">
        <v>22</v>
      </c>
    </row>
    <row r="59" spans="9:12" x14ac:dyDescent="0.3">
      <c r="J59" t="s">
        <v>25</v>
      </c>
      <c r="K59" s="8">
        <v>2.6520000000000001</v>
      </c>
      <c r="L59" t="s">
        <v>22</v>
      </c>
    </row>
    <row r="60" spans="9:12" x14ac:dyDescent="0.3">
      <c r="J60" t="s">
        <v>316</v>
      </c>
      <c r="K60" s="8">
        <v>0</v>
      </c>
      <c r="L60" t="s">
        <v>22</v>
      </c>
    </row>
    <row r="61" spans="9:12" x14ac:dyDescent="0.3">
      <c r="J61" t="s">
        <v>26</v>
      </c>
      <c r="K61" s="8">
        <v>0</v>
      </c>
      <c r="L61" t="s">
        <v>22</v>
      </c>
    </row>
    <row r="62" spans="9:12" x14ac:dyDescent="0.3">
      <c r="J62" t="s">
        <v>317</v>
      </c>
      <c r="K62" s="8">
        <v>0</v>
      </c>
      <c r="L62" t="s">
        <v>22</v>
      </c>
    </row>
    <row r="63" spans="9:12" x14ac:dyDescent="0.3">
      <c r="J63" t="s">
        <v>27</v>
      </c>
      <c r="K63" s="8">
        <v>0</v>
      </c>
      <c r="L63" t="s">
        <v>22</v>
      </c>
    </row>
    <row r="64" spans="9:12" x14ac:dyDescent="0.3">
      <c r="J64" t="s">
        <v>28</v>
      </c>
      <c r="K64" s="8">
        <f>0.816+0.323+0.374+1.292+0.391</f>
        <v>3.1959999999999997</v>
      </c>
      <c r="L64" t="s">
        <v>22</v>
      </c>
    </row>
    <row r="65" spans="10:12" x14ac:dyDescent="0.3">
      <c r="J65" t="s">
        <v>5</v>
      </c>
      <c r="K65" s="8">
        <v>1.6319999999999999</v>
      </c>
      <c r="L65" t="s">
        <v>22</v>
      </c>
    </row>
    <row r="66" spans="10:12" x14ac:dyDescent="0.3">
      <c r="J66" t="s">
        <v>29</v>
      </c>
      <c r="K66" s="8">
        <v>0.13600000000000001</v>
      </c>
      <c r="L66" t="s">
        <v>22</v>
      </c>
    </row>
    <row r="67" spans="10:12" x14ac:dyDescent="0.3">
      <c r="J67" t="s">
        <v>9</v>
      </c>
      <c r="K67" s="8">
        <v>0</v>
      </c>
      <c r="L67" t="s">
        <v>22</v>
      </c>
    </row>
  </sheetData>
  <hyperlinks>
    <hyperlink ref="E3" r:id="rId1" xr:uid="{C8A46C3C-B68A-4EF8-B61C-13D137A91266}"/>
    <hyperlink ref="E7" r:id="rId2" xr:uid="{C258C317-3336-47E7-B1C2-A807231AFE5E}"/>
    <hyperlink ref="E12" r:id="rId3" xr:uid="{6F1340D8-37DB-45EE-820E-2901E8AD3319}"/>
    <hyperlink ref="E18" r:id="rId4" xr:uid="{D47A4427-8AD0-4302-A903-58EDB04E5885}"/>
    <hyperlink ref="E20" r:id="rId5" xr:uid="{336DE8B4-1238-4CDA-9B20-96AD512A4DF0}"/>
    <hyperlink ref="E31" r:id="rId6" xr:uid="{146E59DB-C7DB-485C-95CA-08CA8674BF0A}"/>
  </hyperlinks>
  <pageMargins left="0.7" right="0.7" top="0.75" bottom="0.75" header="0.3" footer="0.3"/>
  <pageSetup paperSize="9" orientation="portrait" r:id="rId7"/>
  <drawing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049BC-E2B8-4057-AD6D-5DB148CC0A12}">
  <dimension ref="A1:V122"/>
  <sheetViews>
    <sheetView topLeftCell="A37" zoomScale="85" zoomScaleNormal="85" workbookViewId="0">
      <selection activeCell="F14" sqref="F14"/>
    </sheetView>
  </sheetViews>
  <sheetFormatPr defaultRowHeight="14.4" x14ac:dyDescent="0.3"/>
  <cols>
    <col min="1" max="1" width="28.44140625" customWidth="1"/>
    <col min="2" max="2" width="25.33203125" customWidth="1"/>
    <col min="3" max="3" width="12.6640625" customWidth="1"/>
    <col min="9" max="9" width="1.33203125" style="3" customWidth="1"/>
    <col min="11" max="11" width="25.5546875" customWidth="1"/>
    <col min="12" max="12" width="29.88671875" customWidth="1"/>
    <col min="16" max="16" width="1" style="3" customWidth="1"/>
    <col min="20" max="20" width="27.21875" customWidth="1"/>
  </cols>
  <sheetData>
    <row r="1" spans="1:22" x14ac:dyDescent="0.3">
      <c r="A1" s="2" t="s">
        <v>1</v>
      </c>
      <c r="B1" s="2" t="s">
        <v>2</v>
      </c>
      <c r="C1" s="2" t="s">
        <v>21</v>
      </c>
      <c r="D1" s="2" t="s">
        <v>3</v>
      </c>
      <c r="E1" s="2" t="s">
        <v>11</v>
      </c>
      <c r="F1" s="2" t="s">
        <v>183</v>
      </c>
      <c r="G1" s="2" t="s">
        <v>207</v>
      </c>
      <c r="H1" s="2" t="s">
        <v>143</v>
      </c>
      <c r="K1" s="2" t="s">
        <v>1</v>
      </c>
      <c r="L1" s="2" t="s">
        <v>2</v>
      </c>
      <c r="M1" s="2" t="s">
        <v>3</v>
      </c>
      <c r="N1" s="2" t="s">
        <v>21</v>
      </c>
      <c r="O1" s="2"/>
      <c r="S1" s="2" t="s">
        <v>1</v>
      </c>
      <c r="T1" s="2" t="s">
        <v>2</v>
      </c>
      <c r="U1" s="2" t="s">
        <v>3</v>
      </c>
      <c r="V1" s="2" t="s">
        <v>21</v>
      </c>
    </row>
    <row r="2" spans="1:22" x14ac:dyDescent="0.3">
      <c r="A2" t="s">
        <v>40</v>
      </c>
      <c r="B2" t="s">
        <v>60</v>
      </c>
      <c r="C2" t="s">
        <v>22</v>
      </c>
      <c r="D2">
        <v>4164</v>
      </c>
      <c r="E2" t="s">
        <v>12</v>
      </c>
      <c r="K2" t="s">
        <v>40</v>
      </c>
      <c r="L2" t="s">
        <v>4</v>
      </c>
      <c r="M2" s="8">
        <v>0</v>
      </c>
      <c r="N2" t="s">
        <v>22</v>
      </c>
      <c r="S2" t="s">
        <v>163</v>
      </c>
      <c r="T2" t="s">
        <v>4</v>
      </c>
      <c r="U2">
        <f>(M2+M13+M24+M35+M46+M57+M68+M79+M90+M101+M112)/11</f>
        <v>1.1181818181818182</v>
      </c>
      <c r="V2" t="s">
        <v>22</v>
      </c>
    </row>
    <row r="3" spans="1:22" x14ac:dyDescent="0.3">
      <c r="A3">
        <v>15</v>
      </c>
      <c r="B3" t="s">
        <v>61</v>
      </c>
      <c r="C3" t="s">
        <v>22</v>
      </c>
      <c r="D3">
        <v>0.13600000000000001</v>
      </c>
      <c r="E3" s="15" t="s">
        <v>391</v>
      </c>
      <c r="F3" t="s">
        <v>185</v>
      </c>
      <c r="K3" t="s">
        <v>23</v>
      </c>
      <c r="L3" t="s">
        <v>24</v>
      </c>
      <c r="M3" s="8">
        <v>0</v>
      </c>
      <c r="N3" t="s">
        <v>22</v>
      </c>
      <c r="T3" t="s">
        <v>24</v>
      </c>
      <c r="U3">
        <f t="shared" ref="U3:U12" si="0">(M3+M14+M25+M36+M47+M58+M69+M80+M91+M102+M113)/11</f>
        <v>0</v>
      </c>
      <c r="V3" t="s">
        <v>22</v>
      </c>
    </row>
    <row r="4" spans="1:22" x14ac:dyDescent="0.3">
      <c r="B4" t="s">
        <v>62</v>
      </c>
      <c r="C4" t="s">
        <v>63</v>
      </c>
      <c r="D4">
        <v>1.9E-2</v>
      </c>
      <c r="L4" t="s">
        <v>25</v>
      </c>
      <c r="M4" s="8">
        <v>4.1639999999999997</v>
      </c>
      <c r="N4" t="s">
        <v>22</v>
      </c>
      <c r="T4" t="s">
        <v>25</v>
      </c>
      <c r="U4">
        <f t="shared" si="0"/>
        <v>0.38127272727272726</v>
      </c>
      <c r="V4" t="s">
        <v>22</v>
      </c>
    </row>
    <row r="5" spans="1:22" x14ac:dyDescent="0.3">
      <c r="B5" t="s">
        <v>64</v>
      </c>
      <c r="C5" t="s">
        <v>22</v>
      </c>
      <c r="D5">
        <v>1.2999999999999999E-2</v>
      </c>
      <c r="L5" t="s">
        <v>316</v>
      </c>
      <c r="M5" s="8">
        <v>0.25</v>
      </c>
      <c r="N5" t="s">
        <v>22</v>
      </c>
      <c r="T5" t="s">
        <v>316</v>
      </c>
      <c r="U5">
        <f t="shared" si="0"/>
        <v>5.8545454545454546E-2</v>
      </c>
      <c r="V5" t="s">
        <v>22</v>
      </c>
    </row>
    <row r="6" spans="1:22" x14ac:dyDescent="0.3">
      <c r="B6" t="s">
        <v>7</v>
      </c>
      <c r="C6" t="s">
        <v>22</v>
      </c>
      <c r="D6">
        <v>0.25</v>
      </c>
      <c r="L6" t="s">
        <v>26</v>
      </c>
      <c r="M6" s="8">
        <v>0</v>
      </c>
      <c r="N6" t="s">
        <v>22</v>
      </c>
      <c r="T6" t="s">
        <v>26</v>
      </c>
      <c r="U6">
        <f t="shared" si="0"/>
        <v>0</v>
      </c>
      <c r="V6" t="s">
        <v>22</v>
      </c>
    </row>
    <row r="7" spans="1:22" x14ac:dyDescent="0.3">
      <c r="A7" t="s">
        <v>41</v>
      </c>
      <c r="B7" t="s">
        <v>43</v>
      </c>
      <c r="C7" t="s">
        <v>22</v>
      </c>
      <c r="D7">
        <v>7.33</v>
      </c>
      <c r="E7" t="s">
        <v>12</v>
      </c>
      <c r="F7" t="s">
        <v>399</v>
      </c>
      <c r="G7" t="s">
        <v>185</v>
      </c>
      <c r="L7" t="s">
        <v>317</v>
      </c>
      <c r="M7" s="8">
        <v>0</v>
      </c>
      <c r="N7" t="s">
        <v>22</v>
      </c>
      <c r="T7" t="s">
        <v>317</v>
      </c>
      <c r="U7">
        <f t="shared" si="0"/>
        <v>1.4727272727272728E-2</v>
      </c>
      <c r="V7" t="s">
        <v>22</v>
      </c>
    </row>
    <row r="8" spans="1:22" x14ac:dyDescent="0.3">
      <c r="A8">
        <v>15</v>
      </c>
      <c r="B8" t="s">
        <v>65</v>
      </c>
      <c r="C8" t="s">
        <v>22</v>
      </c>
      <c r="D8">
        <v>0.02</v>
      </c>
      <c r="E8" s="15" t="s">
        <v>392</v>
      </c>
      <c r="F8" t="s">
        <v>185</v>
      </c>
      <c r="L8" t="s">
        <v>27</v>
      </c>
      <c r="M8" s="8">
        <v>0</v>
      </c>
      <c r="N8" t="s">
        <v>22</v>
      </c>
      <c r="T8" t="s">
        <v>27</v>
      </c>
      <c r="U8">
        <f t="shared" si="0"/>
        <v>0</v>
      </c>
      <c r="V8" t="s">
        <v>22</v>
      </c>
    </row>
    <row r="9" spans="1:22" x14ac:dyDescent="0.3">
      <c r="B9" t="s">
        <v>66</v>
      </c>
      <c r="C9" t="s">
        <v>22</v>
      </c>
      <c r="D9">
        <v>7.0000000000000007E-2</v>
      </c>
      <c r="L9" t="s">
        <v>28</v>
      </c>
      <c r="M9" s="8">
        <f>0.136+0.019+0.013</f>
        <v>0.16800000000000001</v>
      </c>
      <c r="N9" t="s">
        <v>22</v>
      </c>
      <c r="T9" t="s">
        <v>28</v>
      </c>
      <c r="U9">
        <f t="shared" si="0"/>
        <v>2.7678181818181824</v>
      </c>
      <c r="V9" t="s">
        <v>22</v>
      </c>
    </row>
    <row r="10" spans="1:22" x14ac:dyDescent="0.3">
      <c r="B10" t="s">
        <v>67</v>
      </c>
      <c r="C10" t="s">
        <v>22</v>
      </c>
      <c r="D10">
        <v>0.03</v>
      </c>
      <c r="L10" t="s">
        <v>5</v>
      </c>
      <c r="M10" s="8">
        <v>0</v>
      </c>
      <c r="N10" t="s">
        <v>22</v>
      </c>
      <c r="T10" t="s">
        <v>5</v>
      </c>
      <c r="U10">
        <f t="shared" si="0"/>
        <v>1.6883636363636365</v>
      </c>
      <c r="V10" t="s">
        <v>22</v>
      </c>
    </row>
    <row r="11" spans="1:22" x14ac:dyDescent="0.3">
      <c r="B11" t="s">
        <v>68</v>
      </c>
      <c r="C11" t="s">
        <v>22</v>
      </c>
      <c r="D11">
        <v>0.4</v>
      </c>
      <c r="L11" t="s">
        <v>29</v>
      </c>
      <c r="M11" s="8">
        <v>0</v>
      </c>
      <c r="N11" t="s">
        <v>22</v>
      </c>
      <c r="T11" t="s">
        <v>29</v>
      </c>
      <c r="U11">
        <f t="shared" si="0"/>
        <v>0.16909090909090907</v>
      </c>
      <c r="V11" t="s">
        <v>22</v>
      </c>
    </row>
    <row r="12" spans="1:22" x14ac:dyDescent="0.3">
      <c r="B12" t="s">
        <v>69</v>
      </c>
      <c r="C12" t="s">
        <v>22</v>
      </c>
      <c r="D12">
        <v>0.09</v>
      </c>
      <c r="L12" t="s">
        <v>9</v>
      </c>
      <c r="M12" s="8">
        <v>0</v>
      </c>
      <c r="N12" t="s">
        <v>22</v>
      </c>
      <c r="T12" t="s">
        <v>9</v>
      </c>
      <c r="U12">
        <f t="shared" si="0"/>
        <v>1.078090909090909</v>
      </c>
      <c r="V12" t="s">
        <v>22</v>
      </c>
    </row>
    <row r="13" spans="1:22" x14ac:dyDescent="0.3">
      <c r="B13" t="s">
        <v>70</v>
      </c>
      <c r="C13" t="s">
        <v>22</v>
      </c>
      <c r="D13">
        <v>0.7</v>
      </c>
      <c r="K13" t="s">
        <v>41</v>
      </c>
      <c r="L13" t="s">
        <v>4</v>
      </c>
      <c r="M13" s="8">
        <v>0</v>
      </c>
      <c r="N13" t="s">
        <v>22</v>
      </c>
      <c r="S13" t="s">
        <v>186</v>
      </c>
      <c r="U13">
        <f>SUM(U2:U12)</f>
        <v>7.2760909090909092</v>
      </c>
    </row>
    <row r="14" spans="1:22" x14ac:dyDescent="0.3">
      <c r="A14" t="s">
        <v>144</v>
      </c>
      <c r="B14" t="s">
        <v>89</v>
      </c>
      <c r="C14" t="s">
        <v>22</v>
      </c>
      <c r="D14">
        <f>H14/100*G14</f>
        <v>3.4319999999999999</v>
      </c>
      <c r="E14" t="s">
        <v>12</v>
      </c>
      <c r="G14">
        <v>3.9</v>
      </c>
      <c r="H14">
        <v>88</v>
      </c>
      <c r="K14" t="s">
        <v>42</v>
      </c>
      <c r="L14" t="s">
        <v>24</v>
      </c>
      <c r="M14" s="8">
        <v>0</v>
      </c>
      <c r="N14" t="s">
        <v>22</v>
      </c>
      <c r="S14" t="s">
        <v>188</v>
      </c>
      <c r="U14">
        <f>(A3+A8+A15+A17+A23+A28+A30+A36+A44+A50+A53)/11</f>
        <v>15</v>
      </c>
    </row>
    <row r="15" spans="1:22" x14ac:dyDescent="0.3">
      <c r="A15">
        <v>15</v>
      </c>
      <c r="B15" t="s">
        <v>9</v>
      </c>
      <c r="C15" t="s">
        <v>22</v>
      </c>
      <c r="D15">
        <f>H15/100*G14</f>
        <v>0.46799999999999997</v>
      </c>
      <c r="E15" s="15" t="s">
        <v>393</v>
      </c>
      <c r="F15" t="s">
        <v>185</v>
      </c>
      <c r="H15">
        <v>12</v>
      </c>
      <c r="L15" t="s">
        <v>25</v>
      </c>
      <c r="M15" s="8">
        <v>0</v>
      </c>
      <c r="N15" t="s">
        <v>22</v>
      </c>
    </row>
    <row r="16" spans="1:22" x14ac:dyDescent="0.3">
      <c r="A16" t="s">
        <v>145</v>
      </c>
      <c r="B16" t="s">
        <v>9</v>
      </c>
      <c r="C16" t="s">
        <v>22</v>
      </c>
      <c r="D16">
        <v>0.34</v>
      </c>
      <c r="L16" t="s">
        <v>316</v>
      </c>
      <c r="M16" s="8">
        <f>0.07+0.03</f>
        <v>0.1</v>
      </c>
      <c r="N16" t="s">
        <v>22</v>
      </c>
    </row>
    <row r="17" spans="1:14" x14ac:dyDescent="0.3">
      <c r="A17">
        <v>15</v>
      </c>
      <c r="B17" t="s">
        <v>5</v>
      </c>
      <c r="C17" t="s">
        <v>22</v>
      </c>
      <c r="D17">
        <f>4.92+0.07+0.03</f>
        <v>5.0200000000000005</v>
      </c>
      <c r="L17" t="s">
        <v>26</v>
      </c>
      <c r="M17" s="8">
        <v>0</v>
      </c>
      <c r="N17" t="s">
        <v>22</v>
      </c>
    </row>
    <row r="18" spans="1:14" x14ac:dyDescent="0.3">
      <c r="B18" t="s">
        <v>49</v>
      </c>
      <c r="C18" t="s">
        <v>22</v>
      </c>
      <c r="D18">
        <f>3.18+0.012</f>
        <v>3.1920000000000002</v>
      </c>
      <c r="L18" t="s">
        <v>317</v>
      </c>
      <c r="M18" s="8">
        <v>0.02</v>
      </c>
      <c r="N18" t="s">
        <v>22</v>
      </c>
    </row>
    <row r="19" spans="1:14" x14ac:dyDescent="0.3">
      <c r="B19" t="s">
        <v>7</v>
      </c>
      <c r="C19" t="s">
        <v>22</v>
      </c>
      <c r="D19">
        <v>2.7E-2</v>
      </c>
      <c r="L19" t="s">
        <v>27</v>
      </c>
      <c r="M19" s="8">
        <v>0</v>
      </c>
      <c r="N19" t="s">
        <v>22</v>
      </c>
    </row>
    <row r="20" spans="1:14" x14ac:dyDescent="0.3">
      <c r="B20" t="s">
        <v>140</v>
      </c>
      <c r="C20" t="s">
        <v>22</v>
      </c>
      <c r="D20">
        <v>0.42</v>
      </c>
      <c r="L20" t="s">
        <v>28</v>
      </c>
      <c r="M20" s="8">
        <v>0</v>
      </c>
      <c r="N20" t="s">
        <v>22</v>
      </c>
    </row>
    <row r="21" spans="1:14" x14ac:dyDescent="0.3">
      <c r="B21" t="s">
        <v>19</v>
      </c>
      <c r="C21" t="s">
        <v>22</v>
      </c>
      <c r="D21">
        <v>0.1</v>
      </c>
      <c r="L21" t="s">
        <v>5</v>
      </c>
      <c r="M21" s="8">
        <v>0</v>
      </c>
      <c r="N21" t="s">
        <v>22</v>
      </c>
    </row>
    <row r="22" spans="1:14" x14ac:dyDescent="0.3">
      <c r="A22" t="s">
        <v>146</v>
      </c>
      <c r="B22" t="s">
        <v>9</v>
      </c>
      <c r="C22" t="s">
        <v>22</v>
      </c>
      <c r="D22">
        <v>0.34</v>
      </c>
      <c r="E22" t="s">
        <v>12</v>
      </c>
      <c r="L22" t="s">
        <v>29</v>
      </c>
      <c r="M22" s="8">
        <f>0.4+0.09</f>
        <v>0.49</v>
      </c>
      <c r="N22" t="s">
        <v>22</v>
      </c>
    </row>
    <row r="23" spans="1:14" x14ac:dyDescent="0.3">
      <c r="A23">
        <v>15</v>
      </c>
      <c r="B23" t="s">
        <v>4</v>
      </c>
      <c r="C23" t="s">
        <v>22</v>
      </c>
      <c r="D23">
        <v>7.5</v>
      </c>
      <c r="E23" s="15" t="s">
        <v>394</v>
      </c>
      <c r="F23" t="s">
        <v>185</v>
      </c>
      <c r="L23" t="s">
        <v>9</v>
      </c>
      <c r="M23" s="8">
        <f>7.33+0.7</f>
        <v>8.0299999999999994</v>
      </c>
      <c r="N23" t="s">
        <v>22</v>
      </c>
    </row>
    <row r="24" spans="1:14" x14ac:dyDescent="0.3">
      <c r="B24" t="s">
        <v>49</v>
      </c>
      <c r="C24" t="s">
        <v>22</v>
      </c>
      <c r="D24">
        <v>5.12</v>
      </c>
      <c r="K24" t="s">
        <v>158</v>
      </c>
      <c r="L24" t="s">
        <v>4</v>
      </c>
      <c r="M24" s="8">
        <v>0</v>
      </c>
      <c r="N24" t="s">
        <v>22</v>
      </c>
    </row>
    <row r="25" spans="1:14" x14ac:dyDescent="0.3">
      <c r="B25" t="s">
        <v>5</v>
      </c>
      <c r="C25" t="s">
        <v>22</v>
      </c>
      <c r="D25">
        <f>0.02+1.3</f>
        <v>1.32</v>
      </c>
      <c r="L25" t="s">
        <v>24</v>
      </c>
      <c r="M25" s="8">
        <v>0</v>
      </c>
      <c r="N25" t="s">
        <v>22</v>
      </c>
    </row>
    <row r="26" spans="1:14" x14ac:dyDescent="0.3">
      <c r="B26" t="s">
        <v>137</v>
      </c>
      <c r="C26" t="s">
        <v>22</v>
      </c>
      <c r="D26">
        <v>1.3</v>
      </c>
      <c r="L26" t="s">
        <v>25</v>
      </c>
      <c r="M26" s="8">
        <v>0</v>
      </c>
      <c r="N26" t="s">
        <v>22</v>
      </c>
    </row>
    <row r="27" spans="1:14" x14ac:dyDescent="0.3">
      <c r="A27" t="s">
        <v>147</v>
      </c>
      <c r="B27" t="s">
        <v>49</v>
      </c>
      <c r="C27" t="s">
        <v>22</v>
      </c>
      <c r="D27">
        <f>2.87+0.006+0.046</f>
        <v>2.9219999999999997</v>
      </c>
      <c r="E27" t="s">
        <v>12</v>
      </c>
      <c r="L27" t="s">
        <v>316</v>
      </c>
      <c r="M27" s="8">
        <v>0</v>
      </c>
      <c r="N27" t="s">
        <v>22</v>
      </c>
    </row>
    <row r="28" spans="1:14" x14ac:dyDescent="0.3">
      <c r="A28">
        <v>15</v>
      </c>
      <c r="B28" t="s">
        <v>5</v>
      </c>
      <c r="C28" t="s">
        <v>22</v>
      </c>
      <c r="D28">
        <f>2.24+0.014</f>
        <v>2.254</v>
      </c>
      <c r="E28" s="15" t="s">
        <v>395</v>
      </c>
      <c r="F28" t="s">
        <v>185</v>
      </c>
      <c r="L28" t="s">
        <v>26</v>
      </c>
      <c r="M28" s="8">
        <v>0</v>
      </c>
      <c r="N28" t="s">
        <v>22</v>
      </c>
    </row>
    <row r="29" spans="1:14" x14ac:dyDescent="0.3">
      <c r="A29" t="s">
        <v>148</v>
      </c>
      <c r="B29" t="s">
        <v>19</v>
      </c>
      <c r="C29" t="s">
        <v>22</v>
      </c>
      <c r="D29">
        <v>3.34</v>
      </c>
      <c r="E29" t="s">
        <v>12</v>
      </c>
      <c r="L29" t="s">
        <v>317</v>
      </c>
      <c r="M29" s="8">
        <v>0</v>
      </c>
      <c r="N29" t="s">
        <v>22</v>
      </c>
    </row>
    <row r="30" spans="1:14" x14ac:dyDescent="0.3">
      <c r="A30">
        <v>15</v>
      </c>
      <c r="B30" t="s">
        <v>5</v>
      </c>
      <c r="C30" t="s">
        <v>22</v>
      </c>
      <c r="D30">
        <f>1.24+0.019+0.029</f>
        <v>1.2879999999999998</v>
      </c>
      <c r="E30" s="15" t="s">
        <v>396</v>
      </c>
      <c r="F30" t="s">
        <v>185</v>
      </c>
      <c r="L30" t="s">
        <v>27</v>
      </c>
      <c r="M30" s="8">
        <v>0</v>
      </c>
      <c r="N30" t="s">
        <v>22</v>
      </c>
    </row>
    <row r="31" spans="1:14" x14ac:dyDescent="0.3">
      <c r="B31" t="s">
        <v>7</v>
      </c>
      <c r="C31" t="s">
        <v>22</v>
      </c>
      <c r="D31">
        <v>0.26700000000000002</v>
      </c>
      <c r="L31" t="s">
        <v>28</v>
      </c>
      <c r="M31" s="8">
        <v>3.4319999999999999</v>
      </c>
      <c r="N31" t="s">
        <v>22</v>
      </c>
    </row>
    <row r="32" spans="1:14" x14ac:dyDescent="0.3">
      <c r="B32" t="s">
        <v>9</v>
      </c>
      <c r="C32" t="s">
        <v>22</v>
      </c>
      <c r="D32">
        <v>0.76200000000000001</v>
      </c>
      <c r="L32" t="s">
        <v>5</v>
      </c>
      <c r="M32" s="8">
        <v>0</v>
      </c>
      <c r="N32" t="s">
        <v>22</v>
      </c>
    </row>
    <row r="33" spans="1:14" x14ac:dyDescent="0.3">
      <c r="B33" t="s">
        <v>49</v>
      </c>
      <c r="C33" t="s">
        <v>22</v>
      </c>
      <c r="D33">
        <f>0.004+0.052</f>
        <v>5.5999999999999994E-2</v>
      </c>
      <c r="L33" t="s">
        <v>29</v>
      </c>
      <c r="M33" s="8">
        <v>0</v>
      </c>
      <c r="N33" t="s">
        <v>22</v>
      </c>
    </row>
    <row r="34" spans="1:14" x14ac:dyDescent="0.3">
      <c r="B34" t="s">
        <v>140</v>
      </c>
      <c r="C34" t="s">
        <v>22</v>
      </c>
      <c r="D34">
        <v>0.95</v>
      </c>
      <c r="L34" t="s">
        <v>9</v>
      </c>
      <c r="M34" s="8">
        <v>0.46800000000000003</v>
      </c>
      <c r="N34" t="s">
        <v>22</v>
      </c>
    </row>
    <row r="35" spans="1:14" x14ac:dyDescent="0.3">
      <c r="A35" t="s">
        <v>273</v>
      </c>
      <c r="B35" t="s">
        <v>280</v>
      </c>
      <c r="C35" t="s">
        <v>22</v>
      </c>
      <c r="D35">
        <v>2.8639999999999999</v>
      </c>
      <c r="E35" t="s">
        <v>12</v>
      </c>
      <c r="K35" t="s">
        <v>160</v>
      </c>
      <c r="L35" t="s">
        <v>4</v>
      </c>
      <c r="M35" s="8"/>
      <c r="N35" t="s">
        <v>22</v>
      </c>
    </row>
    <row r="36" spans="1:14" x14ac:dyDescent="0.3">
      <c r="A36">
        <v>15</v>
      </c>
      <c r="B36" t="s">
        <v>9</v>
      </c>
      <c r="C36" t="s">
        <v>22</v>
      </c>
      <c r="D36">
        <v>1.919</v>
      </c>
      <c r="E36" s="15" t="s">
        <v>397</v>
      </c>
      <c r="F36" t="s">
        <v>185</v>
      </c>
      <c r="L36" t="s">
        <v>24</v>
      </c>
      <c r="M36" s="8"/>
      <c r="N36" t="s">
        <v>22</v>
      </c>
    </row>
    <row r="37" spans="1:14" x14ac:dyDescent="0.3">
      <c r="B37" t="s">
        <v>5</v>
      </c>
      <c r="C37" t="s">
        <v>22</v>
      </c>
      <c r="D37">
        <v>0.46200000000000002</v>
      </c>
      <c r="L37" t="s">
        <v>25</v>
      </c>
      <c r="M37" s="8"/>
      <c r="N37" t="s">
        <v>22</v>
      </c>
    </row>
    <row r="38" spans="1:14" x14ac:dyDescent="0.3">
      <c r="B38" t="s">
        <v>274</v>
      </c>
      <c r="C38" t="s">
        <v>22</v>
      </c>
      <c r="D38">
        <v>5.6000000000000001E-2</v>
      </c>
      <c r="F38" t="s">
        <v>281</v>
      </c>
      <c r="J38" t="s">
        <v>185</v>
      </c>
      <c r="L38" t="s">
        <v>316</v>
      </c>
      <c r="M38" s="8">
        <v>2.7E-2</v>
      </c>
      <c r="N38" t="s">
        <v>22</v>
      </c>
    </row>
    <row r="39" spans="1:14" x14ac:dyDescent="0.3">
      <c r="B39" t="s">
        <v>275</v>
      </c>
      <c r="C39" t="s">
        <v>22</v>
      </c>
      <c r="D39">
        <v>0.03</v>
      </c>
      <c r="F39" t="s">
        <v>279</v>
      </c>
      <c r="L39" t="s">
        <v>26</v>
      </c>
      <c r="M39" s="8"/>
      <c r="N39" t="s">
        <v>22</v>
      </c>
    </row>
    <row r="40" spans="1:14" x14ac:dyDescent="0.3">
      <c r="B40" t="s">
        <v>276</v>
      </c>
      <c r="C40" t="s">
        <v>22</v>
      </c>
      <c r="D40">
        <v>1.4999999999999999E-2</v>
      </c>
      <c r="F40" t="s">
        <v>277</v>
      </c>
      <c r="L40" t="s">
        <v>317</v>
      </c>
      <c r="M40" s="8"/>
      <c r="N40" t="s">
        <v>22</v>
      </c>
    </row>
    <row r="41" spans="1:14" x14ac:dyDescent="0.3">
      <c r="B41" t="s">
        <v>278</v>
      </c>
      <c r="C41" t="s">
        <v>22</v>
      </c>
      <c r="D41">
        <v>1.2999999999999999E-2</v>
      </c>
      <c r="L41" t="s">
        <v>27</v>
      </c>
      <c r="M41" s="8"/>
      <c r="N41" t="s">
        <v>22</v>
      </c>
    </row>
    <row r="42" spans="1:14" x14ac:dyDescent="0.3">
      <c r="B42" t="s">
        <v>52</v>
      </c>
      <c r="C42" t="s">
        <v>22</v>
      </c>
      <c r="D42">
        <v>6.0000000000000001E-3</v>
      </c>
      <c r="L42" t="s">
        <v>28</v>
      </c>
      <c r="M42" s="8">
        <f>3.192+0.1</f>
        <v>3.2920000000000003</v>
      </c>
      <c r="N42" t="s">
        <v>22</v>
      </c>
    </row>
    <row r="43" spans="1:14" x14ac:dyDescent="0.3">
      <c r="A43" t="s">
        <v>282</v>
      </c>
      <c r="B43" t="s">
        <v>5</v>
      </c>
      <c r="C43" t="s">
        <v>22</v>
      </c>
      <c r="D43">
        <v>2.7610000000000001</v>
      </c>
      <c r="E43" t="s">
        <v>12</v>
      </c>
      <c r="L43" t="s">
        <v>5</v>
      </c>
      <c r="M43" s="8">
        <v>5.0199999999999996</v>
      </c>
      <c r="N43" t="s">
        <v>22</v>
      </c>
    </row>
    <row r="44" spans="1:14" x14ac:dyDescent="0.3">
      <c r="A44">
        <v>15</v>
      </c>
      <c r="B44" t="s">
        <v>4</v>
      </c>
      <c r="C44" t="s">
        <v>22</v>
      </c>
      <c r="D44">
        <v>2.4</v>
      </c>
      <c r="E44" s="15" t="s">
        <v>397</v>
      </c>
      <c r="F44" t="s">
        <v>185</v>
      </c>
      <c r="L44" t="s">
        <v>29</v>
      </c>
      <c r="M44" s="8">
        <v>0.42</v>
      </c>
      <c r="N44" t="s">
        <v>22</v>
      </c>
    </row>
    <row r="45" spans="1:14" x14ac:dyDescent="0.3">
      <c r="B45" t="s">
        <v>133</v>
      </c>
      <c r="C45" t="s">
        <v>22</v>
      </c>
      <c r="D45">
        <v>1.5720000000000001</v>
      </c>
      <c r="L45" t="s">
        <v>9</v>
      </c>
      <c r="M45" s="8">
        <v>0.34</v>
      </c>
      <c r="N45" t="s">
        <v>22</v>
      </c>
    </row>
    <row r="46" spans="1:14" x14ac:dyDescent="0.3">
      <c r="B46" t="s">
        <v>283</v>
      </c>
      <c r="C46" t="s">
        <v>22</v>
      </c>
      <c r="D46">
        <v>0.84</v>
      </c>
      <c r="F46" t="s">
        <v>289</v>
      </c>
      <c r="J46" t="s">
        <v>185</v>
      </c>
      <c r="K46" t="s">
        <v>159</v>
      </c>
      <c r="L46" t="s">
        <v>4</v>
      </c>
      <c r="M46" s="8">
        <v>7.5</v>
      </c>
      <c r="N46" t="s">
        <v>22</v>
      </c>
    </row>
    <row r="47" spans="1:14" x14ac:dyDescent="0.3">
      <c r="B47" t="s">
        <v>284</v>
      </c>
      <c r="C47" t="s">
        <v>22</v>
      </c>
      <c r="D47">
        <v>2.9000000000000001E-2</v>
      </c>
      <c r="F47" t="s">
        <v>318</v>
      </c>
      <c r="J47" t="s">
        <v>185</v>
      </c>
      <c r="L47" t="s">
        <v>24</v>
      </c>
      <c r="M47" s="8">
        <v>0</v>
      </c>
      <c r="N47" t="s">
        <v>22</v>
      </c>
    </row>
    <row r="48" spans="1:14" x14ac:dyDescent="0.3">
      <c r="B48" t="s">
        <v>10</v>
      </c>
      <c r="C48" t="s">
        <v>22</v>
      </c>
      <c r="D48">
        <v>0.01</v>
      </c>
      <c r="L48" t="s">
        <v>25</v>
      </c>
      <c r="M48" s="8">
        <v>0</v>
      </c>
      <c r="N48" t="s">
        <v>22</v>
      </c>
    </row>
    <row r="49" spans="1:14" x14ac:dyDescent="0.3">
      <c r="A49" t="s">
        <v>285</v>
      </c>
      <c r="B49" t="s">
        <v>133</v>
      </c>
      <c r="C49" t="s">
        <v>22</v>
      </c>
      <c r="D49">
        <v>2.72</v>
      </c>
      <c r="E49" t="s">
        <v>12</v>
      </c>
      <c r="L49" t="s">
        <v>316</v>
      </c>
      <c r="M49" s="8">
        <v>0</v>
      </c>
      <c r="N49" t="s">
        <v>22</v>
      </c>
    </row>
    <row r="50" spans="1:14" x14ac:dyDescent="0.3">
      <c r="A50">
        <v>15</v>
      </c>
      <c r="B50" t="s">
        <v>5</v>
      </c>
      <c r="C50" t="s">
        <v>22</v>
      </c>
      <c r="D50">
        <v>2.46</v>
      </c>
      <c r="E50" s="15" t="s">
        <v>398</v>
      </c>
      <c r="F50" t="s">
        <v>185</v>
      </c>
      <c r="L50" t="s">
        <v>26</v>
      </c>
      <c r="M50" s="8">
        <v>0</v>
      </c>
      <c r="N50" t="s">
        <v>22</v>
      </c>
    </row>
    <row r="51" spans="1:14" x14ac:dyDescent="0.3">
      <c r="B51" t="s">
        <v>10</v>
      </c>
      <c r="C51" t="s">
        <v>22</v>
      </c>
      <c r="D51">
        <v>7.0000000000000007E-2</v>
      </c>
      <c r="L51" t="s">
        <v>317</v>
      </c>
      <c r="M51" s="8">
        <v>0</v>
      </c>
      <c r="N51" t="s">
        <v>22</v>
      </c>
    </row>
    <row r="52" spans="1:14" x14ac:dyDescent="0.3">
      <c r="A52" t="s">
        <v>286</v>
      </c>
      <c r="B52" t="s">
        <v>5</v>
      </c>
      <c r="C52" t="s">
        <v>22</v>
      </c>
      <c r="D52">
        <v>3.0070000000000001</v>
      </c>
      <c r="E52" t="s">
        <v>12</v>
      </c>
      <c r="L52" t="s">
        <v>27</v>
      </c>
      <c r="M52" s="8">
        <v>0</v>
      </c>
      <c r="N52" t="s">
        <v>22</v>
      </c>
    </row>
    <row r="53" spans="1:14" x14ac:dyDescent="0.3">
      <c r="A53">
        <v>15</v>
      </c>
      <c r="B53" t="s">
        <v>133</v>
      </c>
      <c r="C53" t="s">
        <v>22</v>
      </c>
      <c r="D53">
        <v>2.7240000000000002</v>
      </c>
      <c r="E53" s="15" t="s">
        <v>398</v>
      </c>
      <c r="F53" t="s">
        <v>185</v>
      </c>
      <c r="L53" t="s">
        <v>28</v>
      </c>
      <c r="M53" s="8">
        <f>5.12+1.3</f>
        <v>6.42</v>
      </c>
      <c r="N53" t="s">
        <v>22</v>
      </c>
    </row>
    <row r="54" spans="1:14" x14ac:dyDescent="0.3">
      <c r="B54" t="s">
        <v>4</v>
      </c>
      <c r="C54" t="s">
        <v>22</v>
      </c>
      <c r="D54">
        <v>2.4</v>
      </c>
      <c r="L54" t="s">
        <v>5</v>
      </c>
      <c r="M54" s="8">
        <v>1.32</v>
      </c>
      <c r="N54" t="s">
        <v>22</v>
      </c>
    </row>
    <row r="55" spans="1:14" x14ac:dyDescent="0.3">
      <c r="B55" t="s">
        <v>284</v>
      </c>
      <c r="C55" t="s">
        <v>22</v>
      </c>
      <c r="D55">
        <v>2.9000000000000001E-2</v>
      </c>
      <c r="L55" t="s">
        <v>29</v>
      </c>
      <c r="M55" s="8">
        <v>0</v>
      </c>
      <c r="N55" t="s">
        <v>22</v>
      </c>
    </row>
    <row r="56" spans="1:14" x14ac:dyDescent="0.3">
      <c r="B56" t="s">
        <v>10</v>
      </c>
      <c r="C56" t="s">
        <v>22</v>
      </c>
      <c r="D56">
        <v>0.01</v>
      </c>
      <c r="L56" t="s">
        <v>9</v>
      </c>
      <c r="M56" s="8">
        <v>0.34</v>
      </c>
      <c r="N56" t="s">
        <v>22</v>
      </c>
    </row>
    <row r="57" spans="1:14" x14ac:dyDescent="0.3">
      <c r="K57" t="s">
        <v>161</v>
      </c>
      <c r="L57" t="s">
        <v>4</v>
      </c>
      <c r="M57" s="8">
        <v>0</v>
      </c>
      <c r="N57" t="s">
        <v>22</v>
      </c>
    </row>
    <row r="58" spans="1:14" x14ac:dyDescent="0.3">
      <c r="L58" t="s">
        <v>24</v>
      </c>
      <c r="M58" s="8">
        <v>0</v>
      </c>
      <c r="N58" t="s">
        <v>22</v>
      </c>
    </row>
    <row r="59" spans="1:14" x14ac:dyDescent="0.3">
      <c r="L59" t="s">
        <v>25</v>
      </c>
      <c r="M59" s="8">
        <v>0</v>
      </c>
      <c r="N59" t="s">
        <v>22</v>
      </c>
    </row>
    <row r="60" spans="1:14" x14ac:dyDescent="0.3">
      <c r="L60" t="s">
        <v>316</v>
      </c>
      <c r="M60" s="8">
        <v>0</v>
      </c>
      <c r="N60" t="s">
        <v>22</v>
      </c>
    </row>
    <row r="61" spans="1:14" x14ac:dyDescent="0.3">
      <c r="L61" t="s">
        <v>26</v>
      </c>
      <c r="M61" s="8">
        <v>0</v>
      </c>
      <c r="N61" t="s">
        <v>22</v>
      </c>
    </row>
    <row r="62" spans="1:14" x14ac:dyDescent="0.3">
      <c r="L62" t="s">
        <v>317</v>
      </c>
      <c r="M62" s="8">
        <v>0</v>
      </c>
      <c r="N62" t="s">
        <v>22</v>
      </c>
    </row>
    <row r="63" spans="1:14" x14ac:dyDescent="0.3">
      <c r="L63" t="s">
        <v>27</v>
      </c>
      <c r="M63" s="8">
        <v>0</v>
      </c>
      <c r="N63" t="s">
        <v>22</v>
      </c>
    </row>
    <row r="64" spans="1:14" x14ac:dyDescent="0.3">
      <c r="L64" t="s">
        <v>28</v>
      </c>
      <c r="M64" s="8">
        <v>2.9220000000000002</v>
      </c>
      <c r="N64" t="s">
        <v>22</v>
      </c>
    </row>
    <row r="65" spans="11:14" x14ac:dyDescent="0.3">
      <c r="L65" t="s">
        <v>5</v>
      </c>
      <c r="M65" s="8">
        <v>2.254</v>
      </c>
      <c r="N65" t="s">
        <v>22</v>
      </c>
    </row>
    <row r="66" spans="11:14" x14ac:dyDescent="0.3">
      <c r="L66" t="s">
        <v>29</v>
      </c>
      <c r="M66" s="8">
        <v>0</v>
      </c>
      <c r="N66" t="s">
        <v>22</v>
      </c>
    </row>
    <row r="67" spans="11:14" x14ac:dyDescent="0.3">
      <c r="L67" t="s">
        <v>9</v>
      </c>
      <c r="M67" s="8">
        <v>0</v>
      </c>
      <c r="N67" t="s">
        <v>22</v>
      </c>
    </row>
    <row r="68" spans="11:14" x14ac:dyDescent="0.3">
      <c r="K68" t="s">
        <v>162</v>
      </c>
      <c r="L68" t="s">
        <v>4</v>
      </c>
      <c r="M68" s="8">
        <v>0</v>
      </c>
      <c r="N68" t="s">
        <v>22</v>
      </c>
    </row>
    <row r="69" spans="11:14" x14ac:dyDescent="0.3">
      <c r="L69" t="s">
        <v>24</v>
      </c>
      <c r="M69" s="8">
        <v>0</v>
      </c>
      <c r="N69" t="s">
        <v>22</v>
      </c>
    </row>
    <row r="70" spans="11:14" x14ac:dyDescent="0.3">
      <c r="L70" t="s">
        <v>25</v>
      </c>
      <c r="M70" s="8">
        <v>0</v>
      </c>
      <c r="N70" t="s">
        <v>22</v>
      </c>
    </row>
    <row r="71" spans="11:14" x14ac:dyDescent="0.3">
      <c r="L71" t="s">
        <v>316</v>
      </c>
      <c r="M71" s="8">
        <v>0.26700000000000002</v>
      </c>
      <c r="N71" t="s">
        <v>22</v>
      </c>
    </row>
    <row r="72" spans="11:14" x14ac:dyDescent="0.3">
      <c r="L72" t="s">
        <v>26</v>
      </c>
      <c r="M72" s="8">
        <v>0</v>
      </c>
      <c r="N72" t="s">
        <v>22</v>
      </c>
    </row>
    <row r="73" spans="11:14" x14ac:dyDescent="0.3">
      <c r="L73" t="s">
        <v>317</v>
      </c>
      <c r="M73" s="8">
        <v>0</v>
      </c>
      <c r="N73" t="s">
        <v>22</v>
      </c>
    </row>
    <row r="74" spans="11:14" x14ac:dyDescent="0.3">
      <c r="L74" t="s">
        <v>27</v>
      </c>
      <c r="M74" s="8">
        <v>0</v>
      </c>
      <c r="N74" t="s">
        <v>22</v>
      </c>
    </row>
    <row r="75" spans="11:14" x14ac:dyDescent="0.3">
      <c r="L75" t="s">
        <v>28</v>
      </c>
      <c r="M75" s="8">
        <f>3.34+0.056</f>
        <v>3.3959999999999999</v>
      </c>
      <c r="N75" t="s">
        <v>22</v>
      </c>
    </row>
    <row r="76" spans="11:14" x14ac:dyDescent="0.3">
      <c r="L76" t="s">
        <v>5</v>
      </c>
      <c r="M76" s="8">
        <v>1.288</v>
      </c>
      <c r="N76" t="s">
        <v>22</v>
      </c>
    </row>
    <row r="77" spans="11:14" x14ac:dyDescent="0.3">
      <c r="L77" t="s">
        <v>29</v>
      </c>
      <c r="M77" s="8">
        <v>0.95</v>
      </c>
      <c r="N77" t="s">
        <v>22</v>
      </c>
    </row>
    <row r="78" spans="11:14" x14ac:dyDescent="0.3">
      <c r="L78" t="s">
        <v>9</v>
      </c>
      <c r="M78" s="8">
        <v>0.76200000000000001</v>
      </c>
      <c r="N78" t="s">
        <v>22</v>
      </c>
    </row>
    <row r="79" spans="11:14" x14ac:dyDescent="0.3">
      <c r="K79" t="s">
        <v>273</v>
      </c>
      <c r="L79" t="s">
        <v>4</v>
      </c>
      <c r="M79" s="8">
        <v>0</v>
      </c>
      <c r="N79" t="s">
        <v>22</v>
      </c>
    </row>
    <row r="80" spans="11:14" x14ac:dyDescent="0.3">
      <c r="L80" t="s">
        <v>24</v>
      </c>
      <c r="M80" s="8">
        <v>0</v>
      </c>
      <c r="N80" t="s">
        <v>22</v>
      </c>
    </row>
    <row r="81" spans="11:14" x14ac:dyDescent="0.3">
      <c r="L81" t="s">
        <v>25</v>
      </c>
      <c r="M81" s="8">
        <v>0.03</v>
      </c>
      <c r="N81" t="s">
        <v>22</v>
      </c>
    </row>
    <row r="82" spans="11:14" x14ac:dyDescent="0.3">
      <c r="L82" t="s">
        <v>316</v>
      </c>
      <c r="M82" s="8">
        <v>0</v>
      </c>
      <c r="N82" t="s">
        <v>22</v>
      </c>
    </row>
    <row r="83" spans="11:14" x14ac:dyDescent="0.3">
      <c r="L83" t="s">
        <v>26</v>
      </c>
      <c r="M83" s="8">
        <v>0</v>
      </c>
      <c r="N83" t="s">
        <v>22</v>
      </c>
    </row>
    <row r="84" spans="11:14" x14ac:dyDescent="0.3">
      <c r="L84" t="s">
        <v>317</v>
      </c>
      <c r="M84" s="8">
        <f>D38+D40+D41</f>
        <v>8.4000000000000005E-2</v>
      </c>
      <c r="N84" t="s">
        <v>22</v>
      </c>
    </row>
    <row r="85" spans="11:14" x14ac:dyDescent="0.3">
      <c r="L85" t="s">
        <v>27</v>
      </c>
      <c r="M85" s="8">
        <v>0</v>
      </c>
      <c r="N85" t="s">
        <v>22</v>
      </c>
    </row>
    <row r="86" spans="11:14" x14ac:dyDescent="0.3">
      <c r="L86" t="s">
        <v>28</v>
      </c>
      <c r="M86" s="8">
        <f>D35+D42</f>
        <v>2.8699999999999997</v>
      </c>
      <c r="N86" t="s">
        <v>22</v>
      </c>
    </row>
    <row r="87" spans="11:14" x14ac:dyDescent="0.3">
      <c r="L87" t="s">
        <v>5</v>
      </c>
      <c r="M87" s="8">
        <v>0.46200000000000002</v>
      </c>
      <c r="N87" t="s">
        <v>22</v>
      </c>
    </row>
    <row r="88" spans="11:14" x14ac:dyDescent="0.3">
      <c r="L88" t="s">
        <v>29</v>
      </c>
      <c r="M88" s="8">
        <v>0</v>
      </c>
      <c r="N88" t="s">
        <v>22</v>
      </c>
    </row>
    <row r="89" spans="11:14" x14ac:dyDescent="0.3">
      <c r="L89" t="s">
        <v>9</v>
      </c>
      <c r="M89" s="8">
        <v>1.919</v>
      </c>
      <c r="N89" t="s">
        <v>22</v>
      </c>
    </row>
    <row r="90" spans="11:14" x14ac:dyDescent="0.3">
      <c r="K90" t="s">
        <v>282</v>
      </c>
      <c r="L90" t="s">
        <v>4</v>
      </c>
      <c r="M90" s="8">
        <v>2.4</v>
      </c>
      <c r="N90" t="s">
        <v>22</v>
      </c>
    </row>
    <row r="91" spans="11:14" x14ac:dyDescent="0.3">
      <c r="L91" t="s">
        <v>24</v>
      </c>
      <c r="M91" s="8">
        <v>0</v>
      </c>
      <c r="N91" t="s">
        <v>22</v>
      </c>
    </row>
    <row r="92" spans="11:14" x14ac:dyDescent="0.3">
      <c r="L92" t="s">
        <v>25</v>
      </c>
      <c r="M92" s="8">
        <v>0</v>
      </c>
      <c r="N92" t="s">
        <v>22</v>
      </c>
    </row>
    <row r="93" spans="11:14" x14ac:dyDescent="0.3">
      <c r="L93" t="s">
        <v>316</v>
      </c>
      <c r="M93" s="8">
        <v>0</v>
      </c>
      <c r="N93" t="s">
        <v>22</v>
      </c>
    </row>
    <row r="94" spans="11:14" x14ac:dyDescent="0.3">
      <c r="L94" t="s">
        <v>26</v>
      </c>
      <c r="M94" s="8">
        <v>0</v>
      </c>
      <c r="N94" t="s">
        <v>22</v>
      </c>
    </row>
    <row r="95" spans="11:14" x14ac:dyDescent="0.3">
      <c r="L95" t="s">
        <v>317</v>
      </c>
      <c r="M95" s="8">
        <f>D47</f>
        <v>2.9000000000000001E-2</v>
      </c>
      <c r="N95" t="s">
        <v>22</v>
      </c>
    </row>
    <row r="96" spans="11:14" x14ac:dyDescent="0.3">
      <c r="L96" t="s">
        <v>27</v>
      </c>
      <c r="M96" s="8">
        <v>0</v>
      </c>
      <c r="N96" t="s">
        <v>22</v>
      </c>
    </row>
    <row r="97" spans="11:14" x14ac:dyDescent="0.3">
      <c r="L97" t="s">
        <v>28</v>
      </c>
      <c r="M97" s="8">
        <f>D45+D46+D48</f>
        <v>2.4219999999999997</v>
      </c>
      <c r="N97" t="s">
        <v>22</v>
      </c>
    </row>
    <row r="98" spans="11:14" x14ac:dyDescent="0.3">
      <c r="L98" t="s">
        <v>5</v>
      </c>
      <c r="M98" s="8">
        <v>2.7610000000000001</v>
      </c>
      <c r="N98" t="s">
        <v>22</v>
      </c>
    </row>
    <row r="99" spans="11:14" x14ac:dyDescent="0.3">
      <c r="L99" t="s">
        <v>29</v>
      </c>
      <c r="M99" s="8">
        <v>0</v>
      </c>
      <c r="N99" t="s">
        <v>22</v>
      </c>
    </row>
    <row r="100" spans="11:14" x14ac:dyDescent="0.3">
      <c r="L100" t="s">
        <v>9</v>
      </c>
      <c r="M100" s="8">
        <v>0</v>
      </c>
      <c r="N100" t="s">
        <v>22</v>
      </c>
    </row>
    <row r="101" spans="11:14" x14ac:dyDescent="0.3">
      <c r="K101" t="s">
        <v>287</v>
      </c>
      <c r="L101" t="s">
        <v>4</v>
      </c>
      <c r="M101" s="8">
        <v>0</v>
      </c>
      <c r="N101" t="s">
        <v>22</v>
      </c>
    </row>
    <row r="102" spans="11:14" x14ac:dyDescent="0.3">
      <c r="L102" t="s">
        <v>24</v>
      </c>
      <c r="M102" s="8">
        <v>0</v>
      </c>
      <c r="N102" t="s">
        <v>22</v>
      </c>
    </row>
    <row r="103" spans="11:14" x14ac:dyDescent="0.3">
      <c r="L103" t="s">
        <v>25</v>
      </c>
      <c r="M103" s="8">
        <v>0</v>
      </c>
      <c r="N103" t="s">
        <v>22</v>
      </c>
    </row>
    <row r="104" spans="11:14" x14ac:dyDescent="0.3">
      <c r="L104" t="s">
        <v>316</v>
      </c>
      <c r="M104" s="8">
        <v>0</v>
      </c>
      <c r="N104" t="s">
        <v>22</v>
      </c>
    </row>
    <row r="105" spans="11:14" x14ac:dyDescent="0.3">
      <c r="L105" t="s">
        <v>26</v>
      </c>
      <c r="M105" s="8">
        <v>0</v>
      </c>
      <c r="N105" t="s">
        <v>22</v>
      </c>
    </row>
    <row r="106" spans="11:14" x14ac:dyDescent="0.3">
      <c r="L106" t="s">
        <v>317</v>
      </c>
      <c r="M106" s="8">
        <v>0</v>
      </c>
      <c r="N106" t="s">
        <v>22</v>
      </c>
    </row>
    <row r="107" spans="11:14" x14ac:dyDescent="0.3">
      <c r="L107" t="s">
        <v>27</v>
      </c>
      <c r="M107" s="8">
        <v>0</v>
      </c>
      <c r="N107" t="s">
        <v>22</v>
      </c>
    </row>
    <row r="108" spans="11:14" x14ac:dyDescent="0.3">
      <c r="L108" t="s">
        <v>28</v>
      </c>
      <c r="M108" s="8">
        <f>D49+D51</f>
        <v>2.79</v>
      </c>
      <c r="N108" t="s">
        <v>22</v>
      </c>
    </row>
    <row r="109" spans="11:14" x14ac:dyDescent="0.3">
      <c r="L109" t="s">
        <v>5</v>
      </c>
      <c r="M109" s="8">
        <f>D50</f>
        <v>2.46</v>
      </c>
      <c r="N109" t="s">
        <v>22</v>
      </c>
    </row>
    <row r="110" spans="11:14" x14ac:dyDescent="0.3">
      <c r="L110" t="s">
        <v>29</v>
      </c>
      <c r="M110" s="8">
        <v>0</v>
      </c>
      <c r="N110" t="s">
        <v>22</v>
      </c>
    </row>
    <row r="111" spans="11:14" x14ac:dyDescent="0.3">
      <c r="L111" t="s">
        <v>9</v>
      </c>
      <c r="M111" s="8">
        <v>0</v>
      </c>
      <c r="N111" t="s">
        <v>22</v>
      </c>
    </row>
    <row r="112" spans="11:14" x14ac:dyDescent="0.3">
      <c r="K112" t="s">
        <v>288</v>
      </c>
      <c r="L112" t="s">
        <v>4</v>
      </c>
      <c r="M112" s="8">
        <f>D54</f>
        <v>2.4</v>
      </c>
      <c r="N112" t="s">
        <v>22</v>
      </c>
    </row>
    <row r="113" spans="12:14" x14ac:dyDescent="0.3">
      <c r="L113" t="s">
        <v>24</v>
      </c>
      <c r="M113" s="8">
        <v>0</v>
      </c>
      <c r="N113" t="s">
        <v>22</v>
      </c>
    </row>
    <row r="114" spans="12:14" x14ac:dyDescent="0.3">
      <c r="L114" t="s">
        <v>25</v>
      </c>
      <c r="M114" s="8">
        <v>0</v>
      </c>
      <c r="N114" t="s">
        <v>22</v>
      </c>
    </row>
    <row r="115" spans="12:14" x14ac:dyDescent="0.3">
      <c r="L115" t="s">
        <v>316</v>
      </c>
      <c r="M115" s="8">
        <v>0</v>
      </c>
      <c r="N115" t="s">
        <v>22</v>
      </c>
    </row>
    <row r="116" spans="12:14" x14ac:dyDescent="0.3">
      <c r="L116" t="s">
        <v>26</v>
      </c>
      <c r="M116" s="8">
        <v>0</v>
      </c>
      <c r="N116" t="s">
        <v>22</v>
      </c>
    </row>
    <row r="117" spans="12:14" x14ac:dyDescent="0.3">
      <c r="L117" t="s">
        <v>317</v>
      </c>
      <c r="M117" s="8">
        <f>D55</f>
        <v>2.9000000000000001E-2</v>
      </c>
      <c r="N117" t="s">
        <v>22</v>
      </c>
    </row>
    <row r="118" spans="12:14" x14ac:dyDescent="0.3">
      <c r="L118" t="s">
        <v>27</v>
      </c>
      <c r="M118" s="8">
        <v>0</v>
      </c>
      <c r="N118" t="s">
        <v>22</v>
      </c>
    </row>
    <row r="119" spans="12:14" x14ac:dyDescent="0.3">
      <c r="L119" t="s">
        <v>28</v>
      </c>
      <c r="M119" s="8">
        <f>D53+D56</f>
        <v>2.734</v>
      </c>
      <c r="N119" t="s">
        <v>22</v>
      </c>
    </row>
    <row r="120" spans="12:14" x14ac:dyDescent="0.3">
      <c r="L120" t="s">
        <v>5</v>
      </c>
      <c r="M120" s="8">
        <f>D52</f>
        <v>3.0070000000000001</v>
      </c>
      <c r="N120" t="s">
        <v>22</v>
      </c>
    </row>
    <row r="121" spans="12:14" x14ac:dyDescent="0.3">
      <c r="L121" t="s">
        <v>29</v>
      </c>
      <c r="M121" s="8">
        <v>0</v>
      </c>
      <c r="N121" t="s">
        <v>22</v>
      </c>
    </row>
    <row r="122" spans="12:14" x14ac:dyDescent="0.3">
      <c r="L122" t="s">
        <v>9</v>
      </c>
      <c r="M122" s="8">
        <v>0</v>
      </c>
      <c r="N122" t="s">
        <v>22</v>
      </c>
    </row>
  </sheetData>
  <hyperlinks>
    <hyperlink ref="E3" r:id="rId1" xr:uid="{B8DE4402-31EF-4594-8737-3680AA657BD3}"/>
    <hyperlink ref="E8" r:id="rId2" xr:uid="{35502C46-053C-45D1-B71D-41BCED188724}"/>
    <hyperlink ref="E15" r:id="rId3" xr:uid="{55C3AF6F-934E-428D-8145-16618D179346}"/>
    <hyperlink ref="E23" r:id="rId4" xr:uid="{66F203C0-07AD-4684-9A95-A45A57FF3601}"/>
    <hyperlink ref="E28" r:id="rId5" xr:uid="{260EED46-3814-44A9-8AC8-C4259ABDFF24}"/>
    <hyperlink ref="E30" r:id="rId6" xr:uid="{78D45932-70FA-4C41-B3E5-0E3AA9057658}"/>
    <hyperlink ref="E36" r:id="rId7" xr:uid="{E83100CE-DD41-464C-A108-B3250C54ED51}"/>
    <hyperlink ref="E44" r:id="rId8" xr:uid="{121C6E80-9911-4EAA-979A-F4897DD8910B}"/>
    <hyperlink ref="E50" r:id="rId9" xr:uid="{C2CA1C73-1768-405F-B043-981489A405CC}"/>
    <hyperlink ref="E53" r:id="rId10" xr:uid="{61274ECE-90BC-4382-B10F-BA53B8D91861}"/>
  </hyperlinks>
  <pageMargins left="0.7" right="0.7" top="0.75" bottom="0.75" header="0.3" footer="0.3"/>
  <pageSetup paperSize="9" orientation="portrait" r:id="rId11"/>
  <drawing r:id="rId1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B3F18-9A91-4F46-935D-6E2C61B95F62}">
  <dimension ref="A1:T34"/>
  <sheetViews>
    <sheetView zoomScale="70" zoomScaleNormal="70" workbookViewId="0">
      <selection activeCell="E27" sqref="E27"/>
    </sheetView>
  </sheetViews>
  <sheetFormatPr defaultRowHeight="14.4" x14ac:dyDescent="0.3"/>
  <cols>
    <col min="1" max="1" width="31.77734375" customWidth="1"/>
    <col min="2" max="2" width="18.44140625" customWidth="1"/>
    <col min="7" max="7" width="1.109375" style="3" customWidth="1"/>
    <col min="9" max="9" width="31.21875" customWidth="1"/>
    <col min="10" max="10" width="29.6640625" customWidth="1"/>
    <col min="14" max="14" width="1.33203125" style="3" customWidth="1"/>
    <col min="15" max="15" width="8.21875" customWidth="1"/>
    <col min="17" max="17" width="10.5546875" customWidth="1"/>
    <col min="18" max="18" width="26.6640625" customWidth="1"/>
  </cols>
  <sheetData>
    <row r="1" spans="1:20" x14ac:dyDescent="0.3">
      <c r="A1" s="2" t="s">
        <v>1</v>
      </c>
      <c r="B1" s="2" t="s">
        <v>2</v>
      </c>
      <c r="C1" s="2" t="s">
        <v>3</v>
      </c>
      <c r="D1" s="2" t="s">
        <v>21</v>
      </c>
      <c r="E1" s="2" t="s">
        <v>11</v>
      </c>
      <c r="I1" s="2" t="s">
        <v>1</v>
      </c>
      <c r="J1" s="2" t="s">
        <v>2</v>
      </c>
      <c r="K1" s="2" t="s">
        <v>3</v>
      </c>
      <c r="L1" s="2" t="s">
        <v>21</v>
      </c>
      <c r="Q1" t="s">
        <v>1</v>
      </c>
      <c r="R1" t="s">
        <v>2</v>
      </c>
      <c r="S1" t="s">
        <v>3</v>
      </c>
      <c r="T1" t="s">
        <v>21</v>
      </c>
    </row>
    <row r="2" spans="1:20" x14ac:dyDescent="0.3">
      <c r="A2" t="s">
        <v>73</v>
      </c>
      <c r="B2" t="s">
        <v>9</v>
      </c>
      <c r="C2" t="s">
        <v>22</v>
      </c>
      <c r="D2">
        <v>17.2</v>
      </c>
      <c r="E2" t="s">
        <v>12</v>
      </c>
      <c r="I2" t="s">
        <v>73</v>
      </c>
      <c r="J2" t="s">
        <v>4</v>
      </c>
      <c r="K2">
        <v>0</v>
      </c>
      <c r="L2" t="s">
        <v>22</v>
      </c>
      <c r="Q2" t="s">
        <v>164</v>
      </c>
      <c r="R2" t="s">
        <v>4</v>
      </c>
      <c r="S2">
        <f>(K2+K13+K24)/3</f>
        <v>3.6666666666666667E-2</v>
      </c>
    </row>
    <row r="3" spans="1:20" x14ac:dyDescent="0.3">
      <c r="A3">
        <v>15</v>
      </c>
      <c r="B3" t="s">
        <v>5</v>
      </c>
      <c r="C3" t="s">
        <v>22</v>
      </c>
      <c r="D3">
        <v>17.7</v>
      </c>
      <c r="E3" s="15" t="s">
        <v>400</v>
      </c>
      <c r="F3" t="s">
        <v>185</v>
      </c>
      <c r="I3" t="s">
        <v>23</v>
      </c>
      <c r="J3" t="s">
        <v>24</v>
      </c>
      <c r="K3">
        <v>0</v>
      </c>
      <c r="L3" t="s">
        <v>22</v>
      </c>
      <c r="R3" t="s">
        <v>24</v>
      </c>
      <c r="S3">
        <f t="shared" ref="S3:S12" si="0">(K3+K14+K25)/3</f>
        <v>0</v>
      </c>
    </row>
    <row r="4" spans="1:20" x14ac:dyDescent="0.3">
      <c r="B4" t="s">
        <v>7</v>
      </c>
      <c r="C4" t="s">
        <v>22</v>
      </c>
      <c r="D4">
        <v>0.16900000000000001</v>
      </c>
      <c r="J4" t="s">
        <v>25</v>
      </c>
      <c r="K4">
        <v>0</v>
      </c>
      <c r="L4" t="s">
        <v>22</v>
      </c>
      <c r="R4" t="s">
        <v>25</v>
      </c>
      <c r="S4">
        <f t="shared" si="0"/>
        <v>0</v>
      </c>
    </row>
    <row r="5" spans="1:20" x14ac:dyDescent="0.3">
      <c r="B5" t="s">
        <v>49</v>
      </c>
      <c r="C5" t="s">
        <v>22</v>
      </c>
      <c r="D5">
        <v>0.123</v>
      </c>
      <c r="J5" t="s">
        <v>316</v>
      </c>
      <c r="K5">
        <v>0.16900000000000001</v>
      </c>
      <c r="L5" t="s">
        <v>22</v>
      </c>
      <c r="R5" t="s">
        <v>316</v>
      </c>
      <c r="S5">
        <f t="shared" si="0"/>
        <v>0.13333333333333333</v>
      </c>
    </row>
    <row r="6" spans="1:20" x14ac:dyDescent="0.3">
      <c r="B6" t="s">
        <v>5</v>
      </c>
      <c r="C6" t="s">
        <v>22</v>
      </c>
      <c r="D6">
        <v>0.41499999999999998</v>
      </c>
      <c r="J6" t="s">
        <v>26</v>
      </c>
      <c r="K6">
        <v>0</v>
      </c>
      <c r="L6" t="s">
        <v>22</v>
      </c>
      <c r="R6" t="s">
        <v>26</v>
      </c>
      <c r="S6">
        <f t="shared" si="0"/>
        <v>0</v>
      </c>
    </row>
    <row r="7" spans="1:20" x14ac:dyDescent="0.3">
      <c r="B7" t="s">
        <v>49</v>
      </c>
      <c r="C7" t="s">
        <v>22</v>
      </c>
      <c r="D7">
        <v>0.36399999999999999</v>
      </c>
      <c r="J7" t="s">
        <v>317</v>
      </c>
      <c r="K7">
        <v>0</v>
      </c>
      <c r="L7" t="s">
        <v>22</v>
      </c>
      <c r="R7" t="s">
        <v>317</v>
      </c>
      <c r="S7">
        <f t="shared" si="0"/>
        <v>0</v>
      </c>
    </row>
    <row r="8" spans="1:20" x14ac:dyDescent="0.3">
      <c r="B8" t="s">
        <v>74</v>
      </c>
      <c r="C8" t="s">
        <v>22</v>
      </c>
      <c r="D8">
        <v>5.94</v>
      </c>
      <c r="J8" t="s">
        <v>27</v>
      </c>
      <c r="K8">
        <v>5.94</v>
      </c>
      <c r="L8" t="s">
        <v>22</v>
      </c>
      <c r="R8" t="s">
        <v>27</v>
      </c>
      <c r="S8">
        <f t="shared" si="0"/>
        <v>1.9800000000000002</v>
      </c>
    </row>
    <row r="9" spans="1:20" x14ac:dyDescent="0.3">
      <c r="B9" t="s">
        <v>10</v>
      </c>
      <c r="C9" t="s">
        <v>22</v>
      </c>
      <c r="D9">
        <v>0.36399999999999999</v>
      </c>
      <c r="J9" t="s">
        <v>28</v>
      </c>
      <c r="K9">
        <f>0.123+0.364+0.364</f>
        <v>0.85099999999999998</v>
      </c>
      <c r="L9" t="s">
        <v>22</v>
      </c>
      <c r="R9" t="s">
        <v>28</v>
      </c>
      <c r="S9">
        <f t="shared" si="0"/>
        <v>1.4563333333333333</v>
      </c>
    </row>
    <row r="10" spans="1:20" x14ac:dyDescent="0.3">
      <c r="A10" t="s">
        <v>75</v>
      </c>
      <c r="B10" t="s">
        <v>9</v>
      </c>
      <c r="C10" t="s">
        <v>22</v>
      </c>
      <c r="D10">
        <v>17.2</v>
      </c>
      <c r="E10" t="s">
        <v>12</v>
      </c>
      <c r="J10" t="s">
        <v>5</v>
      </c>
      <c r="K10">
        <f>17.7+0.415</f>
        <v>18.114999999999998</v>
      </c>
      <c r="L10" t="s">
        <v>22</v>
      </c>
      <c r="R10" t="s">
        <v>5</v>
      </c>
      <c r="S10">
        <f t="shared" si="0"/>
        <v>21.99133333333333</v>
      </c>
    </row>
    <row r="11" spans="1:20" x14ac:dyDescent="0.3">
      <c r="A11">
        <v>15</v>
      </c>
      <c r="B11" t="s">
        <v>5</v>
      </c>
      <c r="C11" t="s">
        <v>22</v>
      </c>
      <c r="D11">
        <v>13</v>
      </c>
      <c r="E11" s="15" t="s">
        <v>401</v>
      </c>
      <c r="F11" t="s">
        <v>185</v>
      </c>
      <c r="J11" t="s">
        <v>29</v>
      </c>
      <c r="K11">
        <v>0</v>
      </c>
      <c r="L11" t="s">
        <v>22</v>
      </c>
      <c r="R11" t="s">
        <v>29</v>
      </c>
      <c r="S11">
        <f t="shared" si="0"/>
        <v>0</v>
      </c>
    </row>
    <row r="12" spans="1:20" x14ac:dyDescent="0.3">
      <c r="B12" t="s">
        <v>4</v>
      </c>
      <c r="C12" t="s">
        <v>22</v>
      </c>
      <c r="D12">
        <v>0.11</v>
      </c>
      <c r="J12" t="s">
        <v>9</v>
      </c>
      <c r="K12">
        <v>17.2</v>
      </c>
      <c r="L12" t="s">
        <v>22</v>
      </c>
      <c r="R12" t="s">
        <v>9</v>
      </c>
      <c r="S12">
        <f t="shared" si="0"/>
        <v>10.733333333333334</v>
      </c>
    </row>
    <row r="13" spans="1:20" x14ac:dyDescent="0.3">
      <c r="B13" t="s">
        <v>49</v>
      </c>
      <c r="C13" t="s">
        <v>22</v>
      </c>
      <c r="D13">
        <f>0.735+0.664</f>
        <v>1.399</v>
      </c>
      <c r="I13" t="s">
        <v>75</v>
      </c>
      <c r="J13" t="s">
        <v>4</v>
      </c>
      <c r="K13">
        <v>0.11</v>
      </c>
      <c r="L13" t="s">
        <v>22</v>
      </c>
      <c r="Q13" t="s">
        <v>186</v>
      </c>
      <c r="S13">
        <f>SUM(S2:S12)</f>
        <v>36.330999999999996</v>
      </c>
    </row>
    <row r="14" spans="1:20" x14ac:dyDescent="0.3">
      <c r="B14" t="s">
        <v>56</v>
      </c>
      <c r="C14" t="s">
        <v>22</v>
      </c>
      <c r="D14">
        <v>0.215</v>
      </c>
      <c r="I14" t="s">
        <v>23</v>
      </c>
      <c r="J14" t="s">
        <v>24</v>
      </c>
      <c r="K14">
        <v>0</v>
      </c>
      <c r="L14" t="s">
        <v>22</v>
      </c>
      <c r="Q14" t="s">
        <v>188</v>
      </c>
      <c r="S14">
        <f>(A3+A11+A18)/3</f>
        <v>15</v>
      </c>
    </row>
    <row r="15" spans="1:20" x14ac:dyDescent="0.3">
      <c r="B15" t="s">
        <v>7</v>
      </c>
      <c r="C15" t="s">
        <v>22</v>
      </c>
      <c r="D15">
        <v>0.23100000000000001</v>
      </c>
      <c r="J15" t="s">
        <v>25</v>
      </c>
      <c r="K15">
        <v>0</v>
      </c>
      <c r="L15" t="s">
        <v>22</v>
      </c>
    </row>
    <row r="16" spans="1:20" x14ac:dyDescent="0.3">
      <c r="B16" t="s">
        <v>5</v>
      </c>
      <c r="C16" t="s">
        <v>22</v>
      </c>
      <c r="D16">
        <f>21.6+0.959</f>
        <v>22.559000000000001</v>
      </c>
      <c r="J16" t="s">
        <v>316</v>
      </c>
      <c r="K16">
        <v>0.23100000000000001</v>
      </c>
      <c r="L16" t="s">
        <v>22</v>
      </c>
    </row>
    <row r="17" spans="1:12" x14ac:dyDescent="0.3">
      <c r="A17" t="s">
        <v>76</v>
      </c>
      <c r="B17" t="s">
        <v>9</v>
      </c>
      <c r="C17" t="s">
        <v>22</v>
      </c>
      <c r="D17">
        <v>15</v>
      </c>
      <c r="E17" t="s">
        <v>12</v>
      </c>
      <c r="J17" t="s">
        <v>26</v>
      </c>
      <c r="K17">
        <v>0</v>
      </c>
      <c r="L17" t="s">
        <v>22</v>
      </c>
    </row>
    <row r="18" spans="1:12" x14ac:dyDescent="0.3">
      <c r="A18">
        <v>15</v>
      </c>
      <c r="B18" t="s">
        <v>5</v>
      </c>
      <c r="C18" t="s">
        <v>22</v>
      </c>
      <c r="D18">
        <v>10.8</v>
      </c>
      <c r="E18" s="15" t="s">
        <v>402</v>
      </c>
      <c r="F18" t="s">
        <v>185</v>
      </c>
      <c r="J18" t="s">
        <v>317</v>
      </c>
      <c r="K18">
        <v>0</v>
      </c>
      <c r="L18" t="s">
        <v>22</v>
      </c>
    </row>
    <row r="19" spans="1:12" x14ac:dyDescent="0.3">
      <c r="B19" t="s">
        <v>49</v>
      </c>
      <c r="C19" t="s">
        <v>22</v>
      </c>
      <c r="D19">
        <f>0.814+1.09</f>
        <v>1.9039999999999999</v>
      </c>
      <c r="J19" t="s">
        <v>27</v>
      </c>
      <c r="K19">
        <v>0</v>
      </c>
      <c r="L19" t="s">
        <v>22</v>
      </c>
    </row>
    <row r="20" spans="1:12" x14ac:dyDescent="0.3">
      <c r="B20" t="s">
        <v>5</v>
      </c>
      <c r="C20" t="s">
        <v>22</v>
      </c>
      <c r="D20">
        <f>0.13+1.37</f>
        <v>1.5</v>
      </c>
      <c r="J20" t="s">
        <v>28</v>
      </c>
      <c r="K20">
        <f>1.399+0.215</f>
        <v>1.6140000000000001</v>
      </c>
      <c r="L20" t="s">
        <v>22</v>
      </c>
    </row>
    <row r="21" spans="1:12" x14ac:dyDescent="0.3">
      <c r="J21" t="s">
        <v>5</v>
      </c>
      <c r="K21">
        <f>13+22.559</f>
        <v>35.558999999999997</v>
      </c>
      <c r="L21" t="s">
        <v>22</v>
      </c>
    </row>
    <row r="22" spans="1:12" x14ac:dyDescent="0.3">
      <c r="J22" t="s">
        <v>29</v>
      </c>
      <c r="K22">
        <v>0</v>
      </c>
      <c r="L22" t="s">
        <v>22</v>
      </c>
    </row>
    <row r="23" spans="1:12" x14ac:dyDescent="0.3">
      <c r="J23" t="s">
        <v>9</v>
      </c>
      <c r="K23">
        <v>0</v>
      </c>
      <c r="L23" t="s">
        <v>22</v>
      </c>
    </row>
    <row r="24" spans="1:12" x14ac:dyDescent="0.3">
      <c r="I24" t="s">
        <v>76</v>
      </c>
      <c r="J24" t="s">
        <v>4</v>
      </c>
      <c r="K24">
        <v>0</v>
      </c>
      <c r="L24" t="s">
        <v>22</v>
      </c>
    </row>
    <row r="25" spans="1:12" x14ac:dyDescent="0.3">
      <c r="I25" t="s">
        <v>23</v>
      </c>
      <c r="J25" t="s">
        <v>24</v>
      </c>
      <c r="K25">
        <v>0</v>
      </c>
      <c r="L25" t="s">
        <v>22</v>
      </c>
    </row>
    <row r="26" spans="1:12" x14ac:dyDescent="0.3">
      <c r="J26" t="s">
        <v>25</v>
      </c>
      <c r="K26">
        <v>0</v>
      </c>
      <c r="L26" t="s">
        <v>22</v>
      </c>
    </row>
    <row r="27" spans="1:12" x14ac:dyDescent="0.3">
      <c r="J27" t="s">
        <v>316</v>
      </c>
      <c r="K27">
        <v>0</v>
      </c>
      <c r="L27" t="s">
        <v>22</v>
      </c>
    </row>
    <row r="28" spans="1:12" x14ac:dyDescent="0.3">
      <c r="J28" t="s">
        <v>26</v>
      </c>
      <c r="K28">
        <v>0</v>
      </c>
      <c r="L28" t="s">
        <v>22</v>
      </c>
    </row>
    <row r="29" spans="1:12" x14ac:dyDescent="0.3">
      <c r="J29" t="s">
        <v>317</v>
      </c>
      <c r="K29">
        <v>0</v>
      </c>
      <c r="L29" t="s">
        <v>22</v>
      </c>
    </row>
    <row r="30" spans="1:12" x14ac:dyDescent="0.3">
      <c r="J30" t="s">
        <v>27</v>
      </c>
      <c r="K30">
        <v>0</v>
      </c>
      <c r="L30" t="s">
        <v>22</v>
      </c>
    </row>
    <row r="31" spans="1:12" x14ac:dyDescent="0.3">
      <c r="J31" t="s">
        <v>28</v>
      </c>
      <c r="K31">
        <v>1.9039999999999999</v>
      </c>
      <c r="L31" t="s">
        <v>22</v>
      </c>
    </row>
    <row r="32" spans="1:12" x14ac:dyDescent="0.3">
      <c r="J32" t="s">
        <v>5</v>
      </c>
      <c r="K32">
        <f>10.8+1.5</f>
        <v>12.3</v>
      </c>
      <c r="L32" t="s">
        <v>22</v>
      </c>
    </row>
    <row r="33" spans="10:12" x14ac:dyDescent="0.3">
      <c r="J33" t="s">
        <v>29</v>
      </c>
      <c r="K33">
        <v>0</v>
      </c>
      <c r="L33" t="s">
        <v>22</v>
      </c>
    </row>
    <row r="34" spans="10:12" x14ac:dyDescent="0.3">
      <c r="J34" t="s">
        <v>9</v>
      </c>
      <c r="K34">
        <v>15</v>
      </c>
      <c r="L34" t="s">
        <v>22</v>
      </c>
    </row>
  </sheetData>
  <hyperlinks>
    <hyperlink ref="E3" r:id="rId1" xr:uid="{25EDDC9F-A889-4A66-AC25-67A2E05FDCD1}"/>
    <hyperlink ref="E11" r:id="rId2" xr:uid="{F86316F6-C47E-4952-95A5-8F7B24F031C7}"/>
    <hyperlink ref="E18" r:id="rId3" xr:uid="{4662A542-7D5F-477D-9A16-63DD4E376216}"/>
  </hyperlinks>
  <pageMargins left="0.7" right="0.7" top="0.75" bottom="0.75" header="0.3" footer="0.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Material Database Guide</vt:lpstr>
      <vt:lpstr>Material compositions overview</vt:lpstr>
      <vt:lpstr>Material categories allocation</vt:lpstr>
      <vt:lpstr>Armchair</vt:lpstr>
      <vt:lpstr>Bar stool</vt:lpstr>
      <vt:lpstr>Big closet</vt:lpstr>
      <vt:lpstr>Office chair</vt:lpstr>
      <vt:lpstr>Chair</vt:lpstr>
      <vt:lpstr>Desk</vt:lpstr>
      <vt:lpstr>Dining table</vt:lpstr>
      <vt:lpstr>Mattress</vt:lpstr>
      <vt:lpstr>Small closet</vt:lpstr>
      <vt:lpstr>(Double) bed</vt:lpstr>
      <vt:lpstr>Side table</vt:lpstr>
      <vt:lpstr>Sofa</vt:lpstr>
      <vt:lpstr>Stool</vt:lpstr>
      <vt:lpstr>Container_ Filing cabinet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Boris van Beijnum</dc:creator>
  <cp:lastModifiedBy>Boris van Beijnum</cp:lastModifiedBy>
  <dcterms:created xsi:type="dcterms:W3CDTF">2021-01-08T09:58:04Z</dcterms:created>
  <dcterms:modified xsi:type="dcterms:W3CDTF">2021-07-02T09:02:35Z</dcterms:modified>
</cp:coreProperties>
</file>