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wageningenur4-my.sharepoint.com/personal/yong_jin_wur_nl/Documents/Experimental plan/1_PHA experiments/5-Jeff/Paper writing materials/"/>
    </mc:Choice>
  </mc:AlternateContent>
  <xr:revisionPtr revIDLastSave="4090" documentId="11_F25DC773A252ABDACC104828915D5AE05BDE58EA" xr6:coauthVersionLast="47" xr6:coauthVersionMax="47" xr10:uidLastSave="{F21E2699-0F82-4DA1-AC9A-53AD30A22C64}"/>
  <bookViews>
    <workbookView xWindow="-120" yWindow="-120" windowWidth="29040" windowHeight="15720" activeTab="6" xr2:uid="{00000000-000D-0000-FFFF-FFFF00000000}"/>
  </bookViews>
  <sheets>
    <sheet name="Constants" sheetId="2" r:id="rId1"/>
    <sheet name="Experimental plan" sheetId="3" r:id="rId2"/>
    <sheet name="lab journal" sheetId="4" r:id="rId3"/>
    <sheet name="Influent Concentration" sheetId="1" r:id="rId4"/>
    <sheet name="Effluent Concentration" sheetId="10" r:id="rId5"/>
    <sheet name="Average Concentration" sheetId="13" r:id="rId6"/>
    <sheet name="HRT" sheetId="6" r:id="rId7"/>
    <sheet name="Gas" sheetId="7" r:id="rId8"/>
    <sheet name="Productivities" sheetId="8" r:id="rId9"/>
    <sheet name="Balances" sheetId="9" r:id="rId10"/>
    <sheet name="Solids consumption" sheetId="11" r:id="rId11"/>
    <sheet name="Full consumption of PHA" sheetId="15"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8" i="13" l="1"/>
  <c r="AV15" i="8" l="1"/>
  <c r="AV14" i="8"/>
  <c r="AO13" i="8"/>
  <c r="AO12" i="8"/>
  <c r="B9" i="11"/>
  <c r="D12" i="11"/>
  <c r="AV12" i="8"/>
  <c r="AV13" i="8"/>
  <c r="AV11" i="8"/>
  <c r="L9" i="15"/>
  <c r="K3" i="15"/>
  <c r="J9" i="15"/>
  <c r="H10" i="15"/>
  <c r="H9" i="15"/>
  <c r="F10" i="15"/>
  <c r="F9" i="15"/>
  <c r="H3" i="15"/>
  <c r="D4" i="15" l="1"/>
  <c r="D3" i="15"/>
  <c r="I12" i="11"/>
  <c r="I11" i="11"/>
  <c r="O51" i="8" l="1"/>
  <c r="X51" i="8" s="1"/>
  <c r="AT27" i="8" s="1"/>
  <c r="U17" i="13"/>
  <c r="Q5" i="2"/>
  <c r="P5" i="2"/>
  <c r="K7" i="2"/>
  <c r="AN32" i="8"/>
  <c r="Q14" i="13"/>
  <c r="K10" i="2"/>
  <c r="M7" i="2"/>
  <c r="AO34" i="8"/>
  <c r="AN34" i="8"/>
  <c r="AN40" i="8"/>
  <c r="AN37" i="8"/>
  <c r="AN36" i="8"/>
  <c r="AN35" i="8"/>
  <c r="AN33" i="8"/>
  <c r="AN31" i="8"/>
  <c r="AN30" i="8"/>
  <c r="AN29" i="8"/>
  <c r="AN28" i="8"/>
  <c r="AN27" i="8"/>
  <c r="AE5" i="8"/>
  <c r="AE6" i="8"/>
  <c r="AE7" i="8"/>
  <c r="AE8" i="8"/>
  <c r="AE9" i="8"/>
  <c r="AE10" i="8"/>
  <c r="AE11" i="8"/>
  <c r="AE4" i="8"/>
  <c r="AH18" i="7"/>
  <c r="AG18" i="7"/>
  <c r="AH17" i="7"/>
  <c r="AG17" i="7"/>
  <c r="AH16" i="7"/>
  <c r="AG16" i="7"/>
  <c r="AH15" i="7"/>
  <c r="AG15" i="7"/>
  <c r="AF18" i="7"/>
  <c r="AE18" i="7"/>
  <c r="AF17" i="7"/>
  <c r="AE17" i="7"/>
  <c r="AF16" i="7"/>
  <c r="AE16" i="7"/>
  <c r="AF15" i="7"/>
  <c r="AE15" i="7"/>
  <c r="AD18" i="7"/>
  <c r="AC18" i="7"/>
  <c r="AD17" i="7"/>
  <c r="AC17" i="7"/>
  <c r="AD16" i="7"/>
  <c r="AC16" i="7"/>
  <c r="AD15" i="7"/>
  <c r="AC15" i="7"/>
  <c r="AB18" i="7"/>
  <c r="AA18" i="7"/>
  <c r="AB17" i="7"/>
  <c r="AA17" i="7"/>
  <c r="AB16" i="7"/>
  <c r="AA16" i="7"/>
  <c r="AB15" i="7"/>
  <c r="AA15" i="7"/>
  <c r="X24" i="13"/>
  <c r="W24" i="13"/>
  <c r="X23" i="13"/>
  <c r="W23" i="13"/>
  <c r="X22" i="13"/>
  <c r="W22" i="13"/>
  <c r="X21" i="13"/>
  <c r="W21" i="13"/>
  <c r="X20" i="13"/>
  <c r="W20" i="13"/>
  <c r="X19" i="13"/>
  <c r="W19" i="13"/>
  <c r="X18" i="13"/>
  <c r="W18" i="13"/>
  <c r="X17" i="13"/>
  <c r="W17" i="13"/>
  <c r="X16" i="13"/>
  <c r="W16" i="13"/>
  <c r="X15" i="13"/>
  <c r="W15" i="13"/>
  <c r="X14" i="13"/>
  <c r="W14" i="13"/>
  <c r="V24" i="13"/>
  <c r="U24" i="13"/>
  <c r="V23" i="13"/>
  <c r="U23" i="13"/>
  <c r="V22" i="13"/>
  <c r="U22" i="13"/>
  <c r="V21" i="13"/>
  <c r="U21" i="13"/>
  <c r="V20" i="13"/>
  <c r="U20" i="13"/>
  <c r="V19" i="13"/>
  <c r="U19" i="13"/>
  <c r="V18" i="13"/>
  <c r="U18" i="13"/>
  <c r="V17" i="13"/>
  <c r="V16" i="13"/>
  <c r="U16" i="13"/>
  <c r="V15" i="13"/>
  <c r="U15" i="13"/>
  <c r="V14" i="13"/>
  <c r="U14" i="13"/>
  <c r="T24" i="13"/>
  <c r="S24" i="13"/>
  <c r="T23" i="13"/>
  <c r="S23" i="13"/>
  <c r="T22" i="13"/>
  <c r="S22" i="13"/>
  <c r="T21" i="13"/>
  <c r="S21" i="13"/>
  <c r="T20" i="13"/>
  <c r="S20" i="13"/>
  <c r="T19" i="13"/>
  <c r="S19" i="13"/>
  <c r="T18" i="13"/>
  <c r="S18" i="13"/>
  <c r="T17" i="13"/>
  <c r="S17" i="13"/>
  <c r="T16" i="13"/>
  <c r="S16" i="13"/>
  <c r="T15" i="13"/>
  <c r="S15" i="13"/>
  <c r="T14" i="13"/>
  <c r="S14" i="13"/>
  <c r="R24" i="13"/>
  <c r="Q24" i="13"/>
  <c r="R23" i="13"/>
  <c r="Q23" i="13"/>
  <c r="R22" i="13"/>
  <c r="Q22" i="13"/>
  <c r="R21" i="13"/>
  <c r="Q21" i="13"/>
  <c r="R20" i="13"/>
  <c r="Q20" i="13"/>
  <c r="R19" i="13"/>
  <c r="Q19" i="13"/>
  <c r="Q18" i="13"/>
  <c r="R17" i="13"/>
  <c r="Q17" i="13"/>
  <c r="R16" i="13"/>
  <c r="Q16" i="13"/>
  <c r="R15" i="13"/>
  <c r="Q15" i="13"/>
  <c r="R14" i="13"/>
  <c r="L5" i="13"/>
  <c r="L6" i="13"/>
  <c r="L7" i="13"/>
  <c r="L8" i="13"/>
  <c r="L9" i="13"/>
  <c r="L10" i="13"/>
  <c r="L11" i="13"/>
  <c r="L12" i="13"/>
  <c r="L13" i="13"/>
  <c r="L14" i="13"/>
  <c r="L15" i="13"/>
  <c r="L16" i="13"/>
  <c r="L17" i="13"/>
  <c r="L18" i="13"/>
  <c r="L19" i="13"/>
  <c r="L20" i="13"/>
  <c r="L21" i="13"/>
  <c r="L22" i="13"/>
  <c r="L23" i="13"/>
  <c r="L24" i="13"/>
  <c r="L25" i="13"/>
  <c r="L26" i="13"/>
  <c r="L27" i="13"/>
  <c r="L28" i="13"/>
  <c r="L29" i="13"/>
  <c r="L30" i="13"/>
  <c r="L31" i="13"/>
  <c r="L32" i="13"/>
  <c r="L33" i="13"/>
  <c r="L34" i="13"/>
  <c r="L35" i="13"/>
  <c r="L36" i="13"/>
  <c r="L37" i="13"/>
  <c r="L38" i="13"/>
  <c r="L39" i="13"/>
  <c r="L40" i="13"/>
  <c r="L41" i="13"/>
  <c r="L42" i="13"/>
  <c r="L43" i="13"/>
  <c r="L44" i="13"/>
  <c r="L45" i="13"/>
  <c r="L46" i="13"/>
  <c r="L47" i="13"/>
  <c r="L48" i="13"/>
  <c r="L49" i="13"/>
  <c r="L50" i="13"/>
  <c r="L51" i="13"/>
  <c r="L52" i="13"/>
  <c r="L53" i="13"/>
  <c r="L54" i="13"/>
  <c r="L55" i="13"/>
  <c r="L56" i="13"/>
  <c r="L57" i="13"/>
  <c r="L58" i="13"/>
  <c r="L59" i="13"/>
  <c r="L60" i="13"/>
  <c r="L61" i="13"/>
  <c r="L62" i="13"/>
  <c r="L63" i="13"/>
  <c r="L64" i="13"/>
  <c r="L65" i="13"/>
  <c r="L66" i="13"/>
  <c r="L67" i="13"/>
  <c r="L68" i="13"/>
  <c r="L69" i="13"/>
  <c r="L70" i="13"/>
  <c r="L71" i="13"/>
  <c r="L72" i="13"/>
  <c r="L73" i="13"/>
  <c r="L74" i="13"/>
  <c r="L75" i="13"/>
  <c r="L76" i="13"/>
  <c r="L77" i="13"/>
  <c r="L78" i="13"/>
  <c r="L79" i="13"/>
  <c r="L80" i="13"/>
  <c r="L81" i="13"/>
  <c r="L82" i="13"/>
  <c r="L83" i="13"/>
  <c r="L84" i="13"/>
  <c r="L85" i="13"/>
  <c r="L86" i="13"/>
  <c r="L87" i="13"/>
  <c r="L88" i="13"/>
  <c r="L89" i="13"/>
  <c r="L90" i="13"/>
  <c r="L91" i="13"/>
  <c r="L92" i="13"/>
  <c r="L93" i="13"/>
  <c r="L4" i="13"/>
  <c r="K5" i="13"/>
  <c r="K6" i="13"/>
  <c r="K7" i="13"/>
  <c r="K8" i="13"/>
  <c r="K9" i="13"/>
  <c r="K10" i="13"/>
  <c r="K11" i="13"/>
  <c r="K12" i="13"/>
  <c r="K13" i="13"/>
  <c r="K14" i="13"/>
  <c r="K15" i="13"/>
  <c r="K16" i="13"/>
  <c r="K17" i="13"/>
  <c r="K18" i="13"/>
  <c r="K19" i="13"/>
  <c r="K20" i="13"/>
  <c r="K21" i="13"/>
  <c r="K22" i="13"/>
  <c r="K23" i="13"/>
  <c r="K24" i="13"/>
  <c r="K25" i="13"/>
  <c r="K26" i="13"/>
  <c r="K27" i="13"/>
  <c r="K28" i="13"/>
  <c r="K29" i="13"/>
  <c r="K30" i="13"/>
  <c r="K31" i="13"/>
  <c r="K32" i="13"/>
  <c r="K33" i="13"/>
  <c r="K34" i="13"/>
  <c r="K35" i="13"/>
  <c r="K36" i="13"/>
  <c r="K37" i="13"/>
  <c r="K38" i="13"/>
  <c r="K39" i="13"/>
  <c r="K40" i="13"/>
  <c r="K41" i="13"/>
  <c r="K42" i="13"/>
  <c r="K43" i="13"/>
  <c r="K44" i="13"/>
  <c r="K45" i="13"/>
  <c r="K46" i="13"/>
  <c r="K47" i="13"/>
  <c r="K48" i="13"/>
  <c r="K49" i="13"/>
  <c r="K50" i="13"/>
  <c r="K51" i="13"/>
  <c r="K52" i="13"/>
  <c r="K53" i="13"/>
  <c r="K54" i="13"/>
  <c r="K55" i="13"/>
  <c r="K56" i="13"/>
  <c r="K57" i="13"/>
  <c r="K58" i="13"/>
  <c r="K59" i="13"/>
  <c r="K60" i="13"/>
  <c r="K61" i="13"/>
  <c r="K62" i="13"/>
  <c r="K63" i="13"/>
  <c r="K64" i="13"/>
  <c r="K65" i="13"/>
  <c r="K66" i="13"/>
  <c r="K67" i="13"/>
  <c r="K68" i="13"/>
  <c r="K69" i="13"/>
  <c r="K70" i="13"/>
  <c r="K71" i="13"/>
  <c r="K72" i="13"/>
  <c r="K73" i="13"/>
  <c r="K74" i="13"/>
  <c r="K75" i="13"/>
  <c r="K76" i="13"/>
  <c r="K77" i="13"/>
  <c r="K78" i="13"/>
  <c r="K79" i="13"/>
  <c r="K80" i="13"/>
  <c r="K81" i="13"/>
  <c r="K82" i="13"/>
  <c r="K83" i="13"/>
  <c r="K84" i="13"/>
  <c r="K85" i="13"/>
  <c r="K86" i="13"/>
  <c r="K87" i="13"/>
  <c r="K88" i="13"/>
  <c r="K89" i="13"/>
  <c r="K90" i="13"/>
  <c r="K91" i="13"/>
  <c r="K92" i="13"/>
  <c r="K93" i="13"/>
  <c r="K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4" i="13"/>
  <c r="I5" i="13"/>
  <c r="I6" i="13"/>
  <c r="I7" i="13"/>
  <c r="I8" i="13"/>
  <c r="I9" i="13"/>
  <c r="I10" i="13"/>
  <c r="I11" i="13"/>
  <c r="I12" i="13"/>
  <c r="I13" i="13"/>
  <c r="I14" i="13"/>
  <c r="I15" i="13"/>
  <c r="I16" i="13"/>
  <c r="I17" i="13"/>
  <c r="I18" i="13"/>
  <c r="I19" i="13"/>
  <c r="I20" i="13"/>
  <c r="I21" i="13"/>
  <c r="I22" i="13"/>
  <c r="I23" i="13"/>
  <c r="I24" i="13"/>
  <c r="I25" i="13"/>
  <c r="I26" i="13"/>
  <c r="I27" i="13"/>
  <c r="I28" i="13"/>
  <c r="I29" i="13"/>
  <c r="I30" i="13"/>
  <c r="I31" i="13"/>
  <c r="I32" i="13"/>
  <c r="I33" i="13"/>
  <c r="I34" i="13"/>
  <c r="I35" i="13"/>
  <c r="I36" i="13"/>
  <c r="I37" i="13"/>
  <c r="I38" i="13"/>
  <c r="I39" i="13"/>
  <c r="I40" i="13"/>
  <c r="I41" i="13"/>
  <c r="I42" i="13"/>
  <c r="I43" i="13"/>
  <c r="I44" i="13"/>
  <c r="I45" i="13"/>
  <c r="I46" i="13"/>
  <c r="I47" i="13"/>
  <c r="I48" i="13"/>
  <c r="I49" i="13"/>
  <c r="I50" i="13"/>
  <c r="I51" i="13"/>
  <c r="I52" i="13"/>
  <c r="I53" i="13"/>
  <c r="I54" i="13"/>
  <c r="I55" i="13"/>
  <c r="I56" i="13"/>
  <c r="I57" i="13"/>
  <c r="I58" i="13"/>
  <c r="I59" i="13"/>
  <c r="I60" i="13"/>
  <c r="I61" i="13"/>
  <c r="I62" i="13"/>
  <c r="I63" i="13"/>
  <c r="I64" i="13"/>
  <c r="I65" i="13"/>
  <c r="I66" i="13"/>
  <c r="I67" i="13"/>
  <c r="I68" i="13"/>
  <c r="I69" i="13"/>
  <c r="I70" i="13"/>
  <c r="I71" i="13"/>
  <c r="I72" i="13"/>
  <c r="I73" i="13"/>
  <c r="I74" i="13"/>
  <c r="I75" i="13"/>
  <c r="I76" i="13"/>
  <c r="I77" i="13"/>
  <c r="I78" i="13"/>
  <c r="I79" i="13"/>
  <c r="I80" i="13"/>
  <c r="I81" i="13"/>
  <c r="I82" i="13"/>
  <c r="I83" i="13"/>
  <c r="I84" i="13"/>
  <c r="I85" i="13"/>
  <c r="I86" i="13"/>
  <c r="I87" i="13"/>
  <c r="I88" i="13"/>
  <c r="I89" i="13"/>
  <c r="I90" i="13"/>
  <c r="I91" i="13"/>
  <c r="I92" i="13"/>
  <c r="I93" i="13"/>
  <c r="I4" i="13"/>
  <c r="H5" i="13"/>
  <c r="H6" i="13"/>
  <c r="H7" i="13"/>
  <c r="H8" i="13"/>
  <c r="H9" i="13"/>
  <c r="H10" i="13"/>
  <c r="H11" i="13"/>
  <c r="H12"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89" i="13"/>
  <c r="H90" i="13"/>
  <c r="H91" i="13"/>
  <c r="H92" i="13"/>
  <c r="H93" i="13"/>
  <c r="H4" i="13"/>
  <c r="G5" i="13"/>
  <c r="G6" i="13"/>
  <c r="G7" i="13"/>
  <c r="G8" i="13"/>
  <c r="G9" i="13"/>
  <c r="G10" i="13"/>
  <c r="G11" i="13"/>
  <c r="G12" i="13"/>
  <c r="G13" i="13"/>
  <c r="G14" i="13"/>
  <c r="G15" i="13"/>
  <c r="G16" i="13"/>
  <c r="G17" i="13"/>
  <c r="G18" i="13"/>
  <c r="G19" i="13"/>
  <c r="G20" i="13"/>
  <c r="G21" i="13"/>
  <c r="G22" i="13"/>
  <c r="G23" i="13"/>
  <c r="G24" i="13"/>
  <c r="G25" i="13"/>
  <c r="G26" i="13"/>
  <c r="G27" i="13"/>
  <c r="G28" i="13"/>
  <c r="G29" i="13"/>
  <c r="G30" i="13"/>
  <c r="G31" i="13"/>
  <c r="G32" i="13"/>
  <c r="G33" i="13"/>
  <c r="G34" i="13"/>
  <c r="G35" i="13"/>
  <c r="G36" i="13"/>
  <c r="G37" i="13"/>
  <c r="G38" i="13"/>
  <c r="G39" i="13"/>
  <c r="G40" i="13"/>
  <c r="G41" i="13"/>
  <c r="G42" i="13"/>
  <c r="G43" i="13"/>
  <c r="G44" i="13"/>
  <c r="G45" i="13"/>
  <c r="G46" i="13"/>
  <c r="G47" i="13"/>
  <c r="G48" i="13"/>
  <c r="G49" i="13"/>
  <c r="G50" i="13"/>
  <c r="G51" i="13"/>
  <c r="G52" i="13"/>
  <c r="G53" i="13"/>
  <c r="G54" i="13"/>
  <c r="G55" i="13"/>
  <c r="G56" i="13"/>
  <c r="G57" i="13"/>
  <c r="G58" i="13"/>
  <c r="G59" i="13"/>
  <c r="G60" i="13"/>
  <c r="G61" i="13"/>
  <c r="G62" i="13"/>
  <c r="G63" i="13"/>
  <c r="G64" i="13"/>
  <c r="G65" i="13"/>
  <c r="G66" i="13"/>
  <c r="G67" i="13"/>
  <c r="G68" i="13"/>
  <c r="G69" i="13"/>
  <c r="G70" i="13"/>
  <c r="G71" i="13"/>
  <c r="G72" i="13"/>
  <c r="G73" i="13"/>
  <c r="G74" i="13"/>
  <c r="G75" i="13"/>
  <c r="G76" i="13"/>
  <c r="G77" i="13"/>
  <c r="G78" i="13"/>
  <c r="G79" i="13"/>
  <c r="G80" i="13"/>
  <c r="G81" i="13"/>
  <c r="G82" i="13"/>
  <c r="G83" i="13"/>
  <c r="G84" i="13"/>
  <c r="G85" i="13"/>
  <c r="G86" i="13"/>
  <c r="G87" i="13"/>
  <c r="G88" i="13"/>
  <c r="G89" i="13"/>
  <c r="G90" i="13"/>
  <c r="G91" i="13"/>
  <c r="G92" i="13"/>
  <c r="G93" i="13"/>
  <c r="G4" i="13"/>
  <c r="F5" i="13"/>
  <c r="F6" i="13"/>
  <c r="F7" i="13"/>
  <c r="F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4" i="13"/>
  <c r="E5" i="13"/>
  <c r="E6" i="13"/>
  <c r="E7" i="13"/>
  <c r="E8" i="13"/>
  <c r="E9" i="13"/>
  <c r="E10" i="13"/>
  <c r="E11" i="13"/>
  <c r="E12" i="13"/>
  <c r="E13" i="13"/>
  <c r="E14" i="13"/>
  <c r="E15" i="13"/>
  <c r="E16" i="13"/>
  <c r="E17" i="13"/>
  <c r="E18" i="13"/>
  <c r="E19" i="13"/>
  <c r="E20" i="13"/>
  <c r="E21" i="13"/>
  <c r="E22" i="13"/>
  <c r="E23" i="13"/>
  <c r="E24" i="13"/>
  <c r="E25" i="13"/>
  <c r="E26" i="13"/>
  <c r="E27" i="13"/>
  <c r="E28" i="13"/>
  <c r="E29" i="13"/>
  <c r="E30" i="13"/>
  <c r="E31" i="13"/>
  <c r="E32" i="13"/>
  <c r="E33" i="13"/>
  <c r="E34" i="13"/>
  <c r="E35" i="13"/>
  <c r="E36" i="13"/>
  <c r="E37" i="13"/>
  <c r="E38" i="13"/>
  <c r="E39" i="13"/>
  <c r="E40" i="13"/>
  <c r="E41" i="13"/>
  <c r="E42" i="13"/>
  <c r="E43" i="13"/>
  <c r="E44" i="13"/>
  <c r="E45" i="13"/>
  <c r="E46" i="13"/>
  <c r="E47" i="13"/>
  <c r="E48" i="13"/>
  <c r="E49" i="13"/>
  <c r="E50" i="13"/>
  <c r="E51" i="13"/>
  <c r="E52" i="13"/>
  <c r="E53" i="13"/>
  <c r="E54" i="13"/>
  <c r="E55" i="13"/>
  <c r="E56" i="13"/>
  <c r="E57" i="13"/>
  <c r="E58" i="13"/>
  <c r="E59" i="13"/>
  <c r="E60" i="13"/>
  <c r="E61" i="13"/>
  <c r="E62" i="13"/>
  <c r="E63" i="13"/>
  <c r="E64" i="13"/>
  <c r="E65" i="13"/>
  <c r="E66" i="13"/>
  <c r="E67" i="13"/>
  <c r="E68" i="13"/>
  <c r="E69" i="13"/>
  <c r="E70" i="13"/>
  <c r="E71" i="13"/>
  <c r="E72" i="13"/>
  <c r="E73" i="13"/>
  <c r="E74" i="13"/>
  <c r="E75" i="13"/>
  <c r="E76" i="13"/>
  <c r="E77" i="13"/>
  <c r="E78" i="13"/>
  <c r="E79" i="13"/>
  <c r="E80" i="13"/>
  <c r="E81" i="13"/>
  <c r="E82" i="13"/>
  <c r="E83" i="13"/>
  <c r="E84" i="13"/>
  <c r="E85" i="13"/>
  <c r="E86" i="13"/>
  <c r="E87" i="13"/>
  <c r="E88" i="13"/>
  <c r="E89" i="13"/>
  <c r="E90" i="13"/>
  <c r="E91" i="13"/>
  <c r="E92" i="13"/>
  <c r="E93" i="13"/>
  <c r="E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D41" i="13"/>
  <c r="D42" i="13"/>
  <c r="D43" i="13"/>
  <c r="D44" i="13"/>
  <c r="D45" i="13"/>
  <c r="D46" i="13"/>
  <c r="D47" i="13"/>
  <c r="D48" i="13"/>
  <c r="D49" i="13"/>
  <c r="D50" i="13"/>
  <c r="D51" i="13"/>
  <c r="D52" i="13"/>
  <c r="D53" i="13"/>
  <c r="D54" i="13"/>
  <c r="D55" i="13"/>
  <c r="D56" i="13"/>
  <c r="D57" i="13"/>
  <c r="D58" i="13"/>
  <c r="D59" i="13"/>
  <c r="D60" i="13"/>
  <c r="D61" i="13"/>
  <c r="D62" i="13"/>
  <c r="D63" i="13"/>
  <c r="D64" i="13"/>
  <c r="D65" i="13"/>
  <c r="D66" i="13"/>
  <c r="D67" i="13"/>
  <c r="D68" i="13"/>
  <c r="D69" i="13"/>
  <c r="D70" i="13"/>
  <c r="D71" i="13"/>
  <c r="D72" i="13"/>
  <c r="D73" i="13"/>
  <c r="D74" i="13"/>
  <c r="D75" i="13"/>
  <c r="D76" i="13"/>
  <c r="D77" i="13"/>
  <c r="D78" i="13"/>
  <c r="D79" i="13"/>
  <c r="D80" i="13"/>
  <c r="D81" i="13"/>
  <c r="D82" i="13"/>
  <c r="D83" i="13"/>
  <c r="D84" i="13"/>
  <c r="D85" i="13"/>
  <c r="D86" i="13"/>
  <c r="D87" i="13"/>
  <c r="D88" i="13"/>
  <c r="D89" i="13"/>
  <c r="D90" i="13"/>
  <c r="D91" i="13"/>
  <c r="D92" i="13"/>
  <c r="D93" i="13"/>
  <c r="D4" i="13"/>
  <c r="C5" i="13"/>
  <c r="C6" i="13"/>
  <c r="C7" i="13"/>
  <c r="C8" i="13"/>
  <c r="C9" i="13"/>
  <c r="C10" i="13"/>
  <c r="C11" i="13"/>
  <c r="C12" i="13"/>
  <c r="C13" i="13"/>
  <c r="C14" i="13"/>
  <c r="C15" i="13"/>
  <c r="C16" i="13"/>
  <c r="C17" i="13"/>
  <c r="C18" i="13"/>
  <c r="C19" i="13"/>
  <c r="C20" i="13"/>
  <c r="C21" i="13"/>
  <c r="C22" i="13"/>
  <c r="C23" i="13"/>
  <c r="C24" i="13"/>
  <c r="C25" i="13"/>
  <c r="C26" i="13"/>
  <c r="C27" i="13"/>
  <c r="C28" i="13"/>
  <c r="C29" i="13"/>
  <c r="C30" i="13"/>
  <c r="C31" i="13"/>
  <c r="C32" i="13"/>
  <c r="C33" i="13"/>
  <c r="C34" i="13"/>
  <c r="C35" i="13"/>
  <c r="C36" i="13"/>
  <c r="C37" i="13"/>
  <c r="C38" i="13"/>
  <c r="C39" i="13"/>
  <c r="C40" i="13"/>
  <c r="C41" i="13"/>
  <c r="C42" i="13"/>
  <c r="C43" i="13"/>
  <c r="C44" i="13"/>
  <c r="C45" i="13"/>
  <c r="C46" i="13"/>
  <c r="C47" i="13"/>
  <c r="C48" i="13"/>
  <c r="C49" i="13"/>
  <c r="C50" i="13"/>
  <c r="C51" i="13"/>
  <c r="C52" i="13"/>
  <c r="C53" i="13"/>
  <c r="C54" i="13"/>
  <c r="C55" i="13"/>
  <c r="C56" i="13"/>
  <c r="C57" i="13"/>
  <c r="C58" i="13"/>
  <c r="C59" i="13"/>
  <c r="C60" i="13"/>
  <c r="C61" i="13"/>
  <c r="C62" i="13"/>
  <c r="C63" i="13"/>
  <c r="C64" i="13"/>
  <c r="C65" i="13"/>
  <c r="C66" i="13"/>
  <c r="C67" i="13"/>
  <c r="C68" i="13"/>
  <c r="C69" i="13"/>
  <c r="C70" i="13"/>
  <c r="C71" i="13"/>
  <c r="C72" i="13"/>
  <c r="C73" i="13"/>
  <c r="C74" i="13"/>
  <c r="C75" i="13"/>
  <c r="C76" i="13"/>
  <c r="C77" i="13"/>
  <c r="C78" i="13"/>
  <c r="C79" i="13"/>
  <c r="C80" i="13"/>
  <c r="C81" i="13"/>
  <c r="C82" i="13"/>
  <c r="C83" i="13"/>
  <c r="C84" i="13"/>
  <c r="C85" i="13"/>
  <c r="C86" i="13"/>
  <c r="C87" i="13"/>
  <c r="C88" i="13"/>
  <c r="C89" i="13"/>
  <c r="C90" i="13"/>
  <c r="C91" i="13"/>
  <c r="C92" i="13"/>
  <c r="C93" i="13"/>
  <c r="C4" i="13"/>
  <c r="B5" i="13"/>
  <c r="B6" i="13"/>
  <c r="B7" i="13"/>
  <c r="B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45" i="13"/>
  <c r="B46" i="13"/>
  <c r="B47" i="13"/>
  <c r="B48" i="13"/>
  <c r="B49" i="13"/>
  <c r="B50" i="13"/>
  <c r="B51" i="13"/>
  <c r="B52" i="13"/>
  <c r="B53" i="13"/>
  <c r="B54" i="13"/>
  <c r="B55" i="13"/>
  <c r="B56" i="13"/>
  <c r="B57" i="13"/>
  <c r="B58" i="13"/>
  <c r="B59" i="13"/>
  <c r="B60" i="13"/>
  <c r="B61" i="13"/>
  <c r="B62" i="13"/>
  <c r="B63" i="13"/>
  <c r="B64" i="13"/>
  <c r="B65" i="13"/>
  <c r="B66"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4" i="13"/>
  <c r="A6" i="13"/>
  <c r="A7" i="13"/>
  <c r="A8" i="13"/>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5" i="13"/>
  <c r="A4" i="13"/>
  <c r="R21" i="7"/>
  <c r="V12" i="7"/>
  <c r="I16" i="11"/>
  <c r="R17" i="11"/>
  <c r="I18" i="11"/>
  <c r="O18" i="11"/>
  <c r="R19" i="11"/>
  <c r="O20" i="11" s="1"/>
  <c r="R23" i="11"/>
  <c r="O24" i="11" s="1"/>
  <c r="R25" i="11"/>
  <c r="O26" i="11"/>
  <c r="O29" i="11"/>
  <c r="O30" i="11" l="1"/>
  <c r="I13" i="11" l="1"/>
  <c r="BC89" i="10"/>
  <c r="BC90" i="10"/>
  <c r="BC91" i="10"/>
  <c r="BC92" i="10"/>
  <c r="BC93" i="10"/>
  <c r="BC94" i="10"/>
  <c r="BB89" i="10"/>
  <c r="BB90" i="10"/>
  <c r="BB91" i="10"/>
  <c r="BB92" i="10"/>
  <c r="BB93" i="10"/>
  <c r="BB94" i="10"/>
  <c r="AZ88" i="10"/>
  <c r="AZ89" i="10"/>
  <c r="AZ90" i="10"/>
  <c r="AZ91" i="10"/>
  <c r="AZ92" i="10"/>
  <c r="AZ93" i="10"/>
  <c r="AZ94" i="10"/>
  <c r="AR85" i="10"/>
  <c r="AR86" i="10"/>
  <c r="AR87" i="10"/>
  <c r="AR88" i="10"/>
  <c r="AR89" i="10"/>
  <c r="AR90" i="10"/>
  <c r="AR91" i="10"/>
  <c r="AR92" i="10"/>
  <c r="AR93" i="10"/>
  <c r="AR94" i="10"/>
  <c r="AQ87" i="10"/>
  <c r="AQ88" i="10"/>
  <c r="AQ89" i="10"/>
  <c r="AQ90" i="10"/>
  <c r="AQ91" i="10"/>
  <c r="AQ92" i="10"/>
  <c r="AQ93" i="10"/>
  <c r="AQ94" i="10"/>
  <c r="AO86" i="10"/>
  <c r="AO87" i="10"/>
  <c r="AO88" i="10"/>
  <c r="AO89" i="10"/>
  <c r="AO90" i="10"/>
  <c r="AO91" i="10"/>
  <c r="AO92" i="10"/>
  <c r="AO93" i="10"/>
  <c r="AO94" i="10"/>
  <c r="AG86" i="10"/>
  <c r="AG87" i="10"/>
  <c r="AG88" i="10"/>
  <c r="AG89" i="10"/>
  <c r="AG90" i="10"/>
  <c r="AG91" i="10"/>
  <c r="AG92" i="10"/>
  <c r="AG93" i="10"/>
  <c r="AG94" i="10"/>
  <c r="AF86" i="10"/>
  <c r="AF87" i="10"/>
  <c r="AF88" i="10"/>
  <c r="AF89" i="10"/>
  <c r="AF90" i="10"/>
  <c r="AF91" i="10"/>
  <c r="AF92" i="10"/>
  <c r="AF93" i="10"/>
  <c r="AF94" i="10"/>
  <c r="AD86" i="10"/>
  <c r="AD87" i="10"/>
  <c r="AD88" i="10"/>
  <c r="AD89" i="10"/>
  <c r="AD90" i="10"/>
  <c r="AD91" i="10"/>
  <c r="AD92" i="10"/>
  <c r="AD93" i="10"/>
  <c r="AD94" i="10"/>
  <c r="V82" i="10"/>
  <c r="V83" i="10"/>
  <c r="V84" i="10"/>
  <c r="V85" i="10"/>
  <c r="V86" i="10"/>
  <c r="V87" i="10"/>
  <c r="V88" i="10"/>
  <c r="V89" i="10"/>
  <c r="V90" i="10"/>
  <c r="V91" i="10"/>
  <c r="V92" i="10"/>
  <c r="V93" i="10"/>
  <c r="V94" i="10"/>
  <c r="U81" i="10"/>
  <c r="U82" i="10"/>
  <c r="U83" i="10"/>
  <c r="U84" i="10"/>
  <c r="U85" i="10"/>
  <c r="U86" i="10"/>
  <c r="U87" i="10"/>
  <c r="U88" i="10"/>
  <c r="U89" i="10"/>
  <c r="U90" i="10"/>
  <c r="U91" i="10"/>
  <c r="U92" i="10"/>
  <c r="U93" i="10"/>
  <c r="U94" i="10"/>
  <c r="T83" i="10"/>
  <c r="T84" i="10"/>
  <c r="T85" i="10"/>
  <c r="T86" i="10"/>
  <c r="T87" i="10"/>
  <c r="T88" i="10"/>
  <c r="T89" i="10"/>
  <c r="T90" i="10"/>
  <c r="T91" i="10"/>
  <c r="T92" i="10"/>
  <c r="T93" i="10"/>
  <c r="T94" i="10"/>
  <c r="S85" i="10"/>
  <c r="S86" i="10"/>
  <c r="S87" i="10"/>
  <c r="S88" i="10"/>
  <c r="S89" i="10"/>
  <c r="S90" i="10"/>
  <c r="S91" i="10"/>
  <c r="S92" i="10"/>
  <c r="S93" i="10"/>
  <c r="S94" i="10"/>
  <c r="AB94" i="10"/>
  <c r="Y91" i="10"/>
  <c r="Y92" i="10"/>
  <c r="Y93" i="10"/>
  <c r="Y94" i="10"/>
  <c r="X92" i="10"/>
  <c r="X93" i="10"/>
  <c r="X94" i="10"/>
  <c r="W91" i="10"/>
  <c r="W92" i="10"/>
  <c r="W93" i="10"/>
  <c r="W94" i="10"/>
  <c r="R91" i="10"/>
  <c r="R92" i="10"/>
  <c r="R93" i="10"/>
  <c r="R94" i="10"/>
  <c r="Q92" i="10"/>
  <c r="Q93" i="10"/>
  <c r="Q94" i="10"/>
  <c r="P91" i="10"/>
  <c r="P92" i="10"/>
  <c r="P93" i="10"/>
  <c r="P94" i="10"/>
  <c r="O93" i="10"/>
  <c r="O94" i="10"/>
  <c r="H5" i="9"/>
  <c r="H6" i="9"/>
  <c r="H7" i="9"/>
  <c r="G5" i="9"/>
  <c r="G6" i="9"/>
  <c r="G7" i="9"/>
  <c r="H4" i="9"/>
  <c r="G4" i="9"/>
  <c r="C5" i="9"/>
  <c r="C6" i="9"/>
  <c r="C7" i="9"/>
  <c r="B5" i="9"/>
  <c r="B6" i="9"/>
  <c r="B7" i="9"/>
  <c r="C4" i="9"/>
  <c r="B4" i="9"/>
  <c r="G8" i="8"/>
  <c r="G4" i="8"/>
  <c r="AM6" i="1"/>
  <c r="AM7" i="1"/>
  <c r="AM8" i="1"/>
  <c r="AM9" i="1"/>
  <c r="AM10" i="1"/>
  <c r="AM11" i="1"/>
  <c r="AM12" i="1"/>
  <c r="AM13" i="1"/>
  <c r="AM14" i="1"/>
  <c r="AM15" i="1"/>
  <c r="AM16" i="1"/>
  <c r="AM17" i="1"/>
  <c r="AM18" i="1"/>
  <c r="AM19" i="1"/>
  <c r="AM20" i="1"/>
  <c r="AM21" i="1"/>
  <c r="AM22" i="1"/>
  <c r="AM23" i="1"/>
  <c r="AM24" i="1"/>
  <c r="AM25" i="1"/>
  <c r="AM26" i="1"/>
  <c r="AM27" i="1"/>
  <c r="AM28" i="1"/>
  <c r="AM29" i="1"/>
  <c r="AM30" i="1"/>
  <c r="AM31" i="1"/>
  <c r="AM32" i="1"/>
  <c r="AM33" i="1"/>
  <c r="AM34" i="1"/>
  <c r="AM35" i="1"/>
  <c r="AM36" i="1"/>
  <c r="AM37" i="1"/>
  <c r="AM38" i="1"/>
  <c r="AM39" i="1"/>
  <c r="AM40" i="1"/>
  <c r="AM41" i="1"/>
  <c r="AM42" i="1"/>
  <c r="AM43" i="1"/>
  <c r="AM44" i="1"/>
  <c r="AM45" i="1"/>
  <c r="AM46" i="1"/>
  <c r="AM47" i="1"/>
  <c r="AM48" i="1"/>
  <c r="AM49" i="1"/>
  <c r="AM50" i="1"/>
  <c r="AM51" i="1"/>
  <c r="AM52" i="1"/>
  <c r="AM53" i="1"/>
  <c r="AM54" i="1"/>
  <c r="AM55" i="1"/>
  <c r="AM56" i="1"/>
  <c r="AM57" i="1"/>
  <c r="AM58" i="1"/>
  <c r="AM59" i="1"/>
  <c r="AM60" i="1"/>
  <c r="AM61" i="1"/>
  <c r="AM62" i="1"/>
  <c r="AM63" i="1"/>
  <c r="AM64" i="1"/>
  <c r="AM65" i="1"/>
  <c r="AM66" i="1"/>
  <c r="AM67" i="1"/>
  <c r="AM68" i="1"/>
  <c r="AM69" i="1"/>
  <c r="AM70" i="1"/>
  <c r="AM71" i="1"/>
  <c r="AM72" i="1"/>
  <c r="AM73" i="1"/>
  <c r="AM74" i="1"/>
  <c r="AM75" i="1"/>
  <c r="AM76" i="1"/>
  <c r="AM77" i="1"/>
  <c r="AM78" i="1"/>
  <c r="AM79" i="1"/>
  <c r="AM80" i="1"/>
  <c r="AM81" i="1"/>
  <c r="AM82" i="1"/>
  <c r="AM83" i="1"/>
  <c r="AM84" i="1"/>
  <c r="AM85" i="1"/>
  <c r="AM86" i="1"/>
  <c r="AM87" i="1"/>
  <c r="AM88" i="1"/>
  <c r="AM89" i="1"/>
  <c r="AM90" i="1"/>
  <c r="AM91" i="1"/>
  <c r="AM92" i="1"/>
  <c r="AM93" i="1"/>
  <c r="AM94" i="1"/>
  <c r="AM5" i="1"/>
  <c r="AM4" i="1"/>
  <c r="AL6" i="1"/>
  <c r="AL7" i="1"/>
  <c r="AL8" i="1"/>
  <c r="AL9" i="1"/>
  <c r="AL10" i="1"/>
  <c r="AL11" i="1"/>
  <c r="AL12" i="1"/>
  <c r="AL13" i="1"/>
  <c r="AL14" i="1"/>
  <c r="AL15" i="1"/>
  <c r="AL16" i="1"/>
  <c r="AL17" i="1"/>
  <c r="AL18" i="1"/>
  <c r="AL19" i="1"/>
  <c r="AL20" i="1"/>
  <c r="AL21" i="1"/>
  <c r="AL22" i="1"/>
  <c r="AL23" i="1"/>
  <c r="AL24" i="1"/>
  <c r="AL25" i="1"/>
  <c r="AL26" i="1"/>
  <c r="AL27" i="1"/>
  <c r="AL28" i="1"/>
  <c r="AL29" i="1"/>
  <c r="AL30" i="1"/>
  <c r="AL31" i="1"/>
  <c r="AL32" i="1"/>
  <c r="AL33" i="1"/>
  <c r="AL34" i="1"/>
  <c r="AL35" i="1"/>
  <c r="AL36" i="1"/>
  <c r="AL37" i="1"/>
  <c r="AL38" i="1"/>
  <c r="AL39" i="1"/>
  <c r="AL40" i="1"/>
  <c r="AL41" i="1"/>
  <c r="AL42" i="1"/>
  <c r="AL43" i="1"/>
  <c r="AL44" i="1"/>
  <c r="AL45" i="1"/>
  <c r="AL46" i="1"/>
  <c r="AL47" i="1"/>
  <c r="AL48" i="1"/>
  <c r="AL49" i="1"/>
  <c r="AL50" i="1"/>
  <c r="AL51" i="1"/>
  <c r="AL52" i="1"/>
  <c r="AL53" i="1"/>
  <c r="AL54" i="1"/>
  <c r="AL55" i="1"/>
  <c r="AL56" i="1"/>
  <c r="AL57" i="1"/>
  <c r="AL58" i="1"/>
  <c r="AL59" i="1"/>
  <c r="AL60" i="1"/>
  <c r="AL61" i="1"/>
  <c r="AL62" i="1"/>
  <c r="AL63" i="1"/>
  <c r="AL64" i="1"/>
  <c r="AL65" i="1"/>
  <c r="AL66" i="1"/>
  <c r="AL67" i="1"/>
  <c r="AL68" i="1"/>
  <c r="AL69" i="1"/>
  <c r="AL70" i="1"/>
  <c r="AL71" i="1"/>
  <c r="AL72" i="1"/>
  <c r="AL73" i="1"/>
  <c r="AL74" i="1"/>
  <c r="AL75" i="1"/>
  <c r="AL76" i="1"/>
  <c r="AL77" i="1"/>
  <c r="AL78" i="1"/>
  <c r="AL79" i="1"/>
  <c r="AL80" i="1"/>
  <c r="AL81" i="1"/>
  <c r="AL82" i="1"/>
  <c r="AL83" i="1"/>
  <c r="AL84" i="1"/>
  <c r="AL85" i="1"/>
  <c r="AL86" i="1"/>
  <c r="AL87" i="1"/>
  <c r="AL88" i="1"/>
  <c r="AL89" i="1"/>
  <c r="AL90" i="1"/>
  <c r="AL91" i="1"/>
  <c r="AL92" i="1"/>
  <c r="AL93" i="1"/>
  <c r="AL94" i="1"/>
  <c r="AL5" i="1"/>
  <c r="AL4" i="1"/>
  <c r="AK6" i="1"/>
  <c r="AK7" i="1"/>
  <c r="AK8" i="1"/>
  <c r="AK9" i="1"/>
  <c r="AK10" i="1"/>
  <c r="AK11" i="1"/>
  <c r="AK12" i="1"/>
  <c r="AK13" i="1"/>
  <c r="AK14" i="1"/>
  <c r="AK15" i="1"/>
  <c r="AK16" i="1"/>
  <c r="AK17" i="1"/>
  <c r="AK18" i="1"/>
  <c r="AK19" i="1"/>
  <c r="AK20" i="1"/>
  <c r="AK21" i="1"/>
  <c r="AK22" i="1"/>
  <c r="AK23" i="1"/>
  <c r="AK24" i="1"/>
  <c r="AK25" i="1"/>
  <c r="AK26" i="1"/>
  <c r="AK27" i="1"/>
  <c r="AK28" i="1"/>
  <c r="AK29" i="1"/>
  <c r="AK30" i="1"/>
  <c r="AK31" i="1"/>
  <c r="AK32" i="1"/>
  <c r="AK33" i="1"/>
  <c r="AK34" i="1"/>
  <c r="AK35" i="1"/>
  <c r="AK36" i="1"/>
  <c r="AK37" i="1"/>
  <c r="AK38" i="1"/>
  <c r="AK39" i="1"/>
  <c r="AK40" i="1"/>
  <c r="AK41" i="1"/>
  <c r="AK42" i="1"/>
  <c r="AK43" i="1"/>
  <c r="AK44" i="1"/>
  <c r="AK45" i="1"/>
  <c r="AK46" i="1"/>
  <c r="AK47" i="1"/>
  <c r="AK48" i="1"/>
  <c r="AK49" i="1"/>
  <c r="AK50" i="1"/>
  <c r="AK51" i="1"/>
  <c r="AK52" i="1"/>
  <c r="AK53" i="1"/>
  <c r="AK54" i="1"/>
  <c r="AK55" i="1"/>
  <c r="AK56" i="1"/>
  <c r="AK57" i="1"/>
  <c r="AK58" i="1"/>
  <c r="AK59" i="1"/>
  <c r="AK60" i="1"/>
  <c r="AK61" i="1"/>
  <c r="AK62" i="1"/>
  <c r="AK63" i="1"/>
  <c r="AK64" i="1"/>
  <c r="AK65" i="1"/>
  <c r="AK66" i="1"/>
  <c r="AK67" i="1"/>
  <c r="AK68" i="1"/>
  <c r="AK69" i="1"/>
  <c r="AK70" i="1"/>
  <c r="AK71" i="1"/>
  <c r="AK72" i="1"/>
  <c r="AK73" i="1"/>
  <c r="AK74" i="1"/>
  <c r="AK75" i="1"/>
  <c r="AK76" i="1"/>
  <c r="AK77" i="1"/>
  <c r="AK78" i="1"/>
  <c r="AK79" i="1"/>
  <c r="AK80" i="1"/>
  <c r="AK81" i="1"/>
  <c r="AK82" i="1"/>
  <c r="AK83" i="1"/>
  <c r="AK84" i="1"/>
  <c r="AK85" i="1"/>
  <c r="AK86" i="1"/>
  <c r="AK87" i="1"/>
  <c r="AK88" i="1"/>
  <c r="AK89" i="1"/>
  <c r="AK90" i="1"/>
  <c r="AK91" i="1"/>
  <c r="AK92" i="1"/>
  <c r="AK93" i="1"/>
  <c r="AK94" i="1"/>
  <c r="AK5" i="1"/>
  <c r="AK4" i="1"/>
  <c r="AE6" i="1"/>
  <c r="AE7" i="1"/>
  <c r="AE8" i="1"/>
  <c r="AE9" i="1"/>
  <c r="AE10" i="1"/>
  <c r="AE11" i="1"/>
  <c r="AE12" i="1"/>
  <c r="AE13" i="1"/>
  <c r="AE14" i="1"/>
  <c r="AE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45" i="1"/>
  <c r="AE46" i="1"/>
  <c r="AE47" i="1"/>
  <c r="AE48" i="1"/>
  <c r="AE49" i="1"/>
  <c r="AE50" i="1"/>
  <c r="AE51" i="1"/>
  <c r="AE52" i="1"/>
  <c r="AE53" i="1"/>
  <c r="AE54" i="1"/>
  <c r="AE55" i="1"/>
  <c r="AE56" i="1"/>
  <c r="AE57" i="1"/>
  <c r="AE58" i="1"/>
  <c r="AE59" i="1"/>
  <c r="AE60" i="1"/>
  <c r="AE61" i="1"/>
  <c r="AE62" i="1"/>
  <c r="AE63" i="1"/>
  <c r="AE64" i="1"/>
  <c r="AE65" i="1"/>
  <c r="AE66" i="1"/>
  <c r="AE67" i="1"/>
  <c r="AE68" i="1"/>
  <c r="AE69" i="1"/>
  <c r="AE70" i="1"/>
  <c r="AE71" i="1"/>
  <c r="AE72" i="1"/>
  <c r="AE73" i="1"/>
  <c r="AE74" i="1"/>
  <c r="AE75" i="1"/>
  <c r="AE76" i="1"/>
  <c r="AE77" i="1"/>
  <c r="AE78" i="1"/>
  <c r="AE79" i="1"/>
  <c r="AE80" i="1"/>
  <c r="AE81" i="1"/>
  <c r="AE82" i="1"/>
  <c r="AE83" i="1"/>
  <c r="AE84" i="1"/>
  <c r="AE85" i="1"/>
  <c r="AE86" i="1"/>
  <c r="AE87" i="1"/>
  <c r="AE88" i="1"/>
  <c r="AE89" i="1"/>
  <c r="AE90" i="1"/>
  <c r="AE91" i="1"/>
  <c r="AE92" i="1"/>
  <c r="AE93" i="1"/>
  <c r="AE94" i="1"/>
  <c r="AE5" i="1"/>
  <c r="AE4" i="1"/>
  <c r="AD6" i="1"/>
  <c r="AD7" i="1"/>
  <c r="AD8" i="1"/>
  <c r="AD9" i="1"/>
  <c r="AD10" i="1"/>
  <c r="AD11" i="1"/>
  <c r="AD12" i="1"/>
  <c r="AD13" i="1"/>
  <c r="AD14" i="1"/>
  <c r="AD15" i="1"/>
  <c r="AD16" i="1"/>
  <c r="AD17" i="1"/>
  <c r="AD18" i="1"/>
  <c r="AD19" i="1"/>
  <c r="AD20" i="1"/>
  <c r="AD21" i="1"/>
  <c r="AD22" i="1"/>
  <c r="AD23" i="1"/>
  <c r="AD24" i="1"/>
  <c r="AD25" i="1"/>
  <c r="AD26" i="1"/>
  <c r="AD27" i="1"/>
  <c r="AD28" i="1"/>
  <c r="AD29" i="1"/>
  <c r="AD30" i="1"/>
  <c r="AD31" i="1"/>
  <c r="AD32" i="1"/>
  <c r="AD33" i="1"/>
  <c r="AD34" i="1"/>
  <c r="AD35" i="1"/>
  <c r="AD36" i="1"/>
  <c r="AD37" i="1"/>
  <c r="AD38" i="1"/>
  <c r="AD39" i="1"/>
  <c r="AD40" i="1"/>
  <c r="AD41" i="1"/>
  <c r="AD42" i="1"/>
  <c r="AD43" i="1"/>
  <c r="AD44" i="1"/>
  <c r="AD45" i="1"/>
  <c r="AD46" i="1"/>
  <c r="AD47" i="1"/>
  <c r="AD48" i="1"/>
  <c r="AD49" i="1"/>
  <c r="AD50" i="1"/>
  <c r="AD51" i="1"/>
  <c r="AD52" i="1"/>
  <c r="AD53" i="1"/>
  <c r="AD54" i="1"/>
  <c r="AD55" i="1"/>
  <c r="AD56" i="1"/>
  <c r="AD57" i="1"/>
  <c r="AD58" i="1"/>
  <c r="AD59" i="1"/>
  <c r="AD60" i="1"/>
  <c r="AD61" i="1"/>
  <c r="AD62" i="1"/>
  <c r="AD63" i="1"/>
  <c r="AD64" i="1"/>
  <c r="AD65" i="1"/>
  <c r="AD66" i="1"/>
  <c r="AD67" i="1"/>
  <c r="AD68" i="1"/>
  <c r="AD69" i="1"/>
  <c r="AD70" i="1"/>
  <c r="AD71" i="1"/>
  <c r="AD72" i="1"/>
  <c r="AD73" i="1"/>
  <c r="AD74" i="1"/>
  <c r="AD75" i="1"/>
  <c r="AD76" i="1"/>
  <c r="AD77" i="1"/>
  <c r="AD78" i="1"/>
  <c r="AD79" i="1"/>
  <c r="AD80" i="1"/>
  <c r="AD81" i="1"/>
  <c r="AD82" i="1"/>
  <c r="AD83" i="1"/>
  <c r="AD84" i="1"/>
  <c r="AD85" i="1"/>
  <c r="AD86" i="1"/>
  <c r="AD87" i="1"/>
  <c r="AD88" i="1"/>
  <c r="AD89" i="1"/>
  <c r="AD90" i="1"/>
  <c r="AD91" i="1"/>
  <c r="AD92" i="1"/>
  <c r="AD93" i="1"/>
  <c r="AD94" i="1"/>
  <c r="AD5" i="1"/>
  <c r="AD4" i="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32" i="1"/>
  <c r="AC33" i="1"/>
  <c r="AC34" i="1"/>
  <c r="AC35" i="1"/>
  <c r="AC36" i="1"/>
  <c r="AC37" i="1"/>
  <c r="AC38" i="1"/>
  <c r="AC39" i="1"/>
  <c r="AC40" i="1"/>
  <c r="AC41" i="1"/>
  <c r="AC42" i="1"/>
  <c r="AC43" i="1"/>
  <c r="AC44" i="1"/>
  <c r="AC45" i="1"/>
  <c r="AC46" i="1"/>
  <c r="AC47" i="1"/>
  <c r="AC48" i="1"/>
  <c r="AC49" i="1"/>
  <c r="AC50" i="1"/>
  <c r="AC51" i="1"/>
  <c r="AC52" i="1"/>
  <c r="AC53" i="1"/>
  <c r="AC54" i="1"/>
  <c r="AC55" i="1"/>
  <c r="AC56" i="1"/>
  <c r="AC57" i="1"/>
  <c r="AC58" i="1"/>
  <c r="AC59" i="1"/>
  <c r="AC60" i="1"/>
  <c r="AC61" i="1"/>
  <c r="AC62" i="1"/>
  <c r="AC63" i="1"/>
  <c r="AC64" i="1"/>
  <c r="AC65" i="1"/>
  <c r="AC66" i="1"/>
  <c r="AC67" i="1"/>
  <c r="AC68" i="1"/>
  <c r="AC69" i="1"/>
  <c r="AC70" i="1"/>
  <c r="AC71" i="1"/>
  <c r="AC72" i="1"/>
  <c r="AC73" i="1"/>
  <c r="AC74" i="1"/>
  <c r="AC75" i="1"/>
  <c r="AC76" i="1"/>
  <c r="AC77" i="1"/>
  <c r="AC78" i="1"/>
  <c r="AC79" i="1"/>
  <c r="AC80" i="1"/>
  <c r="AC81" i="1"/>
  <c r="AC82" i="1"/>
  <c r="AC83" i="1"/>
  <c r="AC84" i="1"/>
  <c r="AC85" i="1"/>
  <c r="AC86" i="1"/>
  <c r="AC87" i="1"/>
  <c r="AC88" i="1"/>
  <c r="AC89" i="1"/>
  <c r="AC90" i="1"/>
  <c r="AC91" i="1"/>
  <c r="AC92" i="1"/>
  <c r="AC93" i="1"/>
  <c r="AC94" i="1"/>
  <c r="AC5" i="1"/>
  <c r="AC4" i="1"/>
  <c r="W6" i="1"/>
  <c r="W7" i="1"/>
  <c r="W8" i="1"/>
  <c r="W9" i="1"/>
  <c r="W10" i="1"/>
  <c r="W11" i="1"/>
  <c r="W12" i="1"/>
  <c r="W13" i="1"/>
  <c r="W14" i="1"/>
  <c r="W15" i="1"/>
  <c r="W16" i="1"/>
  <c r="W17" i="1"/>
  <c r="W18" i="1"/>
  <c r="W19" i="1"/>
  <c r="W20" i="1"/>
  <c r="W21" i="1"/>
  <c r="W22" i="1"/>
  <c r="W23" i="1"/>
  <c r="W24" i="1"/>
  <c r="W25" i="1"/>
  <c r="W26" i="1"/>
  <c r="W27" i="1"/>
  <c r="W28" i="1"/>
  <c r="W29" i="1"/>
  <c r="W30" i="1"/>
  <c r="W31" i="1"/>
  <c r="W32" i="1"/>
  <c r="W33" i="1"/>
  <c r="W34" i="1"/>
  <c r="W35" i="1"/>
  <c r="W36" i="1"/>
  <c r="W37" i="1"/>
  <c r="W38" i="1"/>
  <c r="W39" i="1"/>
  <c r="W40" i="1"/>
  <c r="W41" i="1"/>
  <c r="W42" i="1"/>
  <c r="W43" i="1"/>
  <c r="W44" i="1"/>
  <c r="W45" i="1"/>
  <c r="W46" i="1"/>
  <c r="W47" i="1"/>
  <c r="W48" i="1"/>
  <c r="W49" i="1"/>
  <c r="W50" i="1"/>
  <c r="W51" i="1"/>
  <c r="W52" i="1"/>
  <c r="W53" i="1"/>
  <c r="W54" i="1"/>
  <c r="W55" i="1"/>
  <c r="W56" i="1"/>
  <c r="W57" i="1"/>
  <c r="W58" i="1"/>
  <c r="W59" i="1"/>
  <c r="W60" i="1"/>
  <c r="W61" i="1"/>
  <c r="W62" i="1"/>
  <c r="W63" i="1"/>
  <c r="W64" i="1"/>
  <c r="W65" i="1"/>
  <c r="W66" i="1"/>
  <c r="W67" i="1"/>
  <c r="W68" i="1"/>
  <c r="W69" i="1"/>
  <c r="W70" i="1"/>
  <c r="W71" i="1"/>
  <c r="W72" i="1"/>
  <c r="W73" i="1"/>
  <c r="W74" i="1"/>
  <c r="W75" i="1"/>
  <c r="W76" i="1"/>
  <c r="W77" i="1"/>
  <c r="W78" i="1"/>
  <c r="W79" i="1"/>
  <c r="W80" i="1"/>
  <c r="W81" i="1"/>
  <c r="W82" i="1"/>
  <c r="W83" i="1"/>
  <c r="W84" i="1"/>
  <c r="W85" i="1"/>
  <c r="W86" i="1"/>
  <c r="W87" i="1"/>
  <c r="W88" i="1"/>
  <c r="W89" i="1"/>
  <c r="W90" i="1"/>
  <c r="W91" i="1"/>
  <c r="W92" i="1"/>
  <c r="W93" i="1"/>
  <c r="W94" i="1"/>
  <c r="W5" i="1"/>
  <c r="W4"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5" i="1"/>
  <c r="V4"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5" i="1"/>
  <c r="U4" i="1"/>
  <c r="V5" i="8" l="1"/>
  <c r="V6" i="8"/>
  <c r="V7" i="8"/>
  <c r="V8" i="8"/>
  <c r="V9" i="8"/>
  <c r="V10" i="8"/>
  <c r="V11" i="8"/>
  <c r="V12" i="8"/>
  <c r="V13" i="8"/>
  <c r="V14" i="8"/>
  <c r="V15" i="8"/>
  <c r="V16" i="8"/>
  <c r="V17" i="8"/>
  <c r="V18" i="8"/>
  <c r="V19" i="8"/>
  <c r="V20" i="8"/>
  <c r="V21" i="8"/>
  <c r="V22" i="8"/>
  <c r="V23" i="8"/>
  <c r="V24" i="8"/>
  <c r="V25" i="8"/>
  <c r="V26" i="8"/>
  <c r="V27" i="8"/>
  <c r="V28" i="8"/>
  <c r="V29" i="8"/>
  <c r="V30" i="8"/>
  <c r="V31" i="8"/>
  <c r="V32" i="8"/>
  <c r="V33" i="8"/>
  <c r="V34" i="8"/>
  <c r="V35" i="8"/>
  <c r="V36" i="8"/>
  <c r="V37" i="8"/>
  <c r="V38" i="8"/>
  <c r="V39" i="8"/>
  <c r="V40" i="8"/>
  <c r="V41" i="8"/>
  <c r="V42" i="8"/>
  <c r="V43" i="8"/>
  <c r="V44" i="8"/>
  <c r="V45" i="8"/>
  <c r="V46" i="8"/>
  <c r="V47" i="8"/>
  <c r="V48" i="8"/>
  <c r="V49" i="8"/>
  <c r="V50" i="8"/>
  <c r="V51" i="8"/>
  <c r="V52" i="8"/>
  <c r="V53" i="8"/>
  <c r="V54" i="8"/>
  <c r="V55" i="8"/>
  <c r="V56" i="8"/>
  <c r="V57" i="8"/>
  <c r="V58" i="8"/>
  <c r="V59" i="8"/>
  <c r="V60" i="8"/>
  <c r="V61" i="8"/>
  <c r="V62" i="8"/>
  <c r="V63" i="8"/>
  <c r="V64" i="8"/>
  <c r="V65" i="8"/>
  <c r="V66" i="8"/>
  <c r="V67" i="8"/>
  <c r="V68" i="8"/>
  <c r="V69" i="8"/>
  <c r="V70" i="8"/>
  <c r="V71" i="8"/>
  <c r="V72" i="8"/>
  <c r="V73" i="8"/>
  <c r="V74" i="8"/>
  <c r="V75" i="8"/>
  <c r="V76" i="8"/>
  <c r="V77" i="8"/>
  <c r="V78" i="8"/>
  <c r="V79" i="8"/>
  <c r="V80" i="8"/>
  <c r="V81" i="8"/>
  <c r="V82" i="8"/>
  <c r="V83" i="8"/>
  <c r="V84" i="8"/>
  <c r="V85" i="8"/>
  <c r="V86" i="8"/>
  <c r="V87" i="8"/>
  <c r="V88" i="8"/>
  <c r="V89" i="8"/>
  <c r="V90" i="8"/>
  <c r="V91" i="8"/>
  <c r="V92" i="8"/>
  <c r="V93" i="8"/>
  <c r="V4" i="8"/>
  <c r="W12" i="8"/>
  <c r="W13" i="8"/>
  <c r="W14" i="8"/>
  <c r="W15" i="8"/>
  <c r="W16" i="8"/>
  <c r="W17" i="8"/>
  <c r="W18" i="8"/>
  <c r="W19" i="8"/>
  <c r="W20" i="8"/>
  <c r="W21" i="8"/>
  <c r="W22" i="8"/>
  <c r="W23" i="8"/>
  <c r="W24" i="8"/>
  <c r="W25" i="8"/>
  <c r="W26" i="8"/>
  <c r="W27" i="8"/>
  <c r="W28" i="8"/>
  <c r="W29" i="8"/>
  <c r="W30" i="8"/>
  <c r="W31" i="8"/>
  <c r="W32" i="8"/>
  <c r="W33" i="8"/>
  <c r="W34" i="8"/>
  <c r="W35" i="8"/>
  <c r="W36" i="8"/>
  <c r="W37" i="8"/>
  <c r="W38" i="8"/>
  <c r="W39" i="8"/>
  <c r="W40" i="8"/>
  <c r="W41" i="8"/>
  <c r="W42" i="8"/>
  <c r="W43" i="8"/>
  <c r="W44" i="8"/>
  <c r="W45" i="8"/>
  <c r="W46" i="8"/>
  <c r="W47" i="8"/>
  <c r="W48" i="8"/>
  <c r="W49" i="8"/>
  <c r="W50" i="8"/>
  <c r="W51" i="8"/>
  <c r="W52" i="8"/>
  <c r="W53" i="8"/>
  <c r="W54" i="8"/>
  <c r="W55" i="8"/>
  <c r="W56" i="8"/>
  <c r="W57" i="8"/>
  <c r="W58" i="8"/>
  <c r="W59" i="8"/>
  <c r="W60" i="8"/>
  <c r="W61" i="8"/>
  <c r="W62" i="8"/>
  <c r="W63" i="8"/>
  <c r="W64" i="8"/>
  <c r="W65" i="8"/>
  <c r="W66" i="8"/>
  <c r="W67" i="8"/>
  <c r="W68" i="8"/>
  <c r="W69" i="8"/>
  <c r="W70" i="8"/>
  <c r="W71" i="8"/>
  <c r="W72" i="8"/>
  <c r="W73" i="8"/>
  <c r="W74" i="8"/>
  <c r="W75" i="8"/>
  <c r="W76" i="8"/>
  <c r="W77" i="8"/>
  <c r="W78" i="8"/>
  <c r="W79" i="8"/>
  <c r="W80" i="8"/>
  <c r="W81" i="8"/>
  <c r="W82" i="8"/>
  <c r="W83" i="8"/>
  <c r="W84" i="8"/>
  <c r="W85" i="8"/>
  <c r="W86" i="8"/>
  <c r="W87" i="8"/>
  <c r="W88" i="8"/>
  <c r="W89" i="8"/>
  <c r="W90" i="8"/>
  <c r="W91" i="8"/>
  <c r="W92" i="8"/>
  <c r="W93" i="8"/>
  <c r="B4" i="8"/>
  <c r="I5" i="8"/>
  <c r="I6" i="8"/>
  <c r="I7" i="8"/>
  <c r="I4" i="8"/>
  <c r="H5" i="8"/>
  <c r="H6" i="8"/>
  <c r="H7" i="8"/>
  <c r="H4" i="8"/>
  <c r="G5" i="8"/>
  <c r="G6" i="8"/>
  <c r="G7" i="8"/>
  <c r="F5" i="8"/>
  <c r="AJ5" i="8" s="1"/>
  <c r="F6" i="8"/>
  <c r="AJ6" i="8" s="1"/>
  <c r="F7" i="8"/>
  <c r="AJ7" i="8" s="1"/>
  <c r="F8" i="8"/>
  <c r="AJ8" i="8" s="1"/>
  <c r="F9" i="8"/>
  <c r="AJ9" i="8" s="1"/>
  <c r="F10" i="8"/>
  <c r="AJ10" i="8" s="1"/>
  <c r="F11" i="8"/>
  <c r="AJ11" i="8" s="1"/>
  <c r="F12" i="8"/>
  <c r="AJ12" i="8" s="1"/>
  <c r="F13" i="8"/>
  <c r="AJ13" i="8" s="1"/>
  <c r="F14" i="8"/>
  <c r="AJ14" i="8" s="1"/>
  <c r="F15" i="8"/>
  <c r="AJ15" i="8" s="1"/>
  <c r="F16" i="8"/>
  <c r="AJ16" i="8" s="1"/>
  <c r="F17" i="8"/>
  <c r="AJ17" i="8" s="1"/>
  <c r="F18" i="8"/>
  <c r="AJ18" i="8" s="1"/>
  <c r="F19" i="8"/>
  <c r="AJ19" i="8" s="1"/>
  <c r="F20" i="8"/>
  <c r="AJ20" i="8" s="1"/>
  <c r="F21" i="8"/>
  <c r="AJ21" i="8" s="1"/>
  <c r="F22" i="8"/>
  <c r="AJ22" i="8" s="1"/>
  <c r="F23" i="8"/>
  <c r="AJ23" i="8" s="1"/>
  <c r="F24" i="8"/>
  <c r="AJ24" i="8" s="1"/>
  <c r="F25" i="8"/>
  <c r="AJ25" i="8" s="1"/>
  <c r="F26" i="8"/>
  <c r="AJ26" i="8" s="1"/>
  <c r="F27" i="8"/>
  <c r="AJ27" i="8" s="1"/>
  <c r="F28" i="8"/>
  <c r="AJ28" i="8" s="1"/>
  <c r="F29" i="8"/>
  <c r="AJ29" i="8" s="1"/>
  <c r="F30" i="8"/>
  <c r="AJ30" i="8" s="1"/>
  <c r="F31" i="8"/>
  <c r="AJ31" i="8" s="1"/>
  <c r="F32" i="8"/>
  <c r="AJ32" i="8" s="1"/>
  <c r="F33" i="8"/>
  <c r="AJ33" i="8" s="1"/>
  <c r="F34" i="8"/>
  <c r="AJ34" i="8" s="1"/>
  <c r="F35" i="8"/>
  <c r="AJ35" i="8" s="1"/>
  <c r="F36" i="8"/>
  <c r="AJ36" i="8" s="1"/>
  <c r="F37" i="8"/>
  <c r="AJ37" i="8" s="1"/>
  <c r="F38" i="8"/>
  <c r="AJ38" i="8" s="1"/>
  <c r="F39" i="8"/>
  <c r="AJ39" i="8" s="1"/>
  <c r="F40" i="8"/>
  <c r="AJ40" i="8" s="1"/>
  <c r="F41" i="8"/>
  <c r="AJ41" i="8" s="1"/>
  <c r="F42" i="8"/>
  <c r="AJ42" i="8" s="1"/>
  <c r="F43" i="8"/>
  <c r="AJ43" i="8" s="1"/>
  <c r="F44" i="8"/>
  <c r="AJ44" i="8" s="1"/>
  <c r="F45" i="8"/>
  <c r="AJ45" i="8" s="1"/>
  <c r="F46" i="8"/>
  <c r="AJ46" i="8" s="1"/>
  <c r="F47" i="8"/>
  <c r="AJ47" i="8" s="1"/>
  <c r="F48" i="8"/>
  <c r="AJ48" i="8" s="1"/>
  <c r="F49" i="8"/>
  <c r="AJ49" i="8" s="1"/>
  <c r="F50" i="8"/>
  <c r="AJ50" i="8" s="1"/>
  <c r="F51" i="8"/>
  <c r="AJ51" i="8" s="1"/>
  <c r="F52" i="8"/>
  <c r="AJ52" i="8" s="1"/>
  <c r="F53" i="8"/>
  <c r="AJ53" i="8" s="1"/>
  <c r="F54" i="8"/>
  <c r="AJ54" i="8" s="1"/>
  <c r="F55" i="8"/>
  <c r="AJ55" i="8" s="1"/>
  <c r="F56" i="8"/>
  <c r="AJ56" i="8" s="1"/>
  <c r="F57" i="8"/>
  <c r="AJ57" i="8" s="1"/>
  <c r="F58" i="8"/>
  <c r="AJ58" i="8" s="1"/>
  <c r="F59" i="8"/>
  <c r="AJ59" i="8" s="1"/>
  <c r="F60" i="8"/>
  <c r="AJ60" i="8" s="1"/>
  <c r="F61" i="8"/>
  <c r="AJ61" i="8" s="1"/>
  <c r="F62" i="8"/>
  <c r="AJ62" i="8" s="1"/>
  <c r="F63" i="8"/>
  <c r="AJ63" i="8" s="1"/>
  <c r="F64" i="8"/>
  <c r="AJ64" i="8" s="1"/>
  <c r="F65" i="8"/>
  <c r="AJ65" i="8" s="1"/>
  <c r="F66" i="8"/>
  <c r="AJ66" i="8" s="1"/>
  <c r="F67" i="8"/>
  <c r="AJ67" i="8" s="1"/>
  <c r="F68" i="8"/>
  <c r="AJ68" i="8" s="1"/>
  <c r="F69" i="8"/>
  <c r="AJ69" i="8" s="1"/>
  <c r="F70" i="8"/>
  <c r="AJ70" i="8" s="1"/>
  <c r="F71" i="8"/>
  <c r="AJ71" i="8" s="1"/>
  <c r="F72" i="8"/>
  <c r="AJ72" i="8" s="1"/>
  <c r="F73" i="8"/>
  <c r="AJ73" i="8" s="1"/>
  <c r="F74" i="8"/>
  <c r="AJ74" i="8" s="1"/>
  <c r="F75" i="8"/>
  <c r="AJ75" i="8" s="1"/>
  <c r="F76" i="8"/>
  <c r="AJ76" i="8" s="1"/>
  <c r="F77" i="8"/>
  <c r="AJ77" i="8" s="1"/>
  <c r="F78" i="8"/>
  <c r="AJ78" i="8" s="1"/>
  <c r="F79" i="8"/>
  <c r="AJ79" i="8" s="1"/>
  <c r="F80" i="8"/>
  <c r="AJ80" i="8" s="1"/>
  <c r="F81" i="8"/>
  <c r="AJ81" i="8" s="1"/>
  <c r="F82" i="8"/>
  <c r="AJ82" i="8" s="1"/>
  <c r="F83" i="8"/>
  <c r="AJ83" i="8" s="1"/>
  <c r="F84" i="8"/>
  <c r="AJ84" i="8" s="1"/>
  <c r="F85" i="8"/>
  <c r="AJ85" i="8" s="1"/>
  <c r="F86" i="8"/>
  <c r="AJ86" i="8" s="1"/>
  <c r="F87" i="8"/>
  <c r="AJ87" i="8" s="1"/>
  <c r="F88" i="8"/>
  <c r="AJ88" i="8" s="1"/>
  <c r="F89" i="8"/>
  <c r="AJ89" i="8" s="1"/>
  <c r="F90" i="8"/>
  <c r="AJ90" i="8" s="1"/>
  <c r="F91" i="8"/>
  <c r="AJ91" i="8" s="1"/>
  <c r="F92" i="8"/>
  <c r="AJ92" i="8" s="1"/>
  <c r="F93" i="8"/>
  <c r="AJ93" i="8" s="1"/>
  <c r="F4" i="8"/>
  <c r="AJ4" i="8" s="1"/>
  <c r="E5" i="8"/>
  <c r="E6" i="8"/>
  <c r="E7" i="8"/>
  <c r="E8" i="8"/>
  <c r="E9" i="8"/>
  <c r="E10" i="8"/>
  <c r="E11" i="8"/>
  <c r="E12" i="8"/>
  <c r="E13" i="8"/>
  <c r="E14" i="8"/>
  <c r="E15" i="8"/>
  <c r="E16" i="8"/>
  <c r="E17" i="8"/>
  <c r="E18" i="8"/>
  <c r="E19" i="8"/>
  <c r="E20" i="8"/>
  <c r="E21" i="8"/>
  <c r="E22" i="8"/>
  <c r="E23" i="8"/>
  <c r="E24" i="8"/>
  <c r="E25" i="8"/>
  <c r="E26" i="8"/>
  <c r="E27" i="8"/>
  <c r="E28" i="8"/>
  <c r="E29" i="8"/>
  <c r="E30" i="8"/>
  <c r="E31" i="8"/>
  <c r="E32" i="8"/>
  <c r="E33" i="8"/>
  <c r="E34" i="8"/>
  <c r="E35" i="8"/>
  <c r="E36" i="8"/>
  <c r="E37" i="8"/>
  <c r="E38" i="8"/>
  <c r="E39" i="8"/>
  <c r="E40" i="8"/>
  <c r="E41" i="8"/>
  <c r="E42" i="8"/>
  <c r="E43" i="8"/>
  <c r="E44" i="8"/>
  <c r="E45" i="8"/>
  <c r="E46" i="8"/>
  <c r="E47" i="8"/>
  <c r="E48" i="8"/>
  <c r="E49" i="8"/>
  <c r="E50" i="8"/>
  <c r="E51" i="8"/>
  <c r="E52" i="8"/>
  <c r="E53" i="8"/>
  <c r="E54" i="8"/>
  <c r="E55" i="8"/>
  <c r="E56" i="8"/>
  <c r="E57" i="8"/>
  <c r="E58" i="8"/>
  <c r="E59" i="8"/>
  <c r="E60" i="8"/>
  <c r="E61" i="8"/>
  <c r="E62" i="8"/>
  <c r="E63" i="8"/>
  <c r="E64" i="8"/>
  <c r="E65" i="8"/>
  <c r="E66" i="8"/>
  <c r="E67" i="8"/>
  <c r="E68" i="8"/>
  <c r="E69" i="8"/>
  <c r="E70" i="8"/>
  <c r="E71" i="8"/>
  <c r="E72" i="8"/>
  <c r="E73" i="8"/>
  <c r="E74" i="8"/>
  <c r="E75" i="8"/>
  <c r="E76" i="8"/>
  <c r="E77" i="8"/>
  <c r="E78" i="8"/>
  <c r="E79" i="8"/>
  <c r="E80" i="8"/>
  <c r="E81" i="8"/>
  <c r="E82" i="8"/>
  <c r="E83" i="8"/>
  <c r="E84" i="8"/>
  <c r="E85" i="8"/>
  <c r="E86" i="8"/>
  <c r="E87" i="8"/>
  <c r="E88" i="8"/>
  <c r="E89" i="8"/>
  <c r="E90" i="8"/>
  <c r="E91" i="8"/>
  <c r="E92" i="8"/>
  <c r="E93" i="8"/>
  <c r="E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4" i="8"/>
  <c r="C5" i="8"/>
  <c r="C6" i="8"/>
  <c r="C7" i="8"/>
  <c r="C8" i="8"/>
  <c r="C9" i="8"/>
  <c r="C10" i="8"/>
  <c r="C11" i="8"/>
  <c r="C12" i="8"/>
  <c r="C13" i="8"/>
  <c r="C14" i="8"/>
  <c r="C15" i="8"/>
  <c r="C16" i="8"/>
  <c r="C17" i="8"/>
  <c r="C18" i="8"/>
  <c r="C19" i="8"/>
  <c r="C20" i="8"/>
  <c r="C21" i="8"/>
  <c r="C22" i="8"/>
  <c r="C23" i="8"/>
  <c r="C24" i="8"/>
  <c r="C25" i="8"/>
  <c r="C26" i="8"/>
  <c r="C27" i="8"/>
  <c r="C28" i="8"/>
  <c r="C29" i="8"/>
  <c r="C30" i="8"/>
  <c r="C31" i="8"/>
  <c r="C32" i="8"/>
  <c r="C33" i="8"/>
  <c r="C34" i="8"/>
  <c r="C35" i="8"/>
  <c r="C36" i="8"/>
  <c r="C37" i="8"/>
  <c r="C38" i="8"/>
  <c r="C39" i="8"/>
  <c r="C40" i="8"/>
  <c r="C41" i="8"/>
  <c r="C42" i="8"/>
  <c r="C43" i="8"/>
  <c r="C44" i="8"/>
  <c r="C45" i="8"/>
  <c r="C46" i="8"/>
  <c r="C47" i="8"/>
  <c r="C48" i="8"/>
  <c r="C49" i="8"/>
  <c r="C50" i="8"/>
  <c r="C51" i="8"/>
  <c r="C52" i="8"/>
  <c r="C53" i="8"/>
  <c r="C54" i="8"/>
  <c r="C55" i="8"/>
  <c r="C56" i="8"/>
  <c r="C57" i="8"/>
  <c r="C58" i="8"/>
  <c r="C59" i="8"/>
  <c r="C60" i="8"/>
  <c r="C61" i="8"/>
  <c r="C62" i="8"/>
  <c r="C63" i="8"/>
  <c r="C64" i="8"/>
  <c r="C65" i="8"/>
  <c r="C66" i="8"/>
  <c r="C67" i="8"/>
  <c r="C68" i="8"/>
  <c r="C69" i="8"/>
  <c r="C70" i="8"/>
  <c r="C71" i="8"/>
  <c r="C72" i="8"/>
  <c r="C73" i="8"/>
  <c r="C74" i="8"/>
  <c r="C75" i="8"/>
  <c r="C76" i="8"/>
  <c r="C77" i="8"/>
  <c r="C78" i="8"/>
  <c r="C79" i="8"/>
  <c r="C80" i="8"/>
  <c r="C81" i="8"/>
  <c r="C82" i="8"/>
  <c r="C83" i="8"/>
  <c r="C84" i="8"/>
  <c r="C85" i="8"/>
  <c r="C86" i="8"/>
  <c r="C87" i="8"/>
  <c r="C88" i="8"/>
  <c r="C89" i="8"/>
  <c r="C90" i="8"/>
  <c r="C91" i="8"/>
  <c r="C92" i="8"/>
  <c r="C93" i="8"/>
  <c r="C4" i="8"/>
  <c r="B5" i="8"/>
  <c r="B6" i="8"/>
  <c r="B7" i="8"/>
  <c r="B8" i="8"/>
  <c r="B9" i="8"/>
  <c r="B10" i="8"/>
  <c r="B11" i="8"/>
  <c r="B12" i="8"/>
  <c r="B13" i="8"/>
  <c r="B14" i="8"/>
  <c r="B15" i="8"/>
  <c r="B16" i="8"/>
  <c r="B17" i="8"/>
  <c r="B18" i="8"/>
  <c r="B19" i="8"/>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J12" i="8"/>
  <c r="J13" i="8"/>
  <c r="J14" i="8"/>
  <c r="J15" i="8"/>
  <c r="J16" i="8"/>
  <c r="J17" i="8"/>
  <c r="J18" i="8"/>
  <c r="J19" i="8"/>
  <c r="J20" i="8"/>
  <c r="J21" i="8"/>
  <c r="J22" i="8"/>
  <c r="J23" i="8"/>
  <c r="J24" i="8"/>
  <c r="J25" i="8"/>
  <c r="J26" i="8"/>
  <c r="J27" i="8"/>
  <c r="J28" i="8"/>
  <c r="J29" i="8"/>
  <c r="J30" i="8"/>
  <c r="J31" i="8"/>
  <c r="J32" i="8"/>
  <c r="J33" i="8"/>
  <c r="J34" i="8"/>
  <c r="J35" i="8"/>
  <c r="J36" i="8"/>
  <c r="J37" i="8"/>
  <c r="J38" i="8"/>
  <c r="J39" i="8"/>
  <c r="J40" i="8"/>
  <c r="J41" i="8"/>
  <c r="J42" i="8"/>
  <c r="J43" i="8"/>
  <c r="J44" i="8"/>
  <c r="J45" i="8"/>
  <c r="J46" i="8"/>
  <c r="J47" i="8"/>
  <c r="J48" i="8"/>
  <c r="J49" i="8"/>
  <c r="J50" i="8"/>
  <c r="J51" i="8"/>
  <c r="J52" i="8"/>
  <c r="J53" i="8"/>
  <c r="J54" i="8"/>
  <c r="J55" i="8"/>
  <c r="J56" i="8"/>
  <c r="J57" i="8"/>
  <c r="J58" i="8"/>
  <c r="J59" i="8"/>
  <c r="J60" i="8"/>
  <c r="J61" i="8"/>
  <c r="J62" i="8"/>
  <c r="J63" i="8"/>
  <c r="J64" i="8"/>
  <c r="J65" i="8"/>
  <c r="J66" i="8"/>
  <c r="J67" i="8"/>
  <c r="J68" i="8"/>
  <c r="J69" i="8"/>
  <c r="J70" i="8"/>
  <c r="J71" i="8"/>
  <c r="J72" i="8"/>
  <c r="J73" i="8"/>
  <c r="J74" i="8"/>
  <c r="J75" i="8"/>
  <c r="J76" i="8"/>
  <c r="J77" i="8"/>
  <c r="J78" i="8"/>
  <c r="J79" i="8"/>
  <c r="J80" i="8"/>
  <c r="J81" i="8"/>
  <c r="J82" i="8"/>
  <c r="J83" i="8"/>
  <c r="J84" i="8"/>
  <c r="J85" i="8"/>
  <c r="J86" i="8"/>
  <c r="J87" i="8"/>
  <c r="J88" i="8"/>
  <c r="J89" i="8"/>
  <c r="J90" i="8"/>
  <c r="J91" i="8"/>
  <c r="J92" i="8"/>
  <c r="J93" i="8"/>
  <c r="V13" i="7"/>
  <c r="V14" i="7"/>
  <c r="V15" i="7"/>
  <c r="V16" i="7"/>
  <c r="V17" i="7"/>
  <c r="V18" i="7"/>
  <c r="V19" i="7"/>
  <c r="V20" i="7"/>
  <c r="V21" i="7"/>
  <c r="V22" i="7"/>
  <c r="V23" i="7"/>
  <c r="V24" i="7"/>
  <c r="V25" i="7"/>
  <c r="V26" i="7"/>
  <c r="V27" i="7"/>
  <c r="V28" i="7"/>
  <c r="V29" i="7"/>
  <c r="V30" i="7"/>
  <c r="V31" i="7"/>
  <c r="V32" i="7"/>
  <c r="V33" i="7"/>
  <c r="V34" i="7"/>
  <c r="V35" i="7"/>
  <c r="V36" i="7"/>
  <c r="V37" i="7"/>
  <c r="V38" i="7"/>
  <c r="V39" i="7"/>
  <c r="V40" i="7"/>
  <c r="V41" i="7"/>
  <c r="V42" i="7"/>
  <c r="V43" i="7"/>
  <c r="V44" i="7"/>
  <c r="V45" i="7"/>
  <c r="V46" i="7"/>
  <c r="V47" i="7"/>
  <c r="V48" i="7"/>
  <c r="V49" i="7"/>
  <c r="V50" i="7"/>
  <c r="V51" i="7"/>
  <c r="V52" i="7"/>
  <c r="V53" i="7"/>
  <c r="V54" i="7"/>
  <c r="V55" i="7"/>
  <c r="V56" i="7"/>
  <c r="V57" i="7"/>
  <c r="V58" i="7"/>
  <c r="V59" i="7"/>
  <c r="V60" i="7"/>
  <c r="V61" i="7"/>
  <c r="V62" i="7"/>
  <c r="V63" i="7"/>
  <c r="V64" i="7"/>
  <c r="V65" i="7"/>
  <c r="V66" i="7"/>
  <c r="V67" i="7"/>
  <c r="V68" i="7"/>
  <c r="V69" i="7"/>
  <c r="V70" i="7"/>
  <c r="V71" i="7"/>
  <c r="V72" i="7"/>
  <c r="V73" i="7"/>
  <c r="V74" i="7"/>
  <c r="V75" i="7"/>
  <c r="V76" i="7"/>
  <c r="V77" i="7"/>
  <c r="V78" i="7"/>
  <c r="V79" i="7"/>
  <c r="V80" i="7"/>
  <c r="V81" i="7"/>
  <c r="V82" i="7"/>
  <c r="V83" i="7"/>
  <c r="V84" i="7"/>
  <c r="V85" i="7"/>
  <c r="V86" i="7"/>
  <c r="V87" i="7"/>
  <c r="V88" i="7"/>
  <c r="V89" i="7"/>
  <c r="V90" i="7"/>
  <c r="V91" i="7"/>
  <c r="V92" i="7"/>
  <c r="V93" i="7"/>
  <c r="W14" i="7"/>
  <c r="W15" i="7"/>
  <c r="W16" i="7"/>
  <c r="W17" i="7"/>
  <c r="W18" i="7"/>
  <c r="W19" i="7"/>
  <c r="W20" i="7"/>
  <c r="W21" i="7"/>
  <c r="W22" i="7"/>
  <c r="W23" i="7"/>
  <c r="W24" i="7"/>
  <c r="W25" i="7"/>
  <c r="W26" i="7"/>
  <c r="W27" i="7"/>
  <c r="W28" i="7"/>
  <c r="W29" i="7"/>
  <c r="W30" i="7"/>
  <c r="W31" i="7"/>
  <c r="W32" i="7"/>
  <c r="W33" i="7"/>
  <c r="W34" i="7"/>
  <c r="W35" i="7"/>
  <c r="W36" i="7"/>
  <c r="W37" i="7"/>
  <c r="W38" i="7"/>
  <c r="W39" i="7"/>
  <c r="W40" i="7"/>
  <c r="W41" i="7"/>
  <c r="W42" i="7"/>
  <c r="W43" i="7"/>
  <c r="W44" i="7"/>
  <c r="W45" i="7"/>
  <c r="W46" i="7"/>
  <c r="W47" i="7"/>
  <c r="W48" i="7"/>
  <c r="W49" i="7"/>
  <c r="W50" i="7"/>
  <c r="W51" i="7"/>
  <c r="W52" i="7"/>
  <c r="W53" i="7"/>
  <c r="W54" i="7"/>
  <c r="W55" i="7"/>
  <c r="W56" i="7"/>
  <c r="W57" i="7"/>
  <c r="W58" i="7"/>
  <c r="W59" i="7"/>
  <c r="W60" i="7"/>
  <c r="W61" i="7"/>
  <c r="W62" i="7"/>
  <c r="W63" i="7"/>
  <c r="W64" i="7"/>
  <c r="W65" i="7"/>
  <c r="W66" i="7"/>
  <c r="W67" i="7"/>
  <c r="W68" i="7"/>
  <c r="W69" i="7"/>
  <c r="W70" i="7"/>
  <c r="W71" i="7"/>
  <c r="W72" i="7"/>
  <c r="W73" i="7"/>
  <c r="W74" i="7"/>
  <c r="W75" i="7"/>
  <c r="W76" i="7"/>
  <c r="W77" i="7"/>
  <c r="W78" i="7"/>
  <c r="W79" i="7"/>
  <c r="W80" i="7"/>
  <c r="W81" i="7"/>
  <c r="W82" i="7"/>
  <c r="W83" i="7"/>
  <c r="W84" i="7"/>
  <c r="W85" i="7"/>
  <c r="W86" i="7"/>
  <c r="W87" i="7"/>
  <c r="W88" i="7"/>
  <c r="W89" i="7"/>
  <c r="W90" i="7"/>
  <c r="W91" i="7"/>
  <c r="W92" i="7"/>
  <c r="W93" i="7"/>
  <c r="W13" i="7"/>
  <c r="W12" i="7"/>
  <c r="S12" i="7"/>
  <c r="U13" i="7"/>
  <c r="U14" i="7"/>
  <c r="U15" i="7"/>
  <c r="U16" i="7"/>
  <c r="U17" i="7"/>
  <c r="U18" i="7"/>
  <c r="U19" i="7"/>
  <c r="U20" i="7"/>
  <c r="U21" i="7"/>
  <c r="U22" i="7"/>
  <c r="U23" i="7"/>
  <c r="U24" i="7"/>
  <c r="U25" i="7"/>
  <c r="U26" i="7"/>
  <c r="U27" i="7"/>
  <c r="U28" i="7"/>
  <c r="U29" i="7"/>
  <c r="U30" i="7"/>
  <c r="U31" i="7"/>
  <c r="U32" i="7"/>
  <c r="U33" i="7"/>
  <c r="U34" i="7"/>
  <c r="U35" i="7"/>
  <c r="U36" i="7"/>
  <c r="U37" i="7"/>
  <c r="U38" i="7"/>
  <c r="U39" i="7"/>
  <c r="U40" i="7"/>
  <c r="U41" i="7"/>
  <c r="U42" i="7"/>
  <c r="U43" i="7"/>
  <c r="U44" i="7"/>
  <c r="U45" i="7"/>
  <c r="U46" i="7"/>
  <c r="U47" i="7"/>
  <c r="U48" i="7"/>
  <c r="U49" i="7"/>
  <c r="U50" i="7"/>
  <c r="U51" i="7"/>
  <c r="U52" i="7"/>
  <c r="U53" i="7"/>
  <c r="U54" i="7"/>
  <c r="U55" i="7"/>
  <c r="U56" i="7"/>
  <c r="U57" i="7"/>
  <c r="U58" i="7"/>
  <c r="U59" i="7"/>
  <c r="U60" i="7"/>
  <c r="U61" i="7"/>
  <c r="U62" i="7"/>
  <c r="U63" i="7"/>
  <c r="U64" i="7"/>
  <c r="U65" i="7"/>
  <c r="U66" i="7"/>
  <c r="U67" i="7"/>
  <c r="U68" i="7"/>
  <c r="U69" i="7"/>
  <c r="U70" i="7"/>
  <c r="U71" i="7"/>
  <c r="U72" i="7"/>
  <c r="U73" i="7"/>
  <c r="U74" i="7"/>
  <c r="U75" i="7"/>
  <c r="U76" i="7"/>
  <c r="U77" i="7"/>
  <c r="U78" i="7"/>
  <c r="U79" i="7"/>
  <c r="U80" i="7"/>
  <c r="U81" i="7"/>
  <c r="U82" i="7"/>
  <c r="U83" i="7"/>
  <c r="U84" i="7"/>
  <c r="U85" i="7"/>
  <c r="U86" i="7"/>
  <c r="U87" i="7"/>
  <c r="U88" i="7"/>
  <c r="U89" i="7"/>
  <c r="U90" i="7"/>
  <c r="U91" i="7"/>
  <c r="U92" i="7"/>
  <c r="U93" i="7"/>
  <c r="U12" i="7"/>
  <c r="T61" i="7"/>
  <c r="T62" i="7"/>
  <c r="T63" i="7"/>
  <c r="T64" i="7"/>
  <c r="T65" i="7"/>
  <c r="T66" i="7"/>
  <c r="T67" i="7"/>
  <c r="T68" i="7"/>
  <c r="T69" i="7"/>
  <c r="T70" i="7"/>
  <c r="T71" i="7"/>
  <c r="T72" i="7"/>
  <c r="T73" i="7"/>
  <c r="T74" i="7"/>
  <c r="T75" i="7"/>
  <c r="T76" i="7"/>
  <c r="T77" i="7"/>
  <c r="T78" i="7"/>
  <c r="T79" i="7"/>
  <c r="T80" i="7"/>
  <c r="T81" i="7"/>
  <c r="T82" i="7"/>
  <c r="T83" i="7"/>
  <c r="T84" i="7"/>
  <c r="T85" i="7"/>
  <c r="T86" i="7"/>
  <c r="T87" i="7"/>
  <c r="T88" i="7"/>
  <c r="T89" i="7"/>
  <c r="T90" i="7"/>
  <c r="T91" i="7"/>
  <c r="T92" i="7"/>
  <c r="T93" i="7"/>
  <c r="S13" i="7"/>
  <c r="S14" i="7"/>
  <c r="S15" i="7"/>
  <c r="S16" i="7"/>
  <c r="S17" i="7"/>
  <c r="S18" i="7"/>
  <c r="S19" i="7"/>
  <c r="S20" i="7"/>
  <c r="S21" i="7"/>
  <c r="S22" i="7"/>
  <c r="S23" i="7"/>
  <c r="S24" i="7"/>
  <c r="S25" i="7"/>
  <c r="S26" i="7"/>
  <c r="S27" i="7"/>
  <c r="S28" i="7"/>
  <c r="S29" i="7"/>
  <c r="S30" i="7"/>
  <c r="S31" i="7"/>
  <c r="S32" i="7"/>
  <c r="S33" i="7"/>
  <c r="S34" i="7"/>
  <c r="S35" i="7"/>
  <c r="S36" i="7"/>
  <c r="S37" i="7"/>
  <c r="S38" i="7"/>
  <c r="S39" i="7"/>
  <c r="S40" i="7"/>
  <c r="S41" i="7"/>
  <c r="S42" i="7"/>
  <c r="S43" i="7"/>
  <c r="S44" i="7"/>
  <c r="S45" i="7"/>
  <c r="S46" i="7"/>
  <c r="S47" i="7"/>
  <c r="S48" i="7"/>
  <c r="S49" i="7"/>
  <c r="S50" i="7"/>
  <c r="S51" i="7"/>
  <c r="S52" i="7"/>
  <c r="S53" i="7"/>
  <c r="S54" i="7"/>
  <c r="S55" i="7"/>
  <c r="S56" i="7"/>
  <c r="S57" i="7"/>
  <c r="S58" i="7"/>
  <c r="S59" i="7"/>
  <c r="S60" i="7"/>
  <c r="S61" i="7"/>
  <c r="S62" i="7"/>
  <c r="S63" i="7"/>
  <c r="S64" i="7"/>
  <c r="S65" i="7"/>
  <c r="S66" i="7"/>
  <c r="S67" i="7"/>
  <c r="S68" i="7"/>
  <c r="S69" i="7"/>
  <c r="S70" i="7"/>
  <c r="S71" i="7"/>
  <c r="S72" i="7"/>
  <c r="S73" i="7"/>
  <c r="S74" i="7"/>
  <c r="S75" i="7"/>
  <c r="S76" i="7"/>
  <c r="S77" i="7"/>
  <c r="S78" i="7"/>
  <c r="S79" i="7"/>
  <c r="S80" i="7"/>
  <c r="S81" i="7"/>
  <c r="S82" i="7"/>
  <c r="S83" i="7"/>
  <c r="S84" i="7"/>
  <c r="S85" i="7"/>
  <c r="S86" i="7"/>
  <c r="S87" i="7"/>
  <c r="S88" i="7"/>
  <c r="S89" i="7"/>
  <c r="S90" i="7"/>
  <c r="S91" i="7"/>
  <c r="S92" i="7"/>
  <c r="S93" i="7"/>
  <c r="R13" i="7"/>
  <c r="R14" i="7"/>
  <c r="R15" i="7"/>
  <c r="R16" i="7"/>
  <c r="R17" i="7"/>
  <c r="R18" i="7"/>
  <c r="R19" i="7"/>
  <c r="R20" i="7"/>
  <c r="R22" i="7"/>
  <c r="R23" i="7"/>
  <c r="R24" i="7"/>
  <c r="R25" i="7"/>
  <c r="R26" i="7"/>
  <c r="R27" i="7"/>
  <c r="R28" i="7"/>
  <c r="R29" i="7"/>
  <c r="R30" i="7"/>
  <c r="R31" i="7"/>
  <c r="R32" i="7"/>
  <c r="R33" i="7"/>
  <c r="R34" i="7"/>
  <c r="R35" i="7"/>
  <c r="R36" i="7"/>
  <c r="R37" i="7"/>
  <c r="R38" i="7"/>
  <c r="R39" i="7"/>
  <c r="R40" i="7"/>
  <c r="R41" i="7"/>
  <c r="R42" i="7"/>
  <c r="R43" i="7"/>
  <c r="R44" i="7"/>
  <c r="R45" i="7"/>
  <c r="R46" i="7"/>
  <c r="R47" i="7"/>
  <c r="R48" i="7"/>
  <c r="R49" i="7"/>
  <c r="R50" i="7"/>
  <c r="R51" i="7"/>
  <c r="R52" i="7"/>
  <c r="R53" i="7"/>
  <c r="R54" i="7"/>
  <c r="R55" i="7"/>
  <c r="R56" i="7"/>
  <c r="R57" i="7"/>
  <c r="R58" i="7"/>
  <c r="R59" i="7"/>
  <c r="R60" i="7"/>
  <c r="R61" i="7"/>
  <c r="R62" i="7"/>
  <c r="R63" i="7"/>
  <c r="R64" i="7"/>
  <c r="R65" i="7"/>
  <c r="R66" i="7"/>
  <c r="R67" i="7"/>
  <c r="R68" i="7"/>
  <c r="R69" i="7"/>
  <c r="R70" i="7"/>
  <c r="R71" i="7"/>
  <c r="R72" i="7"/>
  <c r="R73" i="7"/>
  <c r="R74" i="7"/>
  <c r="R75" i="7"/>
  <c r="R76" i="7"/>
  <c r="R77" i="7"/>
  <c r="R78" i="7"/>
  <c r="R79" i="7"/>
  <c r="R80" i="7"/>
  <c r="R81" i="7"/>
  <c r="R82" i="7"/>
  <c r="R83" i="7"/>
  <c r="R84" i="7"/>
  <c r="R85" i="7"/>
  <c r="R86" i="7"/>
  <c r="R87" i="7"/>
  <c r="R88" i="7"/>
  <c r="R89" i="7"/>
  <c r="R90" i="7"/>
  <c r="R91" i="7"/>
  <c r="R92" i="7"/>
  <c r="R93" i="7"/>
  <c r="R12" i="7"/>
  <c r="Q12" i="7"/>
  <c r="E6" i="7"/>
  <c r="C6" i="7"/>
  <c r="Q13" i="7"/>
  <c r="Q14" i="7"/>
  <c r="Q15" i="7"/>
  <c r="Q16" i="7"/>
  <c r="Q17" i="7"/>
  <c r="Q18" i="7"/>
  <c r="Q19" i="7"/>
  <c r="Q20" i="7"/>
  <c r="Q21" i="7"/>
  <c r="Q22" i="7"/>
  <c r="Q23" i="7"/>
  <c r="Q24" i="7"/>
  <c r="Q25" i="7"/>
  <c r="Q26" i="7"/>
  <c r="Q27" i="7"/>
  <c r="Q28" i="7"/>
  <c r="Q29" i="7"/>
  <c r="Q30" i="7"/>
  <c r="Q31" i="7"/>
  <c r="Q32" i="7"/>
  <c r="Q33" i="7"/>
  <c r="Q34" i="7"/>
  <c r="Q35" i="7"/>
  <c r="Q36" i="7"/>
  <c r="Q37" i="7"/>
  <c r="Q38" i="7"/>
  <c r="Q39" i="7"/>
  <c r="Q40" i="7"/>
  <c r="Q41" i="7"/>
  <c r="Q42" i="7"/>
  <c r="Q43" i="7"/>
  <c r="Q44" i="7"/>
  <c r="Q45" i="7"/>
  <c r="Q46" i="7"/>
  <c r="Q47" i="7"/>
  <c r="Q48" i="7"/>
  <c r="Q49" i="7"/>
  <c r="Q50" i="7"/>
  <c r="Q51" i="7"/>
  <c r="Q52" i="7"/>
  <c r="Q53" i="7"/>
  <c r="Q54" i="7"/>
  <c r="Q55" i="7"/>
  <c r="Q56" i="7"/>
  <c r="Q57" i="7"/>
  <c r="Q58" i="7"/>
  <c r="Q59" i="7"/>
  <c r="Q60" i="7"/>
  <c r="Q61" i="7"/>
  <c r="Q62" i="7"/>
  <c r="Q63" i="7"/>
  <c r="Q64" i="7"/>
  <c r="Q65" i="7"/>
  <c r="Q66" i="7"/>
  <c r="Q67" i="7"/>
  <c r="Q68" i="7"/>
  <c r="Q69" i="7"/>
  <c r="Q70" i="7"/>
  <c r="Q71" i="7"/>
  <c r="Q72" i="7"/>
  <c r="Q73" i="7"/>
  <c r="Q74" i="7"/>
  <c r="Q75" i="7"/>
  <c r="Q76" i="7"/>
  <c r="Q77" i="7"/>
  <c r="Q78" i="7"/>
  <c r="Q79" i="7"/>
  <c r="Q80" i="7"/>
  <c r="Q81" i="7"/>
  <c r="Q82" i="7"/>
  <c r="Q83" i="7"/>
  <c r="Q84" i="7"/>
  <c r="Q85" i="7"/>
  <c r="Q86" i="7"/>
  <c r="Q87" i="7"/>
  <c r="Q88" i="7"/>
  <c r="Q89" i="7"/>
  <c r="Q90" i="7"/>
  <c r="Q91" i="7"/>
  <c r="Q92" i="7"/>
  <c r="Q93" i="7"/>
  <c r="O11" i="7"/>
  <c r="O12" i="7"/>
  <c r="O13" i="7"/>
  <c r="O14" i="7"/>
  <c r="O15" i="7"/>
  <c r="O16" i="7"/>
  <c r="O17" i="7"/>
  <c r="O18" i="7"/>
  <c r="O19" i="7"/>
  <c r="O20" i="7"/>
  <c r="O21" i="7"/>
  <c r="O22" i="7"/>
  <c r="O23" i="7"/>
  <c r="O24" i="7"/>
  <c r="O25" i="7"/>
  <c r="O26" i="7"/>
  <c r="O27" i="7"/>
  <c r="O28" i="7"/>
  <c r="O29" i="7"/>
  <c r="O30" i="7"/>
  <c r="O31" i="7"/>
  <c r="O32" i="7"/>
  <c r="O33" i="7"/>
  <c r="O34" i="7"/>
  <c r="O35" i="7"/>
  <c r="O36" i="7"/>
  <c r="O37" i="7"/>
  <c r="O38" i="7"/>
  <c r="O39" i="7"/>
  <c r="O40" i="7"/>
  <c r="O41" i="7"/>
  <c r="O42" i="7"/>
  <c r="O43" i="7"/>
  <c r="O44" i="7"/>
  <c r="O45" i="7"/>
  <c r="O46" i="7"/>
  <c r="O47" i="7"/>
  <c r="O48" i="7"/>
  <c r="O49" i="7"/>
  <c r="O50" i="7"/>
  <c r="O51" i="7"/>
  <c r="O52" i="7"/>
  <c r="O53" i="7"/>
  <c r="O54" i="7"/>
  <c r="O55" i="7"/>
  <c r="O56" i="7"/>
  <c r="O57" i="7"/>
  <c r="O58" i="7"/>
  <c r="O59" i="7"/>
  <c r="O60" i="7"/>
  <c r="O61" i="7"/>
  <c r="O62" i="7"/>
  <c r="O63" i="7"/>
  <c r="O64" i="7"/>
  <c r="O65" i="7"/>
  <c r="O66" i="7"/>
  <c r="O67" i="7"/>
  <c r="O68" i="7"/>
  <c r="O69" i="7"/>
  <c r="O70" i="7"/>
  <c r="O71" i="7"/>
  <c r="O72" i="7"/>
  <c r="O73" i="7"/>
  <c r="O74" i="7"/>
  <c r="O75" i="7"/>
  <c r="O76" i="7"/>
  <c r="O77" i="7"/>
  <c r="O78" i="7"/>
  <c r="O79" i="7"/>
  <c r="O80" i="7"/>
  <c r="O81" i="7"/>
  <c r="O82" i="7"/>
  <c r="O83" i="7"/>
  <c r="O84" i="7"/>
  <c r="O85" i="7"/>
  <c r="O86" i="7"/>
  <c r="O87" i="7"/>
  <c r="O88" i="7"/>
  <c r="O89" i="7"/>
  <c r="O90" i="7"/>
  <c r="O91" i="7"/>
  <c r="O92" i="7"/>
  <c r="O93" i="7"/>
  <c r="O10" i="7"/>
  <c r="N11" i="7"/>
  <c r="N12" i="7"/>
  <c r="N13" i="7"/>
  <c r="N14" i="7"/>
  <c r="N15" i="7"/>
  <c r="N16" i="7"/>
  <c r="N17" i="7"/>
  <c r="N18" i="7"/>
  <c r="N19" i="7"/>
  <c r="N20" i="7"/>
  <c r="N21" i="7"/>
  <c r="N22" i="7"/>
  <c r="N23" i="7"/>
  <c r="N24" i="7"/>
  <c r="N25" i="7"/>
  <c r="N26" i="7"/>
  <c r="N27" i="7"/>
  <c r="N28" i="7"/>
  <c r="N29" i="7"/>
  <c r="N30" i="7"/>
  <c r="N31" i="7"/>
  <c r="N32" i="7"/>
  <c r="N33" i="7"/>
  <c r="N34" i="7"/>
  <c r="N35" i="7"/>
  <c r="N36" i="7"/>
  <c r="N37" i="7"/>
  <c r="N38" i="7"/>
  <c r="N39" i="7"/>
  <c r="N40" i="7"/>
  <c r="N41" i="7"/>
  <c r="N42" i="7"/>
  <c r="N43" i="7"/>
  <c r="N44" i="7"/>
  <c r="N45" i="7"/>
  <c r="N46" i="7"/>
  <c r="N47" i="7"/>
  <c r="N48" i="7"/>
  <c r="N49" i="7"/>
  <c r="N50" i="7"/>
  <c r="N51" i="7"/>
  <c r="N52" i="7"/>
  <c r="N53" i="7"/>
  <c r="N54" i="7"/>
  <c r="N55" i="7"/>
  <c r="N56" i="7"/>
  <c r="N57" i="7"/>
  <c r="N58" i="7"/>
  <c r="N59" i="7"/>
  <c r="N60" i="7"/>
  <c r="N61" i="7"/>
  <c r="N62" i="7"/>
  <c r="N63" i="7"/>
  <c r="N64" i="7"/>
  <c r="N65" i="7"/>
  <c r="N66" i="7"/>
  <c r="N67" i="7"/>
  <c r="N68" i="7"/>
  <c r="N69" i="7"/>
  <c r="N70" i="7"/>
  <c r="N71" i="7"/>
  <c r="N72" i="7"/>
  <c r="N73" i="7"/>
  <c r="N74" i="7"/>
  <c r="N75" i="7"/>
  <c r="N76" i="7"/>
  <c r="N77" i="7"/>
  <c r="N78" i="7"/>
  <c r="N79" i="7"/>
  <c r="N80" i="7"/>
  <c r="N81" i="7"/>
  <c r="N82" i="7"/>
  <c r="N83" i="7"/>
  <c r="N84" i="7"/>
  <c r="N85" i="7"/>
  <c r="N86" i="7"/>
  <c r="N87" i="7"/>
  <c r="N88" i="7"/>
  <c r="N89" i="7"/>
  <c r="N90" i="7"/>
  <c r="N91" i="7"/>
  <c r="N92" i="7"/>
  <c r="N93" i="7"/>
  <c r="N10" i="7"/>
  <c r="L64" i="7"/>
  <c r="L63" i="7"/>
  <c r="L55" i="7"/>
  <c r="L33" i="7"/>
  <c r="L28" i="7"/>
  <c r="J64" i="7"/>
  <c r="J63" i="7"/>
  <c r="I64" i="7"/>
  <c r="I63" i="7"/>
  <c r="J55" i="7"/>
  <c r="I55" i="7"/>
  <c r="J33" i="7"/>
  <c r="J28" i="7"/>
  <c r="I33" i="7"/>
  <c r="I28" i="7"/>
  <c r="H24" i="7"/>
  <c r="H23" i="7"/>
  <c r="H21" i="7"/>
  <c r="H28" i="7"/>
  <c r="H33" i="7"/>
  <c r="H45" i="7"/>
  <c r="H42" i="7"/>
  <c r="AE88" i="8" l="1"/>
  <c r="AE91" i="8"/>
  <c r="AE83" i="8"/>
  <c r="AE75" i="8"/>
  <c r="AE67" i="8"/>
  <c r="AE59" i="8"/>
  <c r="AE51" i="8"/>
  <c r="AE43" i="8"/>
  <c r="AE35" i="8"/>
  <c r="AE27" i="8"/>
  <c r="AE19" i="8"/>
  <c r="AE89" i="8"/>
  <c r="AE81" i="8"/>
  <c r="AE73" i="8"/>
  <c r="AE65" i="8"/>
  <c r="AE57" i="8"/>
  <c r="AE49" i="8"/>
  <c r="AE41" i="8"/>
  <c r="AE33" i="8"/>
  <c r="AE25" i="8"/>
  <c r="AE17" i="8"/>
  <c r="AW40" i="8"/>
  <c r="AV40" i="8"/>
  <c r="AU40" i="8"/>
  <c r="AT40" i="8"/>
  <c r="AQ40" i="8"/>
  <c r="AP40" i="8"/>
  <c r="AE80" i="8"/>
  <c r="AE72" i="8"/>
  <c r="AE64" i="8"/>
  <c r="AE56" i="8"/>
  <c r="AE48" i="8"/>
  <c r="AE40" i="8"/>
  <c r="AE32" i="8"/>
  <c r="AE24" i="8"/>
  <c r="AE16" i="8"/>
  <c r="AE87" i="8"/>
  <c r="AE79" i="8"/>
  <c r="AE71" i="8"/>
  <c r="AE63" i="8"/>
  <c r="AE55" i="8"/>
  <c r="AE47" i="8"/>
  <c r="AE39" i="8"/>
  <c r="AE31" i="8"/>
  <c r="AE23" i="8"/>
  <c r="AE15" i="8"/>
  <c r="AE86" i="8"/>
  <c r="AE78" i="8"/>
  <c r="AE70" i="8"/>
  <c r="AE62" i="8"/>
  <c r="AE54" i="8"/>
  <c r="AE46" i="8"/>
  <c r="AE38" i="8"/>
  <c r="AE30" i="8"/>
  <c r="AE22" i="8"/>
  <c r="AE14" i="8"/>
  <c r="AE93" i="8"/>
  <c r="AE85" i="8"/>
  <c r="AE77" i="8"/>
  <c r="AE69" i="8"/>
  <c r="AE61" i="8"/>
  <c r="AE53" i="8"/>
  <c r="AE45" i="8"/>
  <c r="AE37" i="8"/>
  <c r="AE29" i="8"/>
  <c r="AE21" i="8"/>
  <c r="AE13" i="8"/>
  <c r="AS40" i="8"/>
  <c r="AR40" i="8"/>
  <c r="AE92" i="8"/>
  <c r="AE84" i="8"/>
  <c r="AE76" i="8"/>
  <c r="AE68" i="8"/>
  <c r="AE60" i="8"/>
  <c r="AE52" i="8"/>
  <c r="AE44" i="8"/>
  <c r="AE36" i="8"/>
  <c r="AE28" i="8"/>
  <c r="AE20" i="8"/>
  <c r="AP39" i="8" s="1"/>
  <c r="AE12" i="8"/>
  <c r="AE90" i="8"/>
  <c r="AE82" i="8"/>
  <c r="AE74" i="8"/>
  <c r="AE66" i="8"/>
  <c r="AE58" i="8"/>
  <c r="AE50" i="8"/>
  <c r="AE42" i="8"/>
  <c r="AE34" i="8"/>
  <c r="AE26" i="8"/>
  <c r="AE18" i="8"/>
  <c r="B93" i="6"/>
  <c r="AJ5" i="1"/>
  <c r="AJ6" i="1"/>
  <c r="AJ7" i="1"/>
  <c r="AJ8" i="1"/>
  <c r="AJ9" i="1"/>
  <c r="AJ10" i="1"/>
  <c r="AJ11" i="1"/>
  <c r="AJ12" i="1"/>
  <c r="AJ13" i="1"/>
  <c r="AJ14" i="1"/>
  <c r="AJ15" i="1"/>
  <c r="AJ16" i="1"/>
  <c r="AJ17" i="1"/>
  <c r="AJ18" i="1"/>
  <c r="AJ19" i="1"/>
  <c r="AJ20" i="1"/>
  <c r="AJ2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4" i="1"/>
  <c r="AI5" i="1"/>
  <c r="AI6" i="1"/>
  <c r="AI7" i="1"/>
  <c r="AI8" i="1"/>
  <c r="AI9" i="1"/>
  <c r="AI10" i="1"/>
  <c r="AI11" i="1"/>
  <c r="AI12" i="1"/>
  <c r="AI13" i="1"/>
  <c r="AI14" i="1"/>
  <c r="AI15" i="1"/>
  <c r="AI16" i="1"/>
  <c r="AI17" i="1"/>
  <c r="AI18" i="1"/>
  <c r="AI19" i="1"/>
  <c r="AI20" i="1"/>
  <c r="AI21" i="1"/>
  <c r="AI22" i="1"/>
  <c r="AI23" i="1"/>
  <c r="AI24" i="1"/>
  <c r="AI25" i="1"/>
  <c r="AI26" i="1"/>
  <c r="AI27" i="1"/>
  <c r="AI28" i="1"/>
  <c r="AI29" i="1"/>
  <c r="AI30" i="1"/>
  <c r="AI31" i="1"/>
  <c r="AI32" i="1"/>
  <c r="AI33" i="1"/>
  <c r="AI34" i="1"/>
  <c r="AI35" i="1"/>
  <c r="AI36" i="1"/>
  <c r="AI37" i="1"/>
  <c r="AI38" i="1"/>
  <c r="AI39" i="1"/>
  <c r="AI40" i="1"/>
  <c r="AI41" i="1"/>
  <c r="AI42" i="1"/>
  <c r="AI43" i="1"/>
  <c r="AI44" i="1"/>
  <c r="AI45" i="1"/>
  <c r="AI46" i="1"/>
  <c r="AI47" i="1"/>
  <c r="AI48" i="1"/>
  <c r="AI49" i="1"/>
  <c r="AI50" i="1"/>
  <c r="AI51" i="1"/>
  <c r="AI52" i="1"/>
  <c r="AI53" i="1"/>
  <c r="AI54" i="1"/>
  <c r="AI55" i="1"/>
  <c r="AI56" i="1"/>
  <c r="AI57" i="1"/>
  <c r="AI58" i="1"/>
  <c r="AI59" i="1"/>
  <c r="AI60" i="1"/>
  <c r="AI61" i="1"/>
  <c r="AI62" i="1"/>
  <c r="AI63" i="1"/>
  <c r="AI64" i="1"/>
  <c r="AI65" i="1"/>
  <c r="AI66" i="1"/>
  <c r="AI67" i="1"/>
  <c r="AI68" i="1"/>
  <c r="AI69" i="1"/>
  <c r="AI70" i="1"/>
  <c r="AI71" i="1"/>
  <c r="AI72" i="1"/>
  <c r="AI73" i="1"/>
  <c r="AI74" i="1"/>
  <c r="AI75" i="1"/>
  <c r="AI76" i="1"/>
  <c r="AI77" i="1"/>
  <c r="AI78" i="1"/>
  <c r="AI79" i="1"/>
  <c r="AI80" i="1"/>
  <c r="AI81" i="1"/>
  <c r="AI82" i="1"/>
  <c r="AI83" i="1"/>
  <c r="AI84" i="1"/>
  <c r="AI85" i="1"/>
  <c r="AI86" i="1"/>
  <c r="AI87" i="1"/>
  <c r="AI88" i="1"/>
  <c r="AI89" i="1"/>
  <c r="AI90" i="1"/>
  <c r="AI91" i="1"/>
  <c r="AI92" i="1"/>
  <c r="AI93" i="1"/>
  <c r="AI94" i="1"/>
  <c r="AI4" i="1"/>
  <c r="AH5" i="1"/>
  <c r="AH6" i="1"/>
  <c r="AH7" i="1"/>
  <c r="AH8" i="1"/>
  <c r="AH9" i="1"/>
  <c r="AH10" i="1"/>
  <c r="AH11" i="1"/>
  <c r="AH12" i="1"/>
  <c r="AH13" i="1"/>
  <c r="AH14" i="1"/>
  <c r="AH15" i="1"/>
  <c r="AH16" i="1"/>
  <c r="AH17" i="1"/>
  <c r="AH18" i="1"/>
  <c r="AH19" i="1"/>
  <c r="AH20" i="1"/>
  <c r="AH21" i="1"/>
  <c r="AH22" i="1"/>
  <c r="AH23" i="1"/>
  <c r="AH24" i="1"/>
  <c r="AH25" i="1"/>
  <c r="AH26" i="1"/>
  <c r="AH27" i="1"/>
  <c r="AH28" i="1"/>
  <c r="AH29" i="1"/>
  <c r="AH30" i="1"/>
  <c r="AH31" i="1"/>
  <c r="AH32" i="1"/>
  <c r="AH33" i="1"/>
  <c r="AH34" i="1"/>
  <c r="AH35" i="1"/>
  <c r="AH36" i="1"/>
  <c r="AH37" i="1"/>
  <c r="AH38" i="1"/>
  <c r="AH39" i="1"/>
  <c r="AH40" i="1"/>
  <c r="AH41" i="1"/>
  <c r="AH42" i="1"/>
  <c r="AH43" i="1"/>
  <c r="AH44" i="1"/>
  <c r="AH45" i="1"/>
  <c r="AH46" i="1"/>
  <c r="AH47" i="1"/>
  <c r="AH48" i="1"/>
  <c r="AH49" i="1"/>
  <c r="AH50" i="1"/>
  <c r="AH51" i="1"/>
  <c r="AH52" i="1"/>
  <c r="AH53" i="1"/>
  <c r="AH54" i="1"/>
  <c r="AH55" i="1"/>
  <c r="AH56" i="1"/>
  <c r="AH57" i="1"/>
  <c r="AH58" i="1"/>
  <c r="AH59" i="1"/>
  <c r="AH60" i="1"/>
  <c r="AH61" i="1"/>
  <c r="AH62" i="1"/>
  <c r="AH63" i="1"/>
  <c r="AH64" i="1"/>
  <c r="AH65" i="1"/>
  <c r="AH66" i="1"/>
  <c r="AH67" i="1"/>
  <c r="AH68" i="1"/>
  <c r="AH69" i="1"/>
  <c r="AH70" i="1"/>
  <c r="AH71" i="1"/>
  <c r="AH72" i="1"/>
  <c r="AH73" i="1"/>
  <c r="AH74" i="1"/>
  <c r="AH75" i="1"/>
  <c r="AH76" i="1"/>
  <c r="AH77" i="1"/>
  <c r="AH78" i="1"/>
  <c r="AH79" i="1"/>
  <c r="AH80" i="1"/>
  <c r="AH81" i="1"/>
  <c r="AH82" i="1"/>
  <c r="AH83" i="1"/>
  <c r="AH84" i="1"/>
  <c r="AH85" i="1"/>
  <c r="AH86" i="1"/>
  <c r="AH87" i="1"/>
  <c r="AH88" i="1"/>
  <c r="AH89" i="1"/>
  <c r="AH90" i="1"/>
  <c r="AH91" i="1"/>
  <c r="AH92" i="1"/>
  <c r="AH93" i="1"/>
  <c r="AH94" i="1"/>
  <c r="AH4" i="1"/>
  <c r="AG5" i="1"/>
  <c r="AG6" i="1"/>
  <c r="AG7" i="1"/>
  <c r="AG8" i="1"/>
  <c r="AG9" i="1"/>
  <c r="AG10" i="1"/>
  <c r="AG11" i="1"/>
  <c r="AG12" i="1"/>
  <c r="AG13" i="1"/>
  <c r="AG14" i="1"/>
  <c r="AG15" i="1"/>
  <c r="AG16" i="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45" i="1"/>
  <c r="AG46" i="1"/>
  <c r="AG47" i="1"/>
  <c r="AG48" i="1"/>
  <c r="AG49" i="1"/>
  <c r="AG50"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4" i="1"/>
  <c r="AF5" i="1"/>
  <c r="AF6" i="1"/>
  <c r="AF7" i="1"/>
  <c r="AF8" i="1"/>
  <c r="AF9" i="1"/>
  <c r="AF10" i="1"/>
  <c r="AF11" i="1"/>
  <c r="AF12" i="1"/>
  <c r="AF13" i="1"/>
  <c r="AF14" i="1"/>
  <c r="AF15" i="1"/>
  <c r="AF16" i="1"/>
  <c r="AF17" i="1"/>
  <c r="AF18" i="1"/>
  <c r="AF19" i="1"/>
  <c r="AF20" i="1"/>
  <c r="AF21" i="1"/>
  <c r="AF22" i="1"/>
  <c r="AF23" i="1"/>
  <c r="AF24" i="1"/>
  <c r="AF25" i="1"/>
  <c r="AF26" i="1"/>
  <c r="AF27" i="1"/>
  <c r="AF28" i="1"/>
  <c r="AF29" i="1"/>
  <c r="AF30" i="1"/>
  <c r="AF31" i="1"/>
  <c r="AF32" i="1"/>
  <c r="AF33" i="1"/>
  <c r="AF34" i="1"/>
  <c r="AF35" i="1"/>
  <c r="AF36" i="1"/>
  <c r="AF37" i="1"/>
  <c r="AF38" i="1"/>
  <c r="AF39" i="1"/>
  <c r="AF40" i="1"/>
  <c r="AF41" i="1"/>
  <c r="AF42" i="1"/>
  <c r="AF43" i="1"/>
  <c r="AF44" i="1"/>
  <c r="AF45" i="1"/>
  <c r="AF46" i="1"/>
  <c r="AF47" i="1"/>
  <c r="AF48" i="1"/>
  <c r="AF49" i="1"/>
  <c r="AF50" i="1"/>
  <c r="AF51" i="1"/>
  <c r="AF52" i="1"/>
  <c r="AF53" i="1"/>
  <c r="AF54" i="1"/>
  <c r="AF55" i="1"/>
  <c r="AF56" i="1"/>
  <c r="AF57" i="1"/>
  <c r="AF58" i="1"/>
  <c r="AF59" i="1"/>
  <c r="AF60" i="1"/>
  <c r="AF61" i="1"/>
  <c r="AF62" i="1"/>
  <c r="AF63" i="1"/>
  <c r="AF64" i="1"/>
  <c r="AF65" i="1"/>
  <c r="AF66" i="1"/>
  <c r="AF67" i="1"/>
  <c r="AF68" i="1"/>
  <c r="AF69" i="1"/>
  <c r="AF70" i="1"/>
  <c r="AF71" i="1"/>
  <c r="AF72" i="1"/>
  <c r="AF73" i="1"/>
  <c r="AF74" i="1"/>
  <c r="AF75" i="1"/>
  <c r="AF76" i="1"/>
  <c r="AF77" i="1"/>
  <c r="AF78" i="1"/>
  <c r="AF79" i="1"/>
  <c r="AF80" i="1"/>
  <c r="AF81" i="1"/>
  <c r="AF82" i="1"/>
  <c r="AF83" i="1"/>
  <c r="AF84" i="1"/>
  <c r="AF85" i="1"/>
  <c r="AF86" i="1"/>
  <c r="AF87" i="1"/>
  <c r="AF88" i="1"/>
  <c r="AF89" i="1"/>
  <c r="AF90" i="1"/>
  <c r="AF91" i="1"/>
  <c r="AF92" i="1"/>
  <c r="AF93" i="1"/>
  <c r="AF94" i="1"/>
  <c r="AF4" i="1"/>
  <c r="I19" i="8"/>
  <c r="I26" i="8"/>
  <c r="I58" i="8"/>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4" i="1"/>
  <c r="AA5" i="1"/>
  <c r="AA6" i="1"/>
  <c r="AA7" i="1"/>
  <c r="AA8" i="1"/>
  <c r="AA9" i="1"/>
  <c r="AA10"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4" i="1"/>
  <c r="Z5" i="1"/>
  <c r="Z6" i="1"/>
  <c r="Z7" i="1"/>
  <c r="Z8" i="1"/>
  <c r="Z9" i="1"/>
  <c r="Z10" i="1"/>
  <c r="Z11" i="1"/>
  <c r="Z12" i="1"/>
  <c r="Z13" i="1"/>
  <c r="Z14" i="1"/>
  <c r="Z15" i="1"/>
  <c r="Z16" i="1"/>
  <c r="Z17"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4" i="1"/>
  <c r="Y5" i="1"/>
  <c r="Y6" i="1"/>
  <c r="Y7" i="1"/>
  <c r="Y8" i="1"/>
  <c r="Y9" i="1"/>
  <c r="Y10" i="1"/>
  <c r="Y11" i="1"/>
  <c r="Y12" i="1"/>
  <c r="Y13" i="1"/>
  <c r="Y14" i="1"/>
  <c r="Y15" i="1"/>
  <c r="Y16" i="1"/>
  <c r="Y17" i="1"/>
  <c r="Y18" i="1"/>
  <c r="Y19" i="1"/>
  <c r="Y20" i="1"/>
  <c r="Y21" i="1"/>
  <c r="Y22" i="1"/>
  <c r="Y23" i="1"/>
  <c r="Y24" i="1"/>
  <c r="Y25" i="1"/>
  <c r="Y26" i="1"/>
  <c r="Y27" i="1"/>
  <c r="Y28" i="1"/>
  <c r="Y29" i="1"/>
  <c r="Y30" i="1"/>
  <c r="Y31" i="1"/>
  <c r="Y32" i="1"/>
  <c r="Y33" i="1"/>
  <c r="Y34" i="1"/>
  <c r="Y35" i="1"/>
  <c r="Y36" i="1"/>
  <c r="Y37" i="1"/>
  <c r="Y38" i="1"/>
  <c r="Y39" i="1"/>
  <c r="Y40" i="1"/>
  <c r="Y41" i="1"/>
  <c r="Y42" i="1"/>
  <c r="Y43" i="1"/>
  <c r="Y44" i="1"/>
  <c r="Y45" i="1"/>
  <c r="Y46" i="1"/>
  <c r="Y47" i="1"/>
  <c r="Y48" i="1"/>
  <c r="Y49" i="1"/>
  <c r="Y50" i="1"/>
  <c r="Y51" i="1"/>
  <c r="Y52" i="1"/>
  <c r="Y53" i="1"/>
  <c r="Y54" i="1"/>
  <c r="Y55" i="1"/>
  <c r="Y56" i="1"/>
  <c r="Y57" i="1"/>
  <c r="Y58" i="1"/>
  <c r="Y59" i="1"/>
  <c r="Y60" i="1"/>
  <c r="Y61" i="1"/>
  <c r="Y62" i="1"/>
  <c r="Y63" i="1"/>
  <c r="Y64" i="1"/>
  <c r="Y65" i="1"/>
  <c r="Y66" i="1"/>
  <c r="Y67" i="1"/>
  <c r="Y68" i="1"/>
  <c r="Y69" i="1"/>
  <c r="Y70" i="1"/>
  <c r="Y71" i="1"/>
  <c r="Y72" i="1"/>
  <c r="Y73" i="1"/>
  <c r="Y74" i="1"/>
  <c r="Y75" i="1"/>
  <c r="Y76" i="1"/>
  <c r="Y77" i="1"/>
  <c r="Y78" i="1"/>
  <c r="Y79" i="1"/>
  <c r="Y80" i="1"/>
  <c r="Y81" i="1"/>
  <c r="Y82" i="1"/>
  <c r="Y83" i="1"/>
  <c r="Y84" i="1"/>
  <c r="Y85" i="1"/>
  <c r="Y86" i="1"/>
  <c r="Y87" i="1"/>
  <c r="Y88" i="1"/>
  <c r="Y89" i="1"/>
  <c r="Y90" i="1"/>
  <c r="Y91" i="1"/>
  <c r="Y92" i="1"/>
  <c r="Y93" i="1"/>
  <c r="Y94" i="1"/>
  <c r="Y4" i="1"/>
  <c r="X5" i="1"/>
  <c r="X6"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4" i="1"/>
  <c r="I13" i="8"/>
  <c r="I14" i="8"/>
  <c r="I15" i="8"/>
  <c r="I16" i="8"/>
  <c r="I25" i="8"/>
  <c r="I27" i="8"/>
  <c r="I32" i="8"/>
  <c r="I34" i="8"/>
  <c r="I44" i="8"/>
  <c r="I48" i="8"/>
  <c r="I60" i="8"/>
  <c r="I64" i="8"/>
  <c r="I66" i="8"/>
  <c r="I68" i="8"/>
  <c r="I72" i="8"/>
  <c r="I82" i="8"/>
  <c r="I84" i="8"/>
  <c r="I92" i="8"/>
  <c r="H9" i="8"/>
  <c r="H13" i="8"/>
  <c r="H14" i="8"/>
  <c r="H15" i="8"/>
  <c r="H20" i="8"/>
  <c r="H24" i="8"/>
  <c r="H26" i="8"/>
  <c r="H30" i="8"/>
  <c r="H31" i="8"/>
  <c r="H32" i="8"/>
  <c r="H34" i="8"/>
  <c r="H35" i="8"/>
  <c r="H38" i="8"/>
  <c r="H39" i="8"/>
  <c r="H40" i="8"/>
  <c r="H42" i="8"/>
  <c r="H43" i="8"/>
  <c r="H46" i="8"/>
  <c r="H47" i="8"/>
  <c r="H48" i="8"/>
  <c r="H49" i="8"/>
  <c r="H50" i="8"/>
  <c r="H51" i="8"/>
  <c r="H54" i="8"/>
  <c r="H55" i="8"/>
  <c r="H56" i="8"/>
  <c r="H57" i="8"/>
  <c r="H58" i="8"/>
  <c r="H59" i="8"/>
  <c r="H62" i="8"/>
  <c r="H63" i="8"/>
  <c r="H64" i="8"/>
  <c r="H65" i="8"/>
  <c r="H66" i="8"/>
  <c r="H67" i="8"/>
  <c r="H70" i="8"/>
  <c r="H71" i="8"/>
  <c r="H72" i="8"/>
  <c r="H73" i="8"/>
  <c r="H74" i="8"/>
  <c r="H75" i="8"/>
  <c r="H78" i="8"/>
  <c r="H79" i="8"/>
  <c r="H80" i="8"/>
  <c r="H81" i="8"/>
  <c r="H82" i="8"/>
  <c r="H83" i="8"/>
  <c r="H86" i="8"/>
  <c r="H87" i="8"/>
  <c r="H88" i="8"/>
  <c r="H89" i="8"/>
  <c r="H90" i="8"/>
  <c r="H91" i="8"/>
  <c r="G11" i="8"/>
  <c r="G13" i="8"/>
  <c r="G26" i="8"/>
  <c r="G27" i="8"/>
  <c r="G28" i="8"/>
  <c r="G32" i="8"/>
  <c r="G35" i="8"/>
  <c r="G36" i="8"/>
  <c r="G40" i="8"/>
  <c r="G42" i="8"/>
  <c r="G43" i="8"/>
  <c r="G44" i="8"/>
  <c r="G48" i="8"/>
  <c r="G51" i="8"/>
  <c r="G56" i="8"/>
  <c r="G59" i="8"/>
  <c r="G64" i="8"/>
  <c r="G67" i="8"/>
  <c r="G72" i="8"/>
  <c r="G75" i="8"/>
  <c r="G76" i="8"/>
  <c r="G80" i="8"/>
  <c r="G83" i="8"/>
  <c r="G84" i="8"/>
  <c r="G88" i="8"/>
  <c r="G91" i="8"/>
  <c r="G92" i="8"/>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3" i="1"/>
  <c r="T54" i="1"/>
  <c r="T55" i="1"/>
  <c r="T56" i="1"/>
  <c r="T57" i="1"/>
  <c r="T58" i="1"/>
  <c r="T59" i="1"/>
  <c r="T60" i="1"/>
  <c r="T61" i="1"/>
  <c r="T62" i="1"/>
  <c r="T63" i="1"/>
  <c r="T64" i="1"/>
  <c r="T65" i="1"/>
  <c r="T66" i="1"/>
  <c r="T67" i="1"/>
  <c r="T68" i="1"/>
  <c r="T69" i="1"/>
  <c r="T70" i="1"/>
  <c r="T71" i="1"/>
  <c r="T72" i="1"/>
  <c r="T73" i="1"/>
  <c r="T74" i="1"/>
  <c r="T75" i="1"/>
  <c r="T76" i="1"/>
  <c r="T77" i="1"/>
  <c r="T78" i="1"/>
  <c r="T79" i="1"/>
  <c r="T80" i="1"/>
  <c r="T81" i="1"/>
  <c r="T82" i="1"/>
  <c r="T83" i="1"/>
  <c r="T84" i="1"/>
  <c r="T85" i="1"/>
  <c r="T86" i="1"/>
  <c r="T87" i="1"/>
  <c r="T88" i="1"/>
  <c r="T89" i="1"/>
  <c r="T90" i="1"/>
  <c r="T91" i="1"/>
  <c r="T92" i="1"/>
  <c r="T93" i="1"/>
  <c r="T94" i="1"/>
  <c r="T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4" i="1"/>
  <c r="R5" i="1"/>
  <c r="R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4" i="1"/>
  <c r="AU39" i="8" l="1"/>
  <c r="AQ39" i="8"/>
  <c r="AS39" i="8"/>
  <c r="AR39" i="8"/>
  <c r="AW39" i="8"/>
  <c r="AV39" i="8"/>
  <c r="AT39" i="8"/>
  <c r="I76" i="8"/>
  <c r="I74" i="8"/>
  <c r="G68" i="9"/>
  <c r="I90" i="8"/>
  <c r="I88" i="8"/>
  <c r="B88" i="9" s="1"/>
  <c r="I80" i="8"/>
  <c r="B80" i="9" s="1"/>
  <c r="G26" i="9"/>
  <c r="G17" i="9"/>
  <c r="G9" i="9"/>
  <c r="G22" i="9"/>
  <c r="G60" i="9"/>
  <c r="G10" i="9"/>
  <c r="B26" i="9"/>
  <c r="I56" i="8"/>
  <c r="B56" i="9" s="1"/>
  <c r="G29" i="9"/>
  <c r="I52" i="8"/>
  <c r="G52" i="9"/>
  <c r="I50" i="8"/>
  <c r="I42" i="8"/>
  <c r="B42" i="9" s="1"/>
  <c r="I40" i="8"/>
  <c r="B40" i="9" s="1"/>
  <c r="G37" i="9"/>
  <c r="I36" i="8"/>
  <c r="I28" i="8"/>
  <c r="G41" i="9"/>
  <c r="G33" i="9"/>
  <c r="B72" i="9"/>
  <c r="B64" i="9"/>
  <c r="B48" i="9"/>
  <c r="B32" i="9"/>
  <c r="G93" i="9"/>
  <c r="G85" i="9"/>
  <c r="G77" i="9"/>
  <c r="G69" i="9"/>
  <c r="G61" i="9"/>
  <c r="G53" i="9"/>
  <c r="G45" i="9"/>
  <c r="G78" i="8"/>
  <c r="G46" i="8"/>
  <c r="H33" i="8"/>
  <c r="G60" i="8"/>
  <c r="G90" i="8"/>
  <c r="B90" i="9" s="1"/>
  <c r="G74" i="8"/>
  <c r="G58" i="8"/>
  <c r="B58" i="9" s="1"/>
  <c r="G34" i="8"/>
  <c r="B34" i="9" s="1"/>
  <c r="H37" i="8"/>
  <c r="G89" i="8"/>
  <c r="G81" i="8"/>
  <c r="G73" i="8"/>
  <c r="G65" i="8"/>
  <c r="G57" i="8"/>
  <c r="G49" i="8"/>
  <c r="G41" i="8"/>
  <c r="G33" i="8"/>
  <c r="H92" i="8"/>
  <c r="B92" i="9" s="1"/>
  <c r="H84" i="8"/>
  <c r="B84" i="9" s="1"/>
  <c r="H76" i="8"/>
  <c r="B76" i="9" s="1"/>
  <c r="H68" i="8"/>
  <c r="H60" i="8"/>
  <c r="H52" i="8"/>
  <c r="H44" i="8"/>
  <c r="B44" i="9" s="1"/>
  <c r="H36" i="8"/>
  <c r="H28" i="8"/>
  <c r="I87" i="8"/>
  <c r="I79" i="8"/>
  <c r="I71" i="8"/>
  <c r="I63" i="8"/>
  <c r="I55" i="8"/>
  <c r="I47" i="8"/>
  <c r="I39" i="8"/>
  <c r="I31" i="8"/>
  <c r="G83" i="9"/>
  <c r="G90" i="9"/>
  <c r="G82" i="9"/>
  <c r="G74" i="9"/>
  <c r="G66" i="9"/>
  <c r="G58" i="9"/>
  <c r="G50" i="9"/>
  <c r="G86" i="8"/>
  <c r="G54" i="8"/>
  <c r="H41" i="8"/>
  <c r="G68" i="8"/>
  <c r="G82" i="8"/>
  <c r="B82" i="9" s="1"/>
  <c r="G66" i="8"/>
  <c r="B66" i="9" s="1"/>
  <c r="G50" i="8"/>
  <c r="H93" i="8"/>
  <c r="H85" i="8"/>
  <c r="H77" i="8"/>
  <c r="H69" i="8"/>
  <c r="H61" i="8"/>
  <c r="H53" i="8"/>
  <c r="H45" i="8"/>
  <c r="H29" i="8"/>
  <c r="G36" i="9"/>
  <c r="I86" i="8"/>
  <c r="I78" i="8"/>
  <c r="I70" i="8"/>
  <c r="I62" i="8"/>
  <c r="I54" i="8"/>
  <c r="I46" i="8"/>
  <c r="I38" i="8"/>
  <c r="I30" i="8"/>
  <c r="G89" i="9"/>
  <c r="G81" i="9"/>
  <c r="G73" i="9"/>
  <c r="G65" i="9"/>
  <c r="G57" i="9"/>
  <c r="G49" i="9"/>
  <c r="G52" i="8"/>
  <c r="G84" i="9"/>
  <c r="G76" i="9"/>
  <c r="G28" i="9"/>
  <c r="G87" i="8"/>
  <c r="G79" i="8"/>
  <c r="G71" i="8"/>
  <c r="G63" i="8"/>
  <c r="G55" i="8"/>
  <c r="G47" i="8"/>
  <c r="G39" i="8"/>
  <c r="G31" i="8"/>
  <c r="I93" i="8"/>
  <c r="I85" i="8"/>
  <c r="I77" i="8"/>
  <c r="I69" i="8"/>
  <c r="I61" i="8"/>
  <c r="I53" i="8"/>
  <c r="I45" i="8"/>
  <c r="I37" i="8"/>
  <c r="I29" i="8"/>
  <c r="G88" i="9"/>
  <c r="G56" i="9"/>
  <c r="G62" i="8"/>
  <c r="G87" i="9"/>
  <c r="G79" i="9"/>
  <c r="G71" i="9"/>
  <c r="G63" i="9"/>
  <c r="G55" i="9"/>
  <c r="G47" i="9"/>
  <c r="G39" i="9"/>
  <c r="G31" i="9"/>
  <c r="G70" i="8"/>
  <c r="G38" i="8"/>
  <c r="G30" i="8"/>
  <c r="G93" i="8"/>
  <c r="G85" i="8"/>
  <c r="G77" i="8"/>
  <c r="G69" i="8"/>
  <c r="G61" i="8"/>
  <c r="G53" i="8"/>
  <c r="G45" i="8"/>
  <c r="G37" i="8"/>
  <c r="G29" i="8"/>
  <c r="I91" i="8"/>
  <c r="B91" i="9" s="1"/>
  <c r="I83" i="8"/>
  <c r="B83" i="9" s="1"/>
  <c r="I75" i="8"/>
  <c r="B75" i="9" s="1"/>
  <c r="I67" i="8"/>
  <c r="B67" i="9" s="1"/>
  <c r="I59" i="8"/>
  <c r="B59" i="9" s="1"/>
  <c r="I51" i="8"/>
  <c r="B51" i="9" s="1"/>
  <c r="I43" i="8"/>
  <c r="B43" i="9" s="1"/>
  <c r="I35" i="8"/>
  <c r="B35" i="9" s="1"/>
  <c r="G86" i="9"/>
  <c r="G78" i="9"/>
  <c r="G70" i="9"/>
  <c r="G62" i="9"/>
  <c r="G54" i="9"/>
  <c r="G46" i="9"/>
  <c r="G38" i="9"/>
  <c r="G30" i="9"/>
  <c r="I89" i="8"/>
  <c r="I81" i="8"/>
  <c r="I73" i="8"/>
  <c r="I65" i="8"/>
  <c r="I57" i="8"/>
  <c r="I49" i="8"/>
  <c r="I41" i="8"/>
  <c r="I33" i="8"/>
  <c r="G25" i="9"/>
  <c r="H27" i="8"/>
  <c r="B27" i="9" s="1"/>
  <c r="H25" i="8"/>
  <c r="G27" i="9"/>
  <c r="G25" i="8"/>
  <c r="G24" i="8"/>
  <c r="I24" i="8"/>
  <c r="G24" i="9"/>
  <c r="G23" i="9"/>
  <c r="G23" i="8"/>
  <c r="H23" i="8"/>
  <c r="I23" i="8"/>
  <c r="G21" i="9"/>
  <c r="G22" i="8"/>
  <c r="G21" i="8"/>
  <c r="H22" i="8"/>
  <c r="H21" i="8"/>
  <c r="I22" i="8"/>
  <c r="I21" i="8"/>
  <c r="I20" i="8"/>
  <c r="G20" i="9"/>
  <c r="G20" i="8"/>
  <c r="G19" i="9"/>
  <c r="G18" i="9"/>
  <c r="I18" i="8"/>
  <c r="H19" i="8"/>
  <c r="I17" i="8"/>
  <c r="H18" i="8"/>
  <c r="G19" i="8"/>
  <c r="H17" i="8"/>
  <c r="G18" i="8"/>
  <c r="G17" i="8"/>
  <c r="H16" i="8"/>
  <c r="G16" i="8"/>
  <c r="G16" i="9"/>
  <c r="B13" i="9"/>
  <c r="G15" i="8"/>
  <c r="B15" i="9" s="1"/>
  <c r="G14" i="8"/>
  <c r="B14" i="9" s="1"/>
  <c r="G12" i="9"/>
  <c r="H12" i="8"/>
  <c r="I12" i="8"/>
  <c r="G12" i="8"/>
  <c r="G10" i="8"/>
  <c r="G11" i="9"/>
  <c r="G9" i="8"/>
  <c r="I11" i="8"/>
  <c r="I10" i="8"/>
  <c r="H11" i="8"/>
  <c r="I9" i="8"/>
  <c r="H10" i="8"/>
  <c r="G8" i="9"/>
  <c r="I8" i="8"/>
  <c r="H8" i="8"/>
  <c r="K4" i="1"/>
  <c r="AJ66" i="10"/>
  <c r="AI39" i="10"/>
  <c r="AH7" i="10"/>
  <c r="AH39" i="10"/>
  <c r="AH49" i="10"/>
  <c r="AH71" i="10"/>
  <c r="AH81" i="10"/>
  <c r="AG12" i="10"/>
  <c r="AG22" i="10"/>
  <c r="AG41" i="10"/>
  <c r="BC41" i="10" s="1"/>
  <c r="AG49" i="10"/>
  <c r="AG57" i="10"/>
  <c r="AG65" i="10"/>
  <c r="AF6" i="10"/>
  <c r="AF14" i="10"/>
  <c r="AF22" i="10"/>
  <c r="AF30" i="10"/>
  <c r="AF38" i="10"/>
  <c r="AF46" i="10"/>
  <c r="AF54" i="10"/>
  <c r="AF62" i="10"/>
  <c r="AE11" i="10"/>
  <c r="AE19" i="10"/>
  <c r="AE27" i="10"/>
  <c r="AE35" i="10"/>
  <c r="AE43" i="10"/>
  <c r="AE51" i="10"/>
  <c r="AE59" i="10"/>
  <c r="AE67" i="10"/>
  <c r="AE75" i="10"/>
  <c r="AE83" i="10"/>
  <c r="AE91" i="10"/>
  <c r="AC5" i="10"/>
  <c r="AC13" i="10"/>
  <c r="AC21" i="10"/>
  <c r="AC29" i="10"/>
  <c r="AC37" i="10"/>
  <c r="AC45" i="10"/>
  <c r="AC53" i="10"/>
  <c r="AC61" i="10"/>
  <c r="AC69" i="10"/>
  <c r="AC77" i="10"/>
  <c r="AC85" i="10"/>
  <c r="AC93" i="10"/>
  <c r="AA7" i="10"/>
  <c r="AA15" i="10"/>
  <c r="AA23" i="10"/>
  <c r="AA31" i="10"/>
  <c r="AA39" i="10"/>
  <c r="AA47" i="10"/>
  <c r="AA55" i="10"/>
  <c r="AA63" i="10"/>
  <c r="AA71" i="10"/>
  <c r="AA79" i="10"/>
  <c r="AA87" i="10"/>
  <c r="AA4" i="10"/>
  <c r="Z94" i="10"/>
  <c r="Y5" i="10"/>
  <c r="AJ5" i="10" s="1"/>
  <c r="Y6" i="10"/>
  <c r="AJ6" i="10" s="1"/>
  <c r="Y7" i="10"/>
  <c r="AJ7" i="10" s="1"/>
  <c r="Y8" i="10"/>
  <c r="AJ8" i="10" s="1"/>
  <c r="Y9" i="10"/>
  <c r="AJ9" i="10" s="1"/>
  <c r="Y10" i="10"/>
  <c r="AJ10" i="10" s="1"/>
  <c r="Y11" i="10"/>
  <c r="AJ11" i="10" s="1"/>
  <c r="Y12" i="10"/>
  <c r="AJ12" i="10" s="1"/>
  <c r="Y13" i="10"/>
  <c r="AJ13" i="10" s="1"/>
  <c r="Y14" i="10"/>
  <c r="AJ14" i="10" s="1"/>
  <c r="Y15" i="10"/>
  <c r="AJ15" i="10" s="1"/>
  <c r="Y16" i="10"/>
  <c r="AJ16" i="10" s="1"/>
  <c r="Y17" i="10"/>
  <c r="AJ17" i="10" s="1"/>
  <c r="Y18" i="10"/>
  <c r="AJ18" i="10" s="1"/>
  <c r="Y19" i="10"/>
  <c r="AJ19" i="10" s="1"/>
  <c r="Y20" i="10"/>
  <c r="AJ20" i="10" s="1"/>
  <c r="Y21" i="10"/>
  <c r="AJ21" i="10" s="1"/>
  <c r="Y22" i="10"/>
  <c r="AJ22" i="10" s="1"/>
  <c r="Y23" i="10"/>
  <c r="AJ23" i="10" s="1"/>
  <c r="Y24" i="10"/>
  <c r="AJ24" i="10" s="1"/>
  <c r="Y25" i="10"/>
  <c r="AJ25" i="10" s="1"/>
  <c r="Y26" i="10"/>
  <c r="AJ26" i="10" s="1"/>
  <c r="Y27" i="10"/>
  <c r="AJ27" i="10" s="1"/>
  <c r="Y28" i="10"/>
  <c r="AJ28" i="10" s="1"/>
  <c r="Y29" i="10"/>
  <c r="AJ29" i="10" s="1"/>
  <c r="Y30" i="10"/>
  <c r="AJ30" i="10" s="1"/>
  <c r="Y31" i="10"/>
  <c r="AJ31" i="10" s="1"/>
  <c r="Y32" i="10"/>
  <c r="AJ32" i="10" s="1"/>
  <c r="Y33" i="10"/>
  <c r="AJ33" i="10" s="1"/>
  <c r="Y34" i="10"/>
  <c r="AJ34" i="10" s="1"/>
  <c r="Y35" i="10"/>
  <c r="AJ35" i="10" s="1"/>
  <c r="Y36" i="10"/>
  <c r="AJ36" i="10" s="1"/>
  <c r="Y37" i="10"/>
  <c r="AJ37" i="10" s="1"/>
  <c r="Y38" i="10"/>
  <c r="AJ38" i="10" s="1"/>
  <c r="Y39" i="10"/>
  <c r="AJ39" i="10" s="1"/>
  <c r="Y40" i="10"/>
  <c r="AJ40" i="10" s="1"/>
  <c r="Y41" i="10"/>
  <c r="AJ41" i="10" s="1"/>
  <c r="Y42" i="10"/>
  <c r="AJ42" i="10" s="1"/>
  <c r="Y43" i="10"/>
  <c r="AJ43" i="10" s="1"/>
  <c r="Y44" i="10"/>
  <c r="AJ44" i="10" s="1"/>
  <c r="Y45" i="10"/>
  <c r="AJ45" i="10" s="1"/>
  <c r="Y46" i="10"/>
  <c r="AJ46" i="10" s="1"/>
  <c r="Y47" i="10"/>
  <c r="AJ47" i="10" s="1"/>
  <c r="Y48" i="10"/>
  <c r="AJ48" i="10" s="1"/>
  <c r="Y49" i="10"/>
  <c r="AJ49" i="10" s="1"/>
  <c r="Y50" i="10"/>
  <c r="AJ50" i="10" s="1"/>
  <c r="Y51" i="10"/>
  <c r="AJ51" i="10" s="1"/>
  <c r="Y52" i="10"/>
  <c r="AJ52" i="10" s="1"/>
  <c r="Y53" i="10"/>
  <c r="AJ53" i="10" s="1"/>
  <c r="Y54" i="10"/>
  <c r="AJ54" i="10" s="1"/>
  <c r="Y55" i="10"/>
  <c r="AJ55" i="10" s="1"/>
  <c r="Y56" i="10"/>
  <c r="AJ56" i="10" s="1"/>
  <c r="Y57" i="10"/>
  <c r="AJ57" i="10" s="1"/>
  <c r="Y58" i="10"/>
  <c r="AJ58" i="10" s="1"/>
  <c r="Y59" i="10"/>
  <c r="AJ59" i="10" s="1"/>
  <c r="Y60" i="10"/>
  <c r="AJ60" i="10" s="1"/>
  <c r="Y61" i="10"/>
  <c r="AJ61" i="10" s="1"/>
  <c r="Y62" i="10"/>
  <c r="AJ62" i="10" s="1"/>
  <c r="Y63" i="10"/>
  <c r="AJ63" i="10" s="1"/>
  <c r="Y64" i="10"/>
  <c r="AJ64" i="10" s="1"/>
  <c r="Y65" i="10"/>
  <c r="AJ65" i="10" s="1"/>
  <c r="Y66" i="10"/>
  <c r="Y67" i="10"/>
  <c r="AJ67" i="10" s="1"/>
  <c r="Y68" i="10"/>
  <c r="AJ68" i="10" s="1"/>
  <c r="Y69" i="10"/>
  <c r="AJ69" i="10" s="1"/>
  <c r="Y70" i="10"/>
  <c r="AJ70" i="10" s="1"/>
  <c r="Y71" i="10"/>
  <c r="AJ71" i="10" s="1"/>
  <c r="Y72" i="10"/>
  <c r="AJ72" i="10" s="1"/>
  <c r="Y73" i="10"/>
  <c r="AJ73" i="10" s="1"/>
  <c r="Y74" i="10"/>
  <c r="AJ74" i="10" s="1"/>
  <c r="Y75" i="10"/>
  <c r="AJ75" i="10" s="1"/>
  <c r="Y76" i="10"/>
  <c r="AJ76" i="10" s="1"/>
  <c r="Y77" i="10"/>
  <c r="AJ77" i="10" s="1"/>
  <c r="Y78" i="10"/>
  <c r="AJ78" i="10" s="1"/>
  <c r="Y79" i="10"/>
  <c r="AJ79" i="10" s="1"/>
  <c r="Y80" i="10"/>
  <c r="AJ80" i="10" s="1"/>
  <c r="Y81" i="10"/>
  <c r="AJ81" i="10" s="1"/>
  <c r="Y82" i="10"/>
  <c r="AJ82" i="10" s="1"/>
  <c r="Y83" i="10"/>
  <c r="AJ83" i="10" s="1"/>
  <c r="Y84" i="10"/>
  <c r="AJ84" i="10" s="1"/>
  <c r="Y85" i="10"/>
  <c r="AJ85" i="10" s="1"/>
  <c r="Y86" i="10"/>
  <c r="AJ86" i="10" s="1"/>
  <c r="Y87" i="10"/>
  <c r="AJ87" i="10" s="1"/>
  <c r="Y88" i="10"/>
  <c r="AJ88" i="10" s="1"/>
  <c r="Y89" i="10"/>
  <c r="AJ89" i="10" s="1"/>
  <c r="Y90" i="10"/>
  <c r="AJ90" i="10" s="1"/>
  <c r="AJ91" i="10"/>
  <c r="AJ92" i="10"/>
  <c r="AJ93" i="10"/>
  <c r="AJ94" i="10"/>
  <c r="Y4" i="10"/>
  <c r="AJ4" i="10" s="1"/>
  <c r="X5" i="10"/>
  <c r="AI5" i="10" s="1"/>
  <c r="X6" i="10"/>
  <c r="AI6" i="10" s="1"/>
  <c r="X7" i="10"/>
  <c r="AI7" i="10" s="1"/>
  <c r="X8" i="10"/>
  <c r="AI8" i="10" s="1"/>
  <c r="X9" i="10"/>
  <c r="AI9" i="10" s="1"/>
  <c r="X10" i="10"/>
  <c r="AI10" i="10" s="1"/>
  <c r="X11" i="10"/>
  <c r="AI11" i="10" s="1"/>
  <c r="X12" i="10"/>
  <c r="AI12" i="10" s="1"/>
  <c r="X13" i="10"/>
  <c r="AI13" i="10" s="1"/>
  <c r="X14" i="10"/>
  <c r="AI14" i="10" s="1"/>
  <c r="X15" i="10"/>
  <c r="AI15" i="10" s="1"/>
  <c r="X16" i="10"/>
  <c r="AI16" i="10" s="1"/>
  <c r="X17" i="10"/>
  <c r="AI17" i="10" s="1"/>
  <c r="X18" i="10"/>
  <c r="AI18" i="10" s="1"/>
  <c r="X19" i="10"/>
  <c r="AI19" i="10" s="1"/>
  <c r="X20" i="10"/>
  <c r="AI20" i="10" s="1"/>
  <c r="X21" i="10"/>
  <c r="AI21" i="10" s="1"/>
  <c r="X22" i="10"/>
  <c r="AI22" i="10" s="1"/>
  <c r="X23" i="10"/>
  <c r="AI23" i="10" s="1"/>
  <c r="X24" i="10"/>
  <c r="AI24" i="10" s="1"/>
  <c r="X25" i="10"/>
  <c r="AI25" i="10" s="1"/>
  <c r="X26" i="10"/>
  <c r="AI26" i="10" s="1"/>
  <c r="X27" i="10"/>
  <c r="AI27" i="10" s="1"/>
  <c r="X28" i="10"/>
  <c r="AI28" i="10" s="1"/>
  <c r="X29" i="10"/>
  <c r="AI29" i="10" s="1"/>
  <c r="X30" i="10"/>
  <c r="AI30" i="10" s="1"/>
  <c r="X31" i="10"/>
  <c r="AI31" i="10" s="1"/>
  <c r="X32" i="10"/>
  <c r="AI32" i="10" s="1"/>
  <c r="X33" i="10"/>
  <c r="AI33" i="10" s="1"/>
  <c r="X34" i="10"/>
  <c r="AI34" i="10" s="1"/>
  <c r="X35" i="10"/>
  <c r="AI35" i="10" s="1"/>
  <c r="X36" i="10"/>
  <c r="AI36" i="10" s="1"/>
  <c r="X37" i="10"/>
  <c r="AI37" i="10" s="1"/>
  <c r="X38" i="10"/>
  <c r="AI38" i="10" s="1"/>
  <c r="X39" i="10"/>
  <c r="X40" i="10"/>
  <c r="AI40" i="10" s="1"/>
  <c r="X41" i="10"/>
  <c r="AI41" i="10" s="1"/>
  <c r="X42" i="10"/>
  <c r="AI42" i="10" s="1"/>
  <c r="X43" i="10"/>
  <c r="AI43" i="10" s="1"/>
  <c r="X44" i="10"/>
  <c r="AI44" i="10" s="1"/>
  <c r="X45" i="10"/>
  <c r="AI45" i="10" s="1"/>
  <c r="X46" i="10"/>
  <c r="AI46" i="10" s="1"/>
  <c r="X47" i="10"/>
  <c r="AI47" i="10" s="1"/>
  <c r="X48" i="10"/>
  <c r="AI48" i="10" s="1"/>
  <c r="X49" i="10"/>
  <c r="AI49" i="10" s="1"/>
  <c r="X50" i="10"/>
  <c r="AI50" i="10" s="1"/>
  <c r="X51" i="10"/>
  <c r="AI51" i="10" s="1"/>
  <c r="X52" i="10"/>
  <c r="AI52" i="10" s="1"/>
  <c r="X53" i="10"/>
  <c r="AI53" i="10" s="1"/>
  <c r="X54" i="10"/>
  <c r="AI54" i="10" s="1"/>
  <c r="X55" i="10"/>
  <c r="AI55" i="10" s="1"/>
  <c r="X56" i="10"/>
  <c r="AI56" i="10" s="1"/>
  <c r="X57" i="10"/>
  <c r="AI57" i="10" s="1"/>
  <c r="X58" i="10"/>
  <c r="AI58" i="10" s="1"/>
  <c r="X59" i="10"/>
  <c r="AI59" i="10" s="1"/>
  <c r="X60" i="10"/>
  <c r="AI60" i="10" s="1"/>
  <c r="X61" i="10"/>
  <c r="AI61" i="10" s="1"/>
  <c r="X62" i="10"/>
  <c r="AI62" i="10" s="1"/>
  <c r="X63" i="10"/>
  <c r="AI63" i="10" s="1"/>
  <c r="X64" i="10"/>
  <c r="AI64" i="10" s="1"/>
  <c r="X65" i="10"/>
  <c r="AI65" i="10" s="1"/>
  <c r="X66" i="10"/>
  <c r="AI66" i="10" s="1"/>
  <c r="X67" i="10"/>
  <c r="AI67" i="10" s="1"/>
  <c r="X68" i="10"/>
  <c r="AI68" i="10" s="1"/>
  <c r="X69" i="10"/>
  <c r="AI69" i="10" s="1"/>
  <c r="X70" i="10"/>
  <c r="AI70" i="10" s="1"/>
  <c r="X71" i="10"/>
  <c r="AI71" i="10" s="1"/>
  <c r="X72" i="10"/>
  <c r="AI72" i="10" s="1"/>
  <c r="X73" i="10"/>
  <c r="AI73" i="10" s="1"/>
  <c r="X74" i="10"/>
  <c r="AI74" i="10" s="1"/>
  <c r="X75" i="10"/>
  <c r="AI75" i="10" s="1"/>
  <c r="X76" i="10"/>
  <c r="AI76" i="10" s="1"/>
  <c r="X77" i="10"/>
  <c r="AI77" i="10" s="1"/>
  <c r="X78" i="10"/>
  <c r="AI78" i="10" s="1"/>
  <c r="X79" i="10"/>
  <c r="AI79" i="10" s="1"/>
  <c r="X80" i="10"/>
  <c r="AI80" i="10" s="1"/>
  <c r="X81" i="10"/>
  <c r="AI81" i="10" s="1"/>
  <c r="X82" i="10"/>
  <c r="AI82" i="10" s="1"/>
  <c r="X83" i="10"/>
  <c r="AI83" i="10" s="1"/>
  <c r="X84" i="10"/>
  <c r="AI84" i="10" s="1"/>
  <c r="X85" i="10"/>
  <c r="AI85" i="10" s="1"/>
  <c r="X86" i="10"/>
  <c r="AI86" i="10" s="1"/>
  <c r="X87" i="10"/>
  <c r="AI87" i="10" s="1"/>
  <c r="X88" i="10"/>
  <c r="AI88" i="10" s="1"/>
  <c r="X89" i="10"/>
  <c r="AI89" i="10" s="1"/>
  <c r="X90" i="10"/>
  <c r="AI90" i="10" s="1"/>
  <c r="X91" i="10"/>
  <c r="AI91" i="10" s="1"/>
  <c r="AI92" i="10"/>
  <c r="AI93" i="10"/>
  <c r="AI94" i="10"/>
  <c r="X4" i="10"/>
  <c r="AI4" i="10" s="1"/>
  <c r="W5" i="10"/>
  <c r="AH5" i="10" s="1"/>
  <c r="W6" i="10"/>
  <c r="AH6" i="10" s="1"/>
  <c r="W7" i="10"/>
  <c r="W8" i="10"/>
  <c r="AH8" i="10" s="1"/>
  <c r="W9" i="10"/>
  <c r="AH9" i="10" s="1"/>
  <c r="W10" i="10"/>
  <c r="AH10" i="10" s="1"/>
  <c r="W11" i="10"/>
  <c r="AH11" i="10" s="1"/>
  <c r="W12" i="10"/>
  <c r="AH12" i="10" s="1"/>
  <c r="W13" i="10"/>
  <c r="AH13" i="10" s="1"/>
  <c r="W14" i="10"/>
  <c r="AH14" i="10" s="1"/>
  <c r="W15" i="10"/>
  <c r="AH15" i="10" s="1"/>
  <c r="W16" i="10"/>
  <c r="AH16" i="10" s="1"/>
  <c r="W17" i="10"/>
  <c r="AH17" i="10" s="1"/>
  <c r="W18" i="10"/>
  <c r="AH18" i="10" s="1"/>
  <c r="W19" i="10"/>
  <c r="AH19" i="10" s="1"/>
  <c r="W20" i="10"/>
  <c r="AH20" i="10" s="1"/>
  <c r="W21" i="10"/>
  <c r="AH21" i="10" s="1"/>
  <c r="W22" i="10"/>
  <c r="AH22" i="10" s="1"/>
  <c r="W23" i="10"/>
  <c r="AH23" i="10" s="1"/>
  <c r="W24" i="10"/>
  <c r="AH24" i="10" s="1"/>
  <c r="W25" i="10"/>
  <c r="AH25" i="10" s="1"/>
  <c r="W26" i="10"/>
  <c r="AH26" i="10" s="1"/>
  <c r="W27" i="10"/>
  <c r="AH27" i="10" s="1"/>
  <c r="W28" i="10"/>
  <c r="AH28" i="10" s="1"/>
  <c r="W29" i="10"/>
  <c r="AH29" i="10" s="1"/>
  <c r="W30" i="10"/>
  <c r="AH30" i="10" s="1"/>
  <c r="W31" i="10"/>
  <c r="AH31" i="10" s="1"/>
  <c r="W32" i="10"/>
  <c r="AH32" i="10" s="1"/>
  <c r="W33" i="10"/>
  <c r="AH33" i="10" s="1"/>
  <c r="W34" i="10"/>
  <c r="AH34" i="10" s="1"/>
  <c r="W35" i="10"/>
  <c r="AH35" i="10" s="1"/>
  <c r="W36" i="10"/>
  <c r="AH36" i="10" s="1"/>
  <c r="W37" i="10"/>
  <c r="AH37" i="10" s="1"/>
  <c r="W38" i="10"/>
  <c r="AH38" i="10" s="1"/>
  <c r="W39" i="10"/>
  <c r="W40" i="10"/>
  <c r="AH40" i="10" s="1"/>
  <c r="W41" i="10"/>
  <c r="AH41" i="10" s="1"/>
  <c r="W42" i="10"/>
  <c r="AH42" i="10" s="1"/>
  <c r="W43" i="10"/>
  <c r="AH43" i="10" s="1"/>
  <c r="W44" i="10"/>
  <c r="AH44" i="10" s="1"/>
  <c r="W45" i="10"/>
  <c r="AH45" i="10" s="1"/>
  <c r="W46" i="10"/>
  <c r="AH46" i="10" s="1"/>
  <c r="W47" i="10"/>
  <c r="AH47" i="10" s="1"/>
  <c r="W48" i="10"/>
  <c r="AH48" i="10" s="1"/>
  <c r="W49" i="10"/>
  <c r="W50" i="10"/>
  <c r="AH50" i="10" s="1"/>
  <c r="W51" i="10"/>
  <c r="AH51" i="10" s="1"/>
  <c r="W52" i="10"/>
  <c r="AH52" i="10" s="1"/>
  <c r="W53" i="10"/>
  <c r="AH53" i="10" s="1"/>
  <c r="W54" i="10"/>
  <c r="AH54" i="10" s="1"/>
  <c r="W55" i="10"/>
  <c r="AH55" i="10" s="1"/>
  <c r="W56" i="10"/>
  <c r="AH56" i="10" s="1"/>
  <c r="W57" i="10"/>
  <c r="AH57" i="10" s="1"/>
  <c r="W58" i="10"/>
  <c r="AH58" i="10" s="1"/>
  <c r="W59" i="10"/>
  <c r="AH59" i="10" s="1"/>
  <c r="W60" i="10"/>
  <c r="AH60" i="10" s="1"/>
  <c r="W61" i="10"/>
  <c r="AH61" i="10" s="1"/>
  <c r="W62" i="10"/>
  <c r="AH62" i="10" s="1"/>
  <c r="W63" i="10"/>
  <c r="AH63" i="10" s="1"/>
  <c r="W64" i="10"/>
  <c r="AH64" i="10" s="1"/>
  <c r="W65" i="10"/>
  <c r="AH65" i="10" s="1"/>
  <c r="W66" i="10"/>
  <c r="AH66" i="10" s="1"/>
  <c r="W67" i="10"/>
  <c r="AH67" i="10" s="1"/>
  <c r="W68" i="10"/>
  <c r="AH68" i="10" s="1"/>
  <c r="W69" i="10"/>
  <c r="AH69" i="10" s="1"/>
  <c r="W70" i="10"/>
  <c r="AH70" i="10" s="1"/>
  <c r="BD70" i="10" s="1"/>
  <c r="W71" i="10"/>
  <c r="W72" i="10"/>
  <c r="AH72" i="10" s="1"/>
  <c r="W73" i="10"/>
  <c r="AH73" i="10" s="1"/>
  <c r="W74" i="10"/>
  <c r="AH74" i="10" s="1"/>
  <c r="W75" i="10"/>
  <c r="AH75" i="10" s="1"/>
  <c r="W76" i="10"/>
  <c r="AH76" i="10" s="1"/>
  <c r="W77" i="10"/>
  <c r="AH77" i="10" s="1"/>
  <c r="W78" i="10"/>
  <c r="AH78" i="10" s="1"/>
  <c r="W79" i="10"/>
  <c r="AH79" i="10" s="1"/>
  <c r="W80" i="10"/>
  <c r="AH80" i="10" s="1"/>
  <c r="W81" i="10"/>
  <c r="W82" i="10"/>
  <c r="AH82" i="10" s="1"/>
  <c r="W83" i="10"/>
  <c r="AH83" i="10" s="1"/>
  <c r="W84" i="10"/>
  <c r="AH84" i="10" s="1"/>
  <c r="W85" i="10"/>
  <c r="AH85" i="10" s="1"/>
  <c r="W86" i="10"/>
  <c r="AH86" i="10" s="1"/>
  <c r="W87" i="10"/>
  <c r="AH87" i="10" s="1"/>
  <c r="W88" i="10"/>
  <c r="AH88" i="10" s="1"/>
  <c r="W89" i="10"/>
  <c r="AH89" i="10" s="1"/>
  <c r="W90" i="10"/>
  <c r="AH90" i="10" s="1"/>
  <c r="AH91" i="10"/>
  <c r="AH92" i="10"/>
  <c r="AH93" i="10"/>
  <c r="AH94" i="10"/>
  <c r="W4" i="10"/>
  <c r="AH4" i="10" s="1"/>
  <c r="V5" i="10"/>
  <c r="AG5" i="10" s="1"/>
  <c r="V6" i="10"/>
  <c r="AG6" i="10" s="1"/>
  <c r="V7" i="10"/>
  <c r="AG7" i="10" s="1"/>
  <c r="V8" i="10"/>
  <c r="AG8" i="10" s="1"/>
  <c r="V9" i="10"/>
  <c r="AG9" i="10" s="1"/>
  <c r="V10" i="10"/>
  <c r="AG10" i="10" s="1"/>
  <c r="V11" i="10"/>
  <c r="AG11" i="10" s="1"/>
  <c r="V12" i="10"/>
  <c r="V13" i="10"/>
  <c r="AG13" i="10" s="1"/>
  <c r="V14" i="10"/>
  <c r="AG14" i="10" s="1"/>
  <c r="V15" i="10"/>
  <c r="AG15" i="10" s="1"/>
  <c r="V16" i="10"/>
  <c r="AG16" i="10" s="1"/>
  <c r="V17" i="10"/>
  <c r="AG17" i="10" s="1"/>
  <c r="V18" i="10"/>
  <c r="AG18" i="10" s="1"/>
  <c r="V19" i="10"/>
  <c r="AG19" i="10" s="1"/>
  <c r="BC19" i="10" s="1"/>
  <c r="V20" i="10"/>
  <c r="AG20" i="10" s="1"/>
  <c r="V21" i="10"/>
  <c r="AG21" i="10" s="1"/>
  <c r="V22" i="10"/>
  <c r="V23" i="10"/>
  <c r="AG23" i="10" s="1"/>
  <c r="V24" i="10"/>
  <c r="AG24" i="10" s="1"/>
  <c r="V25" i="10"/>
  <c r="AG25" i="10" s="1"/>
  <c r="V26" i="10"/>
  <c r="AG26" i="10" s="1"/>
  <c r="V27" i="10"/>
  <c r="AG27" i="10" s="1"/>
  <c r="V28" i="10"/>
  <c r="AG28" i="10" s="1"/>
  <c r="V29" i="10"/>
  <c r="AG29" i="10" s="1"/>
  <c r="V30" i="10"/>
  <c r="AG30" i="10" s="1"/>
  <c r="V31" i="10"/>
  <c r="AG31" i="10" s="1"/>
  <c r="V32" i="10"/>
  <c r="AG32" i="10" s="1"/>
  <c r="V33" i="10"/>
  <c r="AG33" i="10" s="1"/>
  <c r="V34" i="10"/>
  <c r="AG34" i="10" s="1"/>
  <c r="V35" i="10"/>
  <c r="AG35" i="10" s="1"/>
  <c r="V36" i="10"/>
  <c r="AG36" i="10" s="1"/>
  <c r="V37" i="10"/>
  <c r="AG37" i="10" s="1"/>
  <c r="V38" i="10"/>
  <c r="AG38" i="10" s="1"/>
  <c r="V39" i="10"/>
  <c r="AG39" i="10" s="1"/>
  <c r="V40" i="10"/>
  <c r="AG40" i="10" s="1"/>
  <c r="V41" i="10"/>
  <c r="V42" i="10"/>
  <c r="AG42" i="10" s="1"/>
  <c r="V43" i="10"/>
  <c r="AG43" i="10" s="1"/>
  <c r="V44" i="10"/>
  <c r="AG44" i="10" s="1"/>
  <c r="V45" i="10"/>
  <c r="AG45" i="10" s="1"/>
  <c r="V46" i="10"/>
  <c r="AG46" i="10" s="1"/>
  <c r="V47" i="10"/>
  <c r="AG47" i="10" s="1"/>
  <c r="V48" i="10"/>
  <c r="AG48" i="10" s="1"/>
  <c r="V49" i="10"/>
  <c r="V50" i="10"/>
  <c r="AG50" i="10" s="1"/>
  <c r="V51" i="10"/>
  <c r="AG51" i="10" s="1"/>
  <c r="V52" i="10"/>
  <c r="AG52" i="10" s="1"/>
  <c r="V53" i="10"/>
  <c r="AG53" i="10" s="1"/>
  <c r="V54" i="10"/>
  <c r="AG54" i="10" s="1"/>
  <c r="V55" i="10"/>
  <c r="AG55" i="10" s="1"/>
  <c r="V56" i="10"/>
  <c r="AG56" i="10" s="1"/>
  <c r="V57" i="10"/>
  <c r="V58" i="10"/>
  <c r="AG58" i="10" s="1"/>
  <c r="V59" i="10"/>
  <c r="AG59" i="10" s="1"/>
  <c r="V60" i="10"/>
  <c r="AG60" i="10" s="1"/>
  <c r="V61" i="10"/>
  <c r="AG61" i="10" s="1"/>
  <c r="V62" i="10"/>
  <c r="AG62" i="10" s="1"/>
  <c r="V63" i="10"/>
  <c r="AG63" i="10" s="1"/>
  <c r="V64" i="10"/>
  <c r="AG64" i="10" s="1"/>
  <c r="V65" i="10"/>
  <c r="V66" i="10"/>
  <c r="AG66" i="10" s="1"/>
  <c r="V67" i="10"/>
  <c r="AG67" i="10" s="1"/>
  <c r="V68" i="10"/>
  <c r="AG68" i="10" s="1"/>
  <c r="V69" i="10"/>
  <c r="AG69" i="10" s="1"/>
  <c r="V70" i="10"/>
  <c r="AG70" i="10" s="1"/>
  <c r="V71" i="10"/>
  <c r="AG71" i="10" s="1"/>
  <c r="V72" i="10"/>
  <c r="AG72" i="10" s="1"/>
  <c r="V73" i="10"/>
  <c r="AG73" i="10" s="1"/>
  <c r="V74" i="10"/>
  <c r="AG74" i="10" s="1"/>
  <c r="V75" i="10"/>
  <c r="AG75" i="10" s="1"/>
  <c r="BC75" i="10" s="1"/>
  <c r="V76" i="10"/>
  <c r="AG76" i="10" s="1"/>
  <c r="BC76" i="10" s="1"/>
  <c r="V77" i="10"/>
  <c r="AG77" i="10" s="1"/>
  <c r="BC77" i="10" s="1"/>
  <c r="V78" i="10"/>
  <c r="AG78" i="10" s="1"/>
  <c r="BC78" i="10" s="1"/>
  <c r="V79" i="10"/>
  <c r="AG79" i="10" s="1"/>
  <c r="BC79" i="10" s="1"/>
  <c r="V80" i="10"/>
  <c r="AG80" i="10" s="1"/>
  <c r="BC80" i="10" s="1"/>
  <c r="V81" i="10"/>
  <c r="AG81" i="10" s="1"/>
  <c r="BC81" i="10" s="1"/>
  <c r="AG82" i="10"/>
  <c r="BC82" i="10" s="1"/>
  <c r="AG83" i="10"/>
  <c r="BC83" i="10" s="1"/>
  <c r="AG84" i="10"/>
  <c r="BC84" i="10" s="1"/>
  <c r="AG85" i="10"/>
  <c r="BC85" i="10" s="1"/>
  <c r="BC86" i="10"/>
  <c r="BC87" i="10"/>
  <c r="BC88" i="10"/>
  <c r="V4" i="10"/>
  <c r="AG4" i="10" s="1"/>
  <c r="U5" i="10"/>
  <c r="AF5" i="10" s="1"/>
  <c r="U6" i="10"/>
  <c r="U7" i="10"/>
  <c r="AF7" i="10" s="1"/>
  <c r="U8" i="10"/>
  <c r="AF8" i="10" s="1"/>
  <c r="U9" i="10"/>
  <c r="AF9" i="10" s="1"/>
  <c r="U10" i="10"/>
  <c r="AF10" i="10" s="1"/>
  <c r="U11" i="10"/>
  <c r="AF11" i="10" s="1"/>
  <c r="U12" i="10"/>
  <c r="AF12" i="10" s="1"/>
  <c r="U13" i="10"/>
  <c r="AF13" i="10" s="1"/>
  <c r="U14" i="10"/>
  <c r="U15" i="10"/>
  <c r="AF15" i="10" s="1"/>
  <c r="U16" i="10"/>
  <c r="AF16" i="10" s="1"/>
  <c r="U17" i="10"/>
  <c r="AF17" i="10" s="1"/>
  <c r="U18" i="10"/>
  <c r="AF18" i="10" s="1"/>
  <c r="U19" i="10"/>
  <c r="AF19" i="10" s="1"/>
  <c r="U20" i="10"/>
  <c r="AF20" i="10" s="1"/>
  <c r="U21" i="10"/>
  <c r="AF21" i="10" s="1"/>
  <c r="U22" i="10"/>
  <c r="U23" i="10"/>
  <c r="AF23" i="10" s="1"/>
  <c r="U24" i="10"/>
  <c r="AF24" i="10" s="1"/>
  <c r="U25" i="10"/>
  <c r="AF25" i="10" s="1"/>
  <c r="U26" i="10"/>
  <c r="AF26" i="10" s="1"/>
  <c r="U27" i="10"/>
  <c r="AF27" i="10" s="1"/>
  <c r="U28" i="10"/>
  <c r="AF28" i="10" s="1"/>
  <c r="U29" i="10"/>
  <c r="AF29" i="10" s="1"/>
  <c r="U30" i="10"/>
  <c r="U31" i="10"/>
  <c r="AF31" i="10" s="1"/>
  <c r="U32" i="10"/>
  <c r="AF32" i="10" s="1"/>
  <c r="U33" i="10"/>
  <c r="AF33" i="10" s="1"/>
  <c r="U34" i="10"/>
  <c r="AF34" i="10" s="1"/>
  <c r="U35" i="10"/>
  <c r="AF35" i="10" s="1"/>
  <c r="U36" i="10"/>
  <c r="AF36" i="10" s="1"/>
  <c r="U37" i="10"/>
  <c r="AF37" i="10" s="1"/>
  <c r="U38" i="10"/>
  <c r="U39" i="10"/>
  <c r="AF39" i="10" s="1"/>
  <c r="U40" i="10"/>
  <c r="AF40" i="10" s="1"/>
  <c r="U41" i="10"/>
  <c r="AF41" i="10" s="1"/>
  <c r="U42" i="10"/>
  <c r="AF42" i="10" s="1"/>
  <c r="U43" i="10"/>
  <c r="AF43" i="10" s="1"/>
  <c r="U44" i="10"/>
  <c r="AF44" i="10" s="1"/>
  <c r="U45" i="10"/>
  <c r="AF45" i="10" s="1"/>
  <c r="U46" i="10"/>
  <c r="U47" i="10"/>
  <c r="AF47" i="10" s="1"/>
  <c r="U48" i="10"/>
  <c r="AF48" i="10" s="1"/>
  <c r="U49" i="10"/>
  <c r="AF49" i="10" s="1"/>
  <c r="U50" i="10"/>
  <c r="AF50" i="10" s="1"/>
  <c r="U51" i="10"/>
  <c r="AF51" i="10" s="1"/>
  <c r="U52" i="10"/>
  <c r="AF52" i="10" s="1"/>
  <c r="U53" i="10"/>
  <c r="AF53" i="10" s="1"/>
  <c r="U54" i="10"/>
  <c r="U55" i="10"/>
  <c r="AF55" i="10" s="1"/>
  <c r="U56" i="10"/>
  <c r="AF56" i="10" s="1"/>
  <c r="U57" i="10"/>
  <c r="AF57" i="10" s="1"/>
  <c r="U58" i="10"/>
  <c r="AF58" i="10" s="1"/>
  <c r="U59" i="10"/>
  <c r="AF59" i="10" s="1"/>
  <c r="U60" i="10"/>
  <c r="AF60" i="10" s="1"/>
  <c r="U61" i="10"/>
  <c r="AF61" i="10" s="1"/>
  <c r="U62" i="10"/>
  <c r="U63" i="10"/>
  <c r="AF63" i="10" s="1"/>
  <c r="U64" i="10"/>
  <c r="AF64" i="10" s="1"/>
  <c r="U65" i="10"/>
  <c r="AF65" i="10" s="1"/>
  <c r="U66" i="10"/>
  <c r="AF66" i="10" s="1"/>
  <c r="U67" i="10"/>
  <c r="AF67" i="10" s="1"/>
  <c r="U68" i="10"/>
  <c r="AF68" i="10" s="1"/>
  <c r="U69" i="10"/>
  <c r="AF69" i="10" s="1"/>
  <c r="U70" i="10"/>
  <c r="AF70" i="10" s="1"/>
  <c r="U71" i="10"/>
  <c r="AF71" i="10" s="1"/>
  <c r="U72" i="10"/>
  <c r="AF72" i="10" s="1"/>
  <c r="U73" i="10"/>
  <c r="AF73" i="10" s="1"/>
  <c r="U74" i="10"/>
  <c r="AF74" i="10" s="1"/>
  <c r="U75" i="10"/>
  <c r="AF75" i="10" s="1"/>
  <c r="U76" i="10"/>
  <c r="AF76" i="10" s="1"/>
  <c r="U77" i="10"/>
  <c r="AF77" i="10" s="1"/>
  <c r="U78" i="10"/>
  <c r="AF78" i="10" s="1"/>
  <c r="U79" i="10"/>
  <c r="AF79" i="10" s="1"/>
  <c r="U80" i="10"/>
  <c r="AF80" i="10" s="1"/>
  <c r="AF81" i="10"/>
  <c r="AF82" i="10"/>
  <c r="AF83" i="10"/>
  <c r="AF84" i="10"/>
  <c r="AF85" i="10"/>
  <c r="U4" i="10"/>
  <c r="AF4" i="10" s="1"/>
  <c r="T5" i="10"/>
  <c r="AE5" i="10" s="1"/>
  <c r="T6" i="10"/>
  <c r="AE6" i="10" s="1"/>
  <c r="T7" i="10"/>
  <c r="AE7" i="10" s="1"/>
  <c r="T8" i="10"/>
  <c r="AE8" i="10" s="1"/>
  <c r="T9" i="10"/>
  <c r="AE9" i="10" s="1"/>
  <c r="T10" i="10"/>
  <c r="AE10" i="10" s="1"/>
  <c r="T11" i="10"/>
  <c r="T12" i="10"/>
  <c r="AE12" i="10" s="1"/>
  <c r="T13" i="10"/>
  <c r="AE13" i="10" s="1"/>
  <c r="T14" i="10"/>
  <c r="AE14" i="10" s="1"/>
  <c r="T15" i="10"/>
  <c r="AE15" i="10" s="1"/>
  <c r="T16" i="10"/>
  <c r="AE16" i="10" s="1"/>
  <c r="T17" i="10"/>
  <c r="AE17" i="10" s="1"/>
  <c r="T18" i="10"/>
  <c r="AE18" i="10" s="1"/>
  <c r="T19" i="10"/>
  <c r="T20" i="10"/>
  <c r="AE20" i="10" s="1"/>
  <c r="T21" i="10"/>
  <c r="AE21" i="10" s="1"/>
  <c r="T22" i="10"/>
  <c r="AE22" i="10" s="1"/>
  <c r="T23" i="10"/>
  <c r="AE23" i="10" s="1"/>
  <c r="T24" i="10"/>
  <c r="AE24" i="10" s="1"/>
  <c r="T25" i="10"/>
  <c r="AE25" i="10" s="1"/>
  <c r="T26" i="10"/>
  <c r="AE26" i="10" s="1"/>
  <c r="T27" i="10"/>
  <c r="T28" i="10"/>
  <c r="AE28" i="10" s="1"/>
  <c r="T29" i="10"/>
  <c r="AE29" i="10" s="1"/>
  <c r="T30" i="10"/>
  <c r="AE30" i="10" s="1"/>
  <c r="T31" i="10"/>
  <c r="AE31" i="10" s="1"/>
  <c r="T32" i="10"/>
  <c r="AE32" i="10" s="1"/>
  <c r="T33" i="10"/>
  <c r="AE33" i="10" s="1"/>
  <c r="T34" i="10"/>
  <c r="AE34" i="10" s="1"/>
  <c r="T35" i="10"/>
  <c r="T36" i="10"/>
  <c r="AE36" i="10" s="1"/>
  <c r="T37" i="10"/>
  <c r="AE37" i="10" s="1"/>
  <c r="T38" i="10"/>
  <c r="AE38" i="10" s="1"/>
  <c r="T39" i="10"/>
  <c r="AE39" i="10" s="1"/>
  <c r="T40" i="10"/>
  <c r="AE40" i="10" s="1"/>
  <c r="T41" i="10"/>
  <c r="AE41" i="10" s="1"/>
  <c r="T42" i="10"/>
  <c r="AE42" i="10" s="1"/>
  <c r="T43" i="10"/>
  <c r="T44" i="10"/>
  <c r="AE44" i="10" s="1"/>
  <c r="T45" i="10"/>
  <c r="AE45" i="10" s="1"/>
  <c r="T46" i="10"/>
  <c r="AE46" i="10" s="1"/>
  <c r="T47" i="10"/>
  <c r="AE47" i="10" s="1"/>
  <c r="T48" i="10"/>
  <c r="AE48" i="10" s="1"/>
  <c r="T49" i="10"/>
  <c r="AE49" i="10" s="1"/>
  <c r="T50" i="10"/>
  <c r="AE50" i="10" s="1"/>
  <c r="T51" i="10"/>
  <c r="T52" i="10"/>
  <c r="AE52" i="10" s="1"/>
  <c r="T53" i="10"/>
  <c r="AE53" i="10" s="1"/>
  <c r="T54" i="10"/>
  <c r="AE54" i="10" s="1"/>
  <c r="T55" i="10"/>
  <c r="AE55" i="10" s="1"/>
  <c r="T56" i="10"/>
  <c r="AE56" i="10" s="1"/>
  <c r="T57" i="10"/>
  <c r="AE57" i="10" s="1"/>
  <c r="T58" i="10"/>
  <c r="AE58" i="10" s="1"/>
  <c r="T59" i="10"/>
  <c r="T60" i="10"/>
  <c r="AE60" i="10" s="1"/>
  <c r="T61" i="10"/>
  <c r="AE61" i="10" s="1"/>
  <c r="T62" i="10"/>
  <c r="AE62" i="10" s="1"/>
  <c r="T63" i="10"/>
  <c r="AE63" i="10" s="1"/>
  <c r="T64" i="10"/>
  <c r="AE64" i="10" s="1"/>
  <c r="T65" i="10"/>
  <c r="AE65" i="10" s="1"/>
  <c r="T66" i="10"/>
  <c r="AE66" i="10" s="1"/>
  <c r="T67" i="10"/>
  <c r="T68" i="10"/>
  <c r="AE68" i="10" s="1"/>
  <c r="T69" i="10"/>
  <c r="AE69" i="10" s="1"/>
  <c r="T70" i="10"/>
  <c r="AE70" i="10" s="1"/>
  <c r="T71" i="10"/>
  <c r="AE71" i="10" s="1"/>
  <c r="T72" i="10"/>
  <c r="AE72" i="10" s="1"/>
  <c r="T73" i="10"/>
  <c r="AE73" i="10" s="1"/>
  <c r="T74" i="10"/>
  <c r="AE74" i="10" s="1"/>
  <c r="T75" i="10"/>
  <c r="T76" i="10"/>
  <c r="AE76" i="10" s="1"/>
  <c r="T77" i="10"/>
  <c r="AE77" i="10" s="1"/>
  <c r="T78" i="10"/>
  <c r="AE78" i="10" s="1"/>
  <c r="T79" i="10"/>
  <c r="AE79" i="10" s="1"/>
  <c r="T80" i="10"/>
  <c r="AE80" i="10" s="1"/>
  <c r="T81" i="10"/>
  <c r="AE81" i="10" s="1"/>
  <c r="T82" i="10"/>
  <c r="AE82" i="10" s="1"/>
  <c r="AE84" i="10"/>
  <c r="AE85" i="10"/>
  <c r="AE86" i="10"/>
  <c r="AE87" i="10"/>
  <c r="AE88" i="10"/>
  <c r="AE89" i="10"/>
  <c r="AE90" i="10"/>
  <c r="AE92" i="10"/>
  <c r="AE93" i="10"/>
  <c r="AE94" i="10"/>
  <c r="T4" i="10"/>
  <c r="AE4" i="10" s="1"/>
  <c r="S4" i="10"/>
  <c r="AD4" i="10" s="1"/>
  <c r="S5" i="10"/>
  <c r="AD5" i="10" s="1"/>
  <c r="S6" i="10"/>
  <c r="AD6" i="10" s="1"/>
  <c r="S7" i="10"/>
  <c r="AD7" i="10" s="1"/>
  <c r="S8" i="10"/>
  <c r="AD8" i="10" s="1"/>
  <c r="S9" i="10"/>
  <c r="AD9" i="10" s="1"/>
  <c r="S10" i="10"/>
  <c r="AD10" i="10" s="1"/>
  <c r="S11" i="10"/>
  <c r="AD11" i="10" s="1"/>
  <c r="S12" i="10"/>
  <c r="AD12" i="10" s="1"/>
  <c r="S13" i="10"/>
  <c r="AD13" i="10" s="1"/>
  <c r="S14" i="10"/>
  <c r="AD14" i="10" s="1"/>
  <c r="S15" i="10"/>
  <c r="AD15" i="10" s="1"/>
  <c r="S16" i="10"/>
  <c r="AD16" i="10" s="1"/>
  <c r="S17" i="10"/>
  <c r="AD17" i="10" s="1"/>
  <c r="S18" i="10"/>
  <c r="AD18" i="10" s="1"/>
  <c r="S19" i="10"/>
  <c r="AD19" i="10" s="1"/>
  <c r="S20" i="10"/>
  <c r="AD20" i="10" s="1"/>
  <c r="S21" i="10"/>
  <c r="AD21" i="10" s="1"/>
  <c r="S22" i="10"/>
  <c r="AD22" i="10" s="1"/>
  <c r="S23" i="10"/>
  <c r="AD23" i="10" s="1"/>
  <c r="S24" i="10"/>
  <c r="AD24" i="10" s="1"/>
  <c r="S25" i="10"/>
  <c r="AD25" i="10" s="1"/>
  <c r="S26" i="10"/>
  <c r="AD26" i="10" s="1"/>
  <c r="S27" i="10"/>
  <c r="AD27" i="10" s="1"/>
  <c r="S28" i="10"/>
  <c r="AD28" i="10" s="1"/>
  <c r="S29" i="10"/>
  <c r="AD29" i="10" s="1"/>
  <c r="S30" i="10"/>
  <c r="AD30" i="10" s="1"/>
  <c r="S31" i="10"/>
  <c r="AD31" i="10" s="1"/>
  <c r="S32" i="10"/>
  <c r="AD32" i="10" s="1"/>
  <c r="S33" i="10"/>
  <c r="AD33" i="10" s="1"/>
  <c r="S34" i="10"/>
  <c r="AD34" i="10" s="1"/>
  <c r="S35" i="10"/>
  <c r="AD35" i="10" s="1"/>
  <c r="S36" i="10"/>
  <c r="AD36" i="10" s="1"/>
  <c r="S37" i="10"/>
  <c r="AD37" i="10" s="1"/>
  <c r="S38" i="10"/>
  <c r="AD38" i="10" s="1"/>
  <c r="S39" i="10"/>
  <c r="AD39" i="10" s="1"/>
  <c r="S40" i="10"/>
  <c r="AD40" i="10" s="1"/>
  <c r="S41" i="10"/>
  <c r="AD41" i="10" s="1"/>
  <c r="S42" i="10"/>
  <c r="AD42" i="10" s="1"/>
  <c r="S43" i="10"/>
  <c r="AD43" i="10" s="1"/>
  <c r="S44" i="10"/>
  <c r="AD44" i="10" s="1"/>
  <c r="S45" i="10"/>
  <c r="AD45" i="10" s="1"/>
  <c r="S46" i="10"/>
  <c r="AD46" i="10" s="1"/>
  <c r="S47" i="10"/>
  <c r="AD47" i="10" s="1"/>
  <c r="S48" i="10"/>
  <c r="AD48" i="10" s="1"/>
  <c r="S49" i="10"/>
  <c r="AD49" i="10" s="1"/>
  <c r="S50" i="10"/>
  <c r="AD50" i="10" s="1"/>
  <c r="S51" i="10"/>
  <c r="AD51" i="10" s="1"/>
  <c r="S52" i="10"/>
  <c r="AD52" i="10" s="1"/>
  <c r="S53" i="10"/>
  <c r="AD53" i="10" s="1"/>
  <c r="S54" i="10"/>
  <c r="AD54" i="10" s="1"/>
  <c r="S55" i="10"/>
  <c r="AD55" i="10" s="1"/>
  <c r="S56" i="10"/>
  <c r="AD56" i="10" s="1"/>
  <c r="S57" i="10"/>
  <c r="AD57" i="10" s="1"/>
  <c r="S58" i="10"/>
  <c r="AD58" i="10" s="1"/>
  <c r="S59" i="10"/>
  <c r="AD59" i="10" s="1"/>
  <c r="S60" i="10"/>
  <c r="AD60" i="10" s="1"/>
  <c r="S61" i="10"/>
  <c r="AD61" i="10" s="1"/>
  <c r="S62" i="10"/>
  <c r="AD62" i="10" s="1"/>
  <c r="S63" i="10"/>
  <c r="AD63" i="10" s="1"/>
  <c r="S64" i="10"/>
  <c r="AD64" i="10" s="1"/>
  <c r="S65" i="10"/>
  <c r="AD65" i="10" s="1"/>
  <c r="S66" i="10"/>
  <c r="AD66" i="10" s="1"/>
  <c r="S67" i="10"/>
  <c r="AD67" i="10" s="1"/>
  <c r="S68" i="10"/>
  <c r="AD68" i="10" s="1"/>
  <c r="S69" i="10"/>
  <c r="AD69" i="10" s="1"/>
  <c r="S70" i="10"/>
  <c r="AD70" i="10" s="1"/>
  <c r="S71" i="10"/>
  <c r="AD71" i="10" s="1"/>
  <c r="S72" i="10"/>
  <c r="AD72" i="10" s="1"/>
  <c r="S73" i="10"/>
  <c r="AD73" i="10" s="1"/>
  <c r="S74" i="10"/>
  <c r="AD74" i="10" s="1"/>
  <c r="S75" i="10"/>
  <c r="AD75" i="10" s="1"/>
  <c r="S76" i="10"/>
  <c r="AD76" i="10" s="1"/>
  <c r="S77" i="10"/>
  <c r="AD77" i="10" s="1"/>
  <c r="S78" i="10"/>
  <c r="AD78" i="10" s="1"/>
  <c r="S79" i="10"/>
  <c r="AD79" i="10" s="1"/>
  <c r="S80" i="10"/>
  <c r="AD80" i="10" s="1"/>
  <c r="S81" i="10"/>
  <c r="AD81" i="10" s="1"/>
  <c r="S82" i="10"/>
  <c r="AD82" i="10" s="1"/>
  <c r="S83" i="10"/>
  <c r="AD83" i="10" s="1"/>
  <c r="S84" i="10"/>
  <c r="AD84" i="10" s="1"/>
  <c r="AD85" i="10"/>
  <c r="R5" i="10"/>
  <c r="R6" i="10"/>
  <c r="AC6" i="10" s="1"/>
  <c r="R7" i="10"/>
  <c r="AC7" i="10" s="1"/>
  <c r="R8" i="10"/>
  <c r="AC8" i="10" s="1"/>
  <c r="R9" i="10"/>
  <c r="AC9" i="10" s="1"/>
  <c r="R10" i="10"/>
  <c r="AC10" i="10" s="1"/>
  <c r="R11" i="10"/>
  <c r="AC11" i="10" s="1"/>
  <c r="R12" i="10"/>
  <c r="AC12" i="10" s="1"/>
  <c r="R13" i="10"/>
  <c r="R14" i="10"/>
  <c r="AC14" i="10" s="1"/>
  <c r="R15" i="10"/>
  <c r="AC15" i="10" s="1"/>
  <c r="R16" i="10"/>
  <c r="AC16" i="10" s="1"/>
  <c r="R17" i="10"/>
  <c r="AC17" i="10" s="1"/>
  <c r="R18" i="10"/>
  <c r="AC18" i="10" s="1"/>
  <c r="R19" i="10"/>
  <c r="AC19" i="10" s="1"/>
  <c r="R20" i="10"/>
  <c r="AC20" i="10" s="1"/>
  <c r="R21" i="10"/>
  <c r="R22" i="10"/>
  <c r="AC22" i="10" s="1"/>
  <c r="R23" i="10"/>
  <c r="AC23" i="10" s="1"/>
  <c r="R24" i="10"/>
  <c r="AC24" i="10" s="1"/>
  <c r="R25" i="10"/>
  <c r="AC25" i="10" s="1"/>
  <c r="R26" i="10"/>
  <c r="AC26" i="10" s="1"/>
  <c r="R27" i="10"/>
  <c r="AC27" i="10" s="1"/>
  <c r="R28" i="10"/>
  <c r="AC28" i="10" s="1"/>
  <c r="R29" i="10"/>
  <c r="R30" i="10"/>
  <c r="AC30" i="10" s="1"/>
  <c r="R31" i="10"/>
  <c r="AC31" i="10" s="1"/>
  <c r="R32" i="10"/>
  <c r="AC32" i="10" s="1"/>
  <c r="R33" i="10"/>
  <c r="AC33" i="10" s="1"/>
  <c r="R34" i="10"/>
  <c r="AC34" i="10" s="1"/>
  <c r="R35" i="10"/>
  <c r="AC35" i="10" s="1"/>
  <c r="R36" i="10"/>
  <c r="AC36" i="10" s="1"/>
  <c r="R37" i="10"/>
  <c r="R38" i="10"/>
  <c r="AC38" i="10" s="1"/>
  <c r="R39" i="10"/>
  <c r="AC39" i="10" s="1"/>
  <c r="R40" i="10"/>
  <c r="AC40" i="10" s="1"/>
  <c r="R41" i="10"/>
  <c r="AC41" i="10" s="1"/>
  <c r="R42" i="10"/>
  <c r="AC42" i="10" s="1"/>
  <c r="R43" i="10"/>
  <c r="AC43" i="10" s="1"/>
  <c r="R44" i="10"/>
  <c r="AC44" i="10" s="1"/>
  <c r="R45" i="10"/>
  <c r="R46" i="10"/>
  <c r="AC46" i="10" s="1"/>
  <c r="R47" i="10"/>
  <c r="AC47" i="10" s="1"/>
  <c r="R48" i="10"/>
  <c r="AC48" i="10" s="1"/>
  <c r="R49" i="10"/>
  <c r="AC49" i="10" s="1"/>
  <c r="R50" i="10"/>
  <c r="AC50" i="10" s="1"/>
  <c r="R51" i="10"/>
  <c r="AC51" i="10" s="1"/>
  <c r="R52" i="10"/>
  <c r="AC52" i="10" s="1"/>
  <c r="R53" i="10"/>
  <c r="R54" i="10"/>
  <c r="AC54" i="10" s="1"/>
  <c r="R55" i="10"/>
  <c r="AC55" i="10" s="1"/>
  <c r="R56" i="10"/>
  <c r="AC56" i="10" s="1"/>
  <c r="R57" i="10"/>
  <c r="AC57" i="10" s="1"/>
  <c r="R58" i="10"/>
  <c r="AC58" i="10" s="1"/>
  <c r="R59" i="10"/>
  <c r="AC59" i="10" s="1"/>
  <c r="R60" i="10"/>
  <c r="AC60" i="10" s="1"/>
  <c r="R61" i="10"/>
  <c r="R62" i="10"/>
  <c r="AC62" i="10" s="1"/>
  <c r="R63" i="10"/>
  <c r="AC63" i="10" s="1"/>
  <c r="R64" i="10"/>
  <c r="AC64" i="10" s="1"/>
  <c r="R65" i="10"/>
  <c r="AC65" i="10" s="1"/>
  <c r="R66" i="10"/>
  <c r="AC66" i="10" s="1"/>
  <c r="R67" i="10"/>
  <c r="AC67" i="10" s="1"/>
  <c r="R68" i="10"/>
  <c r="AC68" i="10" s="1"/>
  <c r="R69" i="10"/>
  <c r="R70" i="10"/>
  <c r="AC70" i="10" s="1"/>
  <c r="R71" i="10"/>
  <c r="AC71" i="10" s="1"/>
  <c r="R72" i="10"/>
  <c r="AC72" i="10" s="1"/>
  <c r="R73" i="10"/>
  <c r="AC73" i="10" s="1"/>
  <c r="R74" i="10"/>
  <c r="AC74" i="10" s="1"/>
  <c r="R75" i="10"/>
  <c r="AC75" i="10" s="1"/>
  <c r="R76" i="10"/>
  <c r="AC76" i="10" s="1"/>
  <c r="R77" i="10"/>
  <c r="R78" i="10"/>
  <c r="AC78" i="10" s="1"/>
  <c r="R79" i="10"/>
  <c r="AC79" i="10" s="1"/>
  <c r="R80" i="10"/>
  <c r="AC80" i="10" s="1"/>
  <c r="R81" i="10"/>
  <c r="AC81" i="10" s="1"/>
  <c r="R82" i="10"/>
  <c r="AC82" i="10" s="1"/>
  <c r="R83" i="10"/>
  <c r="AC83" i="10" s="1"/>
  <c r="R84" i="10"/>
  <c r="AC84" i="10" s="1"/>
  <c r="R85" i="10"/>
  <c r="R86" i="10"/>
  <c r="AC86" i="10" s="1"/>
  <c r="R87" i="10"/>
  <c r="AC87" i="10" s="1"/>
  <c r="R88" i="10"/>
  <c r="AC88" i="10" s="1"/>
  <c r="R89" i="10"/>
  <c r="AC89" i="10" s="1"/>
  <c r="R90" i="10"/>
  <c r="AC90" i="10" s="1"/>
  <c r="AC91" i="10"/>
  <c r="AC92" i="10"/>
  <c r="AC94" i="10"/>
  <c r="R4" i="10"/>
  <c r="AC4" i="10" s="1"/>
  <c r="Q4" i="10"/>
  <c r="AB4" i="10" s="1"/>
  <c r="Q5" i="10"/>
  <c r="AB5" i="10" s="1"/>
  <c r="Q6" i="10"/>
  <c r="AB6" i="10" s="1"/>
  <c r="Q7" i="10"/>
  <c r="AB7" i="10" s="1"/>
  <c r="Q8" i="10"/>
  <c r="AB8" i="10" s="1"/>
  <c r="Q9" i="10"/>
  <c r="AB9" i="10" s="1"/>
  <c r="Q10" i="10"/>
  <c r="AB10" i="10" s="1"/>
  <c r="Q11" i="10"/>
  <c r="AB11" i="10" s="1"/>
  <c r="Q12" i="10"/>
  <c r="AB12" i="10" s="1"/>
  <c r="Q13" i="10"/>
  <c r="AB13" i="10" s="1"/>
  <c r="Q14" i="10"/>
  <c r="AB14" i="10" s="1"/>
  <c r="Q15" i="10"/>
  <c r="AB15" i="10" s="1"/>
  <c r="Q16" i="10"/>
  <c r="AB16" i="10" s="1"/>
  <c r="Q17" i="10"/>
  <c r="AB17" i="10" s="1"/>
  <c r="Q18" i="10"/>
  <c r="AB18" i="10" s="1"/>
  <c r="Q19" i="10"/>
  <c r="AB19" i="10" s="1"/>
  <c r="Q20" i="10"/>
  <c r="AB20" i="10" s="1"/>
  <c r="Q21" i="10"/>
  <c r="AB21" i="10" s="1"/>
  <c r="Q22" i="10"/>
  <c r="AB22" i="10" s="1"/>
  <c r="Q23" i="10"/>
  <c r="AB23" i="10" s="1"/>
  <c r="Q24" i="10"/>
  <c r="AB24" i="10" s="1"/>
  <c r="Q25" i="10"/>
  <c r="AB25" i="10" s="1"/>
  <c r="Q26" i="10"/>
  <c r="AB26" i="10" s="1"/>
  <c r="Q27" i="10"/>
  <c r="AB27" i="10" s="1"/>
  <c r="Q28" i="10"/>
  <c r="AB28" i="10" s="1"/>
  <c r="Q29" i="10"/>
  <c r="AB29" i="10" s="1"/>
  <c r="Q30" i="10"/>
  <c r="AB30" i="10" s="1"/>
  <c r="Q31" i="10"/>
  <c r="AB31" i="10" s="1"/>
  <c r="Q32" i="10"/>
  <c r="AB32" i="10" s="1"/>
  <c r="Q33" i="10"/>
  <c r="AB33" i="10" s="1"/>
  <c r="Q34" i="10"/>
  <c r="AB34" i="10" s="1"/>
  <c r="Q35" i="10"/>
  <c r="AB35" i="10" s="1"/>
  <c r="Q36" i="10"/>
  <c r="AB36" i="10" s="1"/>
  <c r="Q37" i="10"/>
  <c r="AB37" i="10" s="1"/>
  <c r="Q38" i="10"/>
  <c r="AB38" i="10" s="1"/>
  <c r="Q39" i="10"/>
  <c r="AB39" i="10" s="1"/>
  <c r="Q40" i="10"/>
  <c r="AB40" i="10" s="1"/>
  <c r="Q41" i="10"/>
  <c r="AB41" i="10" s="1"/>
  <c r="Q42" i="10"/>
  <c r="AB42" i="10" s="1"/>
  <c r="Q43" i="10"/>
  <c r="AB43" i="10" s="1"/>
  <c r="Q44" i="10"/>
  <c r="AB44" i="10" s="1"/>
  <c r="Q45" i="10"/>
  <c r="AB45" i="10" s="1"/>
  <c r="Q46" i="10"/>
  <c r="AB46" i="10" s="1"/>
  <c r="Q47" i="10"/>
  <c r="AB47" i="10" s="1"/>
  <c r="Q48" i="10"/>
  <c r="AB48" i="10" s="1"/>
  <c r="Q49" i="10"/>
  <c r="AB49" i="10" s="1"/>
  <c r="Q50" i="10"/>
  <c r="AB50" i="10" s="1"/>
  <c r="Q51" i="10"/>
  <c r="AB51" i="10" s="1"/>
  <c r="Q52" i="10"/>
  <c r="AB52" i="10" s="1"/>
  <c r="Q53" i="10"/>
  <c r="AB53" i="10" s="1"/>
  <c r="Q54" i="10"/>
  <c r="AB54" i="10" s="1"/>
  <c r="Q55" i="10"/>
  <c r="AB55" i="10" s="1"/>
  <c r="Q56" i="10"/>
  <c r="AB56" i="10" s="1"/>
  <c r="Q57" i="10"/>
  <c r="AB57" i="10" s="1"/>
  <c r="Q58" i="10"/>
  <c r="AB58" i="10" s="1"/>
  <c r="Q59" i="10"/>
  <c r="AB59" i="10" s="1"/>
  <c r="Q60" i="10"/>
  <c r="AB60" i="10" s="1"/>
  <c r="Q61" i="10"/>
  <c r="AB61" i="10" s="1"/>
  <c r="Q62" i="10"/>
  <c r="AB62" i="10" s="1"/>
  <c r="Q63" i="10"/>
  <c r="AB63" i="10" s="1"/>
  <c r="Q64" i="10"/>
  <c r="AB64" i="10" s="1"/>
  <c r="Q65" i="10"/>
  <c r="AB65" i="10" s="1"/>
  <c r="Q66" i="10"/>
  <c r="AB66" i="10" s="1"/>
  <c r="Q67" i="10"/>
  <c r="AB67" i="10" s="1"/>
  <c r="Q68" i="10"/>
  <c r="AB68" i="10" s="1"/>
  <c r="Q69" i="10"/>
  <c r="AB69" i="10" s="1"/>
  <c r="Q70" i="10"/>
  <c r="AB70" i="10" s="1"/>
  <c r="Q71" i="10"/>
  <c r="AB71" i="10" s="1"/>
  <c r="Q72" i="10"/>
  <c r="AB72" i="10" s="1"/>
  <c r="Q73" i="10"/>
  <c r="AB73" i="10" s="1"/>
  <c r="Q74" i="10"/>
  <c r="AB74" i="10" s="1"/>
  <c r="Q75" i="10"/>
  <c r="AB75" i="10" s="1"/>
  <c r="Q76" i="10"/>
  <c r="AB76" i="10" s="1"/>
  <c r="Q77" i="10"/>
  <c r="AB77" i="10" s="1"/>
  <c r="Q78" i="10"/>
  <c r="AB78" i="10" s="1"/>
  <c r="Q79" i="10"/>
  <c r="AB79" i="10" s="1"/>
  <c r="Q80" i="10"/>
  <c r="AB80" i="10" s="1"/>
  <c r="Q81" i="10"/>
  <c r="AB81" i="10" s="1"/>
  <c r="Q82" i="10"/>
  <c r="AB82" i="10" s="1"/>
  <c r="Q83" i="10"/>
  <c r="AB83" i="10" s="1"/>
  <c r="Q84" i="10"/>
  <c r="AB84" i="10" s="1"/>
  <c r="Q85" i="10"/>
  <c r="AB85" i="10" s="1"/>
  <c r="Q86" i="10"/>
  <c r="AB86" i="10" s="1"/>
  <c r="Q87" i="10"/>
  <c r="AB87" i="10" s="1"/>
  <c r="Q88" i="10"/>
  <c r="AB88" i="10" s="1"/>
  <c r="Q89" i="10"/>
  <c r="AB89" i="10" s="1"/>
  <c r="Q90" i="10"/>
  <c r="AB90" i="10" s="1"/>
  <c r="Q91" i="10"/>
  <c r="AB91" i="10" s="1"/>
  <c r="AB92" i="10"/>
  <c r="AB93" i="10"/>
  <c r="P5" i="10"/>
  <c r="AA5" i="10" s="1"/>
  <c r="P6" i="10"/>
  <c r="AA6" i="10" s="1"/>
  <c r="P7" i="10"/>
  <c r="P8" i="10"/>
  <c r="AA8" i="10" s="1"/>
  <c r="P9" i="10"/>
  <c r="AA9" i="10" s="1"/>
  <c r="P10" i="10"/>
  <c r="AA10" i="10" s="1"/>
  <c r="P11" i="10"/>
  <c r="AA11" i="10" s="1"/>
  <c r="P12" i="10"/>
  <c r="AA12" i="10" s="1"/>
  <c r="P13" i="10"/>
  <c r="AA13" i="10" s="1"/>
  <c r="P14" i="10"/>
  <c r="AA14" i="10" s="1"/>
  <c r="P15" i="10"/>
  <c r="P16" i="10"/>
  <c r="AA16" i="10" s="1"/>
  <c r="P17" i="10"/>
  <c r="AA17" i="10" s="1"/>
  <c r="P18" i="10"/>
  <c r="AA18" i="10" s="1"/>
  <c r="P19" i="10"/>
  <c r="AA19" i="10" s="1"/>
  <c r="P20" i="10"/>
  <c r="AA20" i="10" s="1"/>
  <c r="P21" i="10"/>
  <c r="AA21" i="10" s="1"/>
  <c r="P22" i="10"/>
  <c r="AA22" i="10" s="1"/>
  <c r="P23" i="10"/>
  <c r="P24" i="10"/>
  <c r="AA24" i="10" s="1"/>
  <c r="P25" i="10"/>
  <c r="AA25" i="10" s="1"/>
  <c r="P26" i="10"/>
  <c r="AA26" i="10" s="1"/>
  <c r="P27" i="10"/>
  <c r="AA27" i="10" s="1"/>
  <c r="P28" i="10"/>
  <c r="AA28" i="10" s="1"/>
  <c r="P29" i="10"/>
  <c r="AA29" i="10" s="1"/>
  <c r="P30" i="10"/>
  <c r="AA30" i="10" s="1"/>
  <c r="P31" i="10"/>
  <c r="P32" i="10"/>
  <c r="AA32" i="10" s="1"/>
  <c r="P33" i="10"/>
  <c r="AA33" i="10" s="1"/>
  <c r="P34" i="10"/>
  <c r="AA34" i="10" s="1"/>
  <c r="P35" i="10"/>
  <c r="AA35" i="10" s="1"/>
  <c r="P36" i="10"/>
  <c r="AA36" i="10" s="1"/>
  <c r="P37" i="10"/>
  <c r="AA37" i="10" s="1"/>
  <c r="P38" i="10"/>
  <c r="AA38" i="10" s="1"/>
  <c r="P39" i="10"/>
  <c r="P40" i="10"/>
  <c r="AA40" i="10" s="1"/>
  <c r="P41" i="10"/>
  <c r="AA41" i="10" s="1"/>
  <c r="P42" i="10"/>
  <c r="AA42" i="10" s="1"/>
  <c r="P43" i="10"/>
  <c r="AA43" i="10" s="1"/>
  <c r="P44" i="10"/>
  <c r="AA44" i="10" s="1"/>
  <c r="P45" i="10"/>
  <c r="AA45" i="10" s="1"/>
  <c r="P46" i="10"/>
  <c r="AA46" i="10" s="1"/>
  <c r="P47" i="10"/>
  <c r="P48" i="10"/>
  <c r="AA48" i="10" s="1"/>
  <c r="P49" i="10"/>
  <c r="AA49" i="10" s="1"/>
  <c r="P50" i="10"/>
  <c r="AA50" i="10" s="1"/>
  <c r="P51" i="10"/>
  <c r="AA51" i="10" s="1"/>
  <c r="P52" i="10"/>
  <c r="AA52" i="10" s="1"/>
  <c r="P53" i="10"/>
  <c r="AA53" i="10" s="1"/>
  <c r="P54" i="10"/>
  <c r="AA54" i="10" s="1"/>
  <c r="P55" i="10"/>
  <c r="P56" i="10"/>
  <c r="AA56" i="10" s="1"/>
  <c r="P57" i="10"/>
  <c r="AA57" i="10" s="1"/>
  <c r="P58" i="10"/>
  <c r="AA58" i="10" s="1"/>
  <c r="P59" i="10"/>
  <c r="AA59" i="10" s="1"/>
  <c r="P60" i="10"/>
  <c r="AA60" i="10" s="1"/>
  <c r="P61" i="10"/>
  <c r="AA61" i="10" s="1"/>
  <c r="P62" i="10"/>
  <c r="AA62" i="10" s="1"/>
  <c r="P63" i="10"/>
  <c r="P64" i="10"/>
  <c r="AA64" i="10" s="1"/>
  <c r="P65" i="10"/>
  <c r="AA65" i="10" s="1"/>
  <c r="P66" i="10"/>
  <c r="AA66" i="10" s="1"/>
  <c r="P67" i="10"/>
  <c r="AA67" i="10" s="1"/>
  <c r="P68" i="10"/>
  <c r="AA68" i="10" s="1"/>
  <c r="P69" i="10"/>
  <c r="AA69" i="10" s="1"/>
  <c r="P70" i="10"/>
  <c r="AA70" i="10" s="1"/>
  <c r="P71" i="10"/>
  <c r="P72" i="10"/>
  <c r="AA72" i="10" s="1"/>
  <c r="P73" i="10"/>
  <c r="AA73" i="10" s="1"/>
  <c r="P74" i="10"/>
  <c r="AA74" i="10" s="1"/>
  <c r="P75" i="10"/>
  <c r="AA75" i="10" s="1"/>
  <c r="P76" i="10"/>
  <c r="AA76" i="10" s="1"/>
  <c r="P77" i="10"/>
  <c r="AA77" i="10" s="1"/>
  <c r="P78" i="10"/>
  <c r="AA78" i="10" s="1"/>
  <c r="P79" i="10"/>
  <c r="P80" i="10"/>
  <c r="AA80" i="10" s="1"/>
  <c r="P81" i="10"/>
  <c r="AA81" i="10" s="1"/>
  <c r="P82" i="10"/>
  <c r="AA82" i="10" s="1"/>
  <c r="P83" i="10"/>
  <c r="AA83" i="10" s="1"/>
  <c r="P84" i="10"/>
  <c r="AA84" i="10" s="1"/>
  <c r="P85" i="10"/>
  <c r="AA85" i="10" s="1"/>
  <c r="P86" i="10"/>
  <c r="AA86" i="10" s="1"/>
  <c r="P87" i="10"/>
  <c r="P88" i="10"/>
  <c r="AA88" i="10" s="1"/>
  <c r="P89" i="10"/>
  <c r="AA89" i="10" s="1"/>
  <c r="P90" i="10"/>
  <c r="AA90" i="10" s="1"/>
  <c r="AA91" i="10"/>
  <c r="AA92" i="10"/>
  <c r="AA93" i="10"/>
  <c r="AA94" i="10"/>
  <c r="P4" i="10"/>
  <c r="O4" i="10"/>
  <c r="Z4" i="10" s="1"/>
  <c r="O5" i="10"/>
  <c r="Z5" i="10" s="1"/>
  <c r="O6" i="10"/>
  <c r="Z6" i="10" s="1"/>
  <c r="O7" i="10"/>
  <c r="Z7" i="10" s="1"/>
  <c r="O8" i="10"/>
  <c r="Z8" i="10" s="1"/>
  <c r="O9" i="10"/>
  <c r="Z9" i="10" s="1"/>
  <c r="O10" i="10"/>
  <c r="Z10" i="10" s="1"/>
  <c r="O11" i="10"/>
  <c r="Z11" i="10" s="1"/>
  <c r="O12" i="10"/>
  <c r="Z12" i="10" s="1"/>
  <c r="O13" i="10"/>
  <c r="Z13" i="10" s="1"/>
  <c r="O14" i="10"/>
  <c r="Z14" i="10" s="1"/>
  <c r="O15" i="10"/>
  <c r="Z15" i="10" s="1"/>
  <c r="O16" i="10"/>
  <c r="Z16" i="10" s="1"/>
  <c r="O17" i="10"/>
  <c r="Z17" i="10" s="1"/>
  <c r="O18" i="10"/>
  <c r="Z18" i="10" s="1"/>
  <c r="O19" i="10"/>
  <c r="Z19" i="10" s="1"/>
  <c r="O20" i="10"/>
  <c r="Z20" i="10" s="1"/>
  <c r="O21" i="10"/>
  <c r="Z21" i="10" s="1"/>
  <c r="O22" i="10"/>
  <c r="Z22" i="10" s="1"/>
  <c r="O23" i="10"/>
  <c r="Z23" i="10" s="1"/>
  <c r="O24" i="10"/>
  <c r="Z24" i="10" s="1"/>
  <c r="O25" i="10"/>
  <c r="Z25" i="10" s="1"/>
  <c r="O26" i="10"/>
  <c r="Z26" i="10" s="1"/>
  <c r="O27" i="10"/>
  <c r="Z27" i="10" s="1"/>
  <c r="O28" i="10"/>
  <c r="Z28" i="10" s="1"/>
  <c r="O29" i="10"/>
  <c r="Z29" i="10" s="1"/>
  <c r="O30" i="10"/>
  <c r="Z30" i="10" s="1"/>
  <c r="O31" i="10"/>
  <c r="Z31" i="10" s="1"/>
  <c r="O32" i="10"/>
  <c r="Z32" i="10" s="1"/>
  <c r="O33" i="10"/>
  <c r="Z33" i="10" s="1"/>
  <c r="O34" i="10"/>
  <c r="Z34" i="10" s="1"/>
  <c r="O35" i="10"/>
  <c r="Z35" i="10" s="1"/>
  <c r="O36" i="10"/>
  <c r="Z36" i="10" s="1"/>
  <c r="O37" i="10"/>
  <c r="Z37" i="10" s="1"/>
  <c r="O38" i="10"/>
  <c r="Z38" i="10" s="1"/>
  <c r="O39" i="10"/>
  <c r="Z39" i="10" s="1"/>
  <c r="O40" i="10"/>
  <c r="Z40" i="10" s="1"/>
  <c r="O41" i="10"/>
  <c r="Z41" i="10" s="1"/>
  <c r="O42" i="10"/>
  <c r="Z42" i="10" s="1"/>
  <c r="O43" i="10"/>
  <c r="Z43" i="10" s="1"/>
  <c r="O44" i="10"/>
  <c r="Z44" i="10" s="1"/>
  <c r="O45" i="10"/>
  <c r="Z45" i="10" s="1"/>
  <c r="O46" i="10"/>
  <c r="Z46" i="10" s="1"/>
  <c r="O47" i="10"/>
  <c r="Z47" i="10" s="1"/>
  <c r="O48" i="10"/>
  <c r="Z48" i="10" s="1"/>
  <c r="O49" i="10"/>
  <c r="Z49" i="10" s="1"/>
  <c r="O50" i="10"/>
  <c r="Z50" i="10" s="1"/>
  <c r="O51" i="10"/>
  <c r="Z51" i="10" s="1"/>
  <c r="O52" i="10"/>
  <c r="Z52" i="10" s="1"/>
  <c r="O53" i="10"/>
  <c r="Z53" i="10" s="1"/>
  <c r="O54" i="10"/>
  <c r="Z54" i="10" s="1"/>
  <c r="O55" i="10"/>
  <c r="Z55" i="10" s="1"/>
  <c r="O56" i="10"/>
  <c r="Z56" i="10" s="1"/>
  <c r="O57" i="10"/>
  <c r="Z57" i="10" s="1"/>
  <c r="O58" i="10"/>
  <c r="Z58" i="10" s="1"/>
  <c r="O59" i="10"/>
  <c r="Z59" i="10" s="1"/>
  <c r="O60" i="10"/>
  <c r="Z60" i="10" s="1"/>
  <c r="O61" i="10"/>
  <c r="Z61" i="10" s="1"/>
  <c r="O62" i="10"/>
  <c r="Z62" i="10" s="1"/>
  <c r="O63" i="10"/>
  <c r="Z63" i="10" s="1"/>
  <c r="O64" i="10"/>
  <c r="Z64" i="10" s="1"/>
  <c r="O65" i="10"/>
  <c r="Z65" i="10" s="1"/>
  <c r="O66" i="10"/>
  <c r="Z66" i="10" s="1"/>
  <c r="O67" i="10"/>
  <c r="Z67" i="10" s="1"/>
  <c r="O68" i="10"/>
  <c r="Z68" i="10" s="1"/>
  <c r="O69" i="10"/>
  <c r="Z69" i="10" s="1"/>
  <c r="O70" i="10"/>
  <c r="Z70" i="10" s="1"/>
  <c r="O71" i="10"/>
  <c r="Z71" i="10" s="1"/>
  <c r="O72" i="10"/>
  <c r="Z72" i="10" s="1"/>
  <c r="O73" i="10"/>
  <c r="Z73" i="10" s="1"/>
  <c r="O74" i="10"/>
  <c r="Z74" i="10" s="1"/>
  <c r="O75" i="10"/>
  <c r="Z75" i="10" s="1"/>
  <c r="O76" i="10"/>
  <c r="Z76" i="10" s="1"/>
  <c r="O77" i="10"/>
  <c r="Z77" i="10" s="1"/>
  <c r="O78" i="10"/>
  <c r="Z78" i="10" s="1"/>
  <c r="O79" i="10"/>
  <c r="Z79" i="10" s="1"/>
  <c r="O80" i="10"/>
  <c r="Z80" i="10" s="1"/>
  <c r="O81" i="10"/>
  <c r="Z81" i="10" s="1"/>
  <c r="O82" i="10"/>
  <c r="Z82" i="10" s="1"/>
  <c r="O83" i="10"/>
  <c r="Z83" i="10" s="1"/>
  <c r="O84" i="10"/>
  <c r="Z84" i="10" s="1"/>
  <c r="O85" i="10"/>
  <c r="Z85" i="10" s="1"/>
  <c r="O86" i="10"/>
  <c r="Z86" i="10" s="1"/>
  <c r="O87" i="10"/>
  <c r="Z87" i="10" s="1"/>
  <c r="O88" i="10"/>
  <c r="Z88" i="10" s="1"/>
  <c r="O89" i="10"/>
  <c r="Z89" i="10" s="1"/>
  <c r="O90" i="10"/>
  <c r="Z90" i="10" s="1"/>
  <c r="O91" i="10"/>
  <c r="Z91" i="10" s="1"/>
  <c r="O92" i="10"/>
  <c r="Z92" i="10" s="1"/>
  <c r="Z93" i="10"/>
  <c r="A3" i="10"/>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X11" i="4"/>
  <c r="M28" i="7"/>
  <c r="M29" i="7"/>
  <c r="M30" i="7"/>
  <c r="M31" i="7"/>
  <c r="M32" i="7"/>
  <c r="M33" i="7"/>
  <c r="M34" i="7"/>
  <c r="M35" i="7"/>
  <c r="M36" i="7"/>
  <c r="M37" i="7"/>
  <c r="M38" i="7"/>
  <c r="M39" i="7"/>
  <c r="M40" i="7"/>
  <c r="M41" i="7"/>
  <c r="M42" i="7"/>
  <c r="M43" i="7"/>
  <c r="M44"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11" i="7"/>
  <c r="M12" i="7"/>
  <c r="M13" i="7"/>
  <c r="M14" i="7"/>
  <c r="M15" i="7"/>
  <c r="M16" i="7"/>
  <c r="M17" i="7"/>
  <c r="M18" i="7"/>
  <c r="M19" i="7"/>
  <c r="M20" i="7"/>
  <c r="M21" i="7"/>
  <c r="M22" i="7"/>
  <c r="M23" i="7"/>
  <c r="M24" i="7"/>
  <c r="M25" i="7"/>
  <c r="M26" i="7"/>
  <c r="M27" i="7"/>
  <c r="M10" i="7"/>
  <c r="G72" i="9" l="1"/>
  <c r="B37" i="9"/>
  <c r="G43" i="9"/>
  <c r="G40" i="9"/>
  <c r="B30" i="9"/>
  <c r="G59" i="9"/>
  <c r="G67" i="9"/>
  <c r="G51" i="9"/>
  <c r="B50" i="9"/>
  <c r="B74" i="9"/>
  <c r="B31" i="9"/>
  <c r="B79" i="9"/>
  <c r="B36" i="9"/>
  <c r="G80" i="9"/>
  <c r="B19" i="9"/>
  <c r="G75" i="9"/>
  <c r="G35" i="9"/>
  <c r="G64" i="9"/>
  <c r="B63" i="9"/>
  <c r="G91" i="9"/>
  <c r="B93" i="9"/>
  <c r="G92" i="9"/>
  <c r="G13" i="9"/>
  <c r="B68" i="9"/>
  <c r="G34" i="9"/>
  <c r="B28" i="9"/>
  <c r="B62" i="9"/>
  <c r="G44" i="9"/>
  <c r="G32" i="9"/>
  <c r="B20" i="9"/>
  <c r="B61" i="9"/>
  <c r="B70" i="9"/>
  <c r="B33" i="9"/>
  <c r="B8" i="9"/>
  <c r="B47" i="9"/>
  <c r="B54" i="9"/>
  <c r="B12" i="9"/>
  <c r="G14" i="9"/>
  <c r="B55" i="9"/>
  <c r="B73" i="9"/>
  <c r="B11" i="9"/>
  <c r="G15" i="9"/>
  <c r="G48" i="9"/>
  <c r="B52" i="9"/>
  <c r="B46" i="9"/>
  <c r="B38" i="9"/>
  <c r="B53" i="9"/>
  <c r="B71" i="9"/>
  <c r="B89" i="9"/>
  <c r="B69" i="9"/>
  <c r="B87" i="9"/>
  <c r="B41" i="9"/>
  <c r="B78" i="9"/>
  <c r="B77" i="9"/>
  <c r="B49" i="9"/>
  <c r="B85" i="9"/>
  <c r="B39" i="9"/>
  <c r="B57" i="9"/>
  <c r="B29" i="9"/>
  <c r="B65" i="9"/>
  <c r="G42" i="9"/>
  <c r="B45" i="9"/>
  <c r="B86" i="9"/>
  <c r="B81" i="9"/>
  <c r="B60" i="9"/>
  <c r="B25" i="9"/>
  <c r="B24" i="9"/>
  <c r="B23" i="9"/>
  <c r="B21" i="9"/>
  <c r="B22" i="9"/>
  <c r="B17" i="9"/>
  <c r="B18" i="9"/>
  <c r="B16" i="9"/>
  <c r="B9" i="9"/>
  <c r="B10" i="9"/>
  <c r="AV60" i="10"/>
  <c r="AK60" i="10"/>
  <c r="K60" i="8" s="1"/>
  <c r="AF60" i="8" s="1"/>
  <c r="AV28" i="10"/>
  <c r="AK28" i="10"/>
  <c r="K28" i="8" s="1"/>
  <c r="AF28" i="8" s="1"/>
  <c r="AV12" i="10"/>
  <c r="AK12" i="10"/>
  <c r="K12" i="8" s="1"/>
  <c r="AF12" i="8" s="1"/>
  <c r="AW80" i="10"/>
  <c r="AL80" i="10"/>
  <c r="L80" i="8" s="1"/>
  <c r="AG80" i="8" s="1"/>
  <c r="AW40" i="10"/>
  <c r="AL40" i="10"/>
  <c r="L40" i="8" s="1"/>
  <c r="AG40" i="8" s="1"/>
  <c r="AW24" i="10"/>
  <c r="AL24" i="10"/>
  <c r="L24" i="8" s="1"/>
  <c r="AG24" i="8" s="1"/>
  <c r="AX90" i="10"/>
  <c r="AM90" i="10"/>
  <c r="M90" i="8" s="1"/>
  <c r="AH90" i="8" s="1"/>
  <c r="AM74" i="10"/>
  <c r="M74" i="8" s="1"/>
  <c r="AH74" i="8" s="1"/>
  <c r="AX74" i="10"/>
  <c r="AX58" i="10"/>
  <c r="AM58" i="10"/>
  <c r="M58" i="8" s="1"/>
  <c r="AH58" i="8" s="1"/>
  <c r="AM42" i="10"/>
  <c r="M42" i="8" s="1"/>
  <c r="AH42" i="8" s="1"/>
  <c r="AX42" i="10"/>
  <c r="AX26" i="10"/>
  <c r="AM26" i="10"/>
  <c r="M26" i="8" s="1"/>
  <c r="AH26" i="8" s="1"/>
  <c r="AM10" i="10"/>
  <c r="M10" i="8" s="1"/>
  <c r="AH10" i="8" s="1"/>
  <c r="AX10" i="10"/>
  <c r="AY86" i="10"/>
  <c r="AN86" i="10"/>
  <c r="N86" i="8" s="1"/>
  <c r="AI86" i="8" s="1"/>
  <c r="AY70" i="10"/>
  <c r="AN70" i="10"/>
  <c r="N70" i="8" s="1"/>
  <c r="AI70" i="8" s="1"/>
  <c r="AY54" i="10"/>
  <c r="AN54" i="10"/>
  <c r="N54" i="8" s="1"/>
  <c r="AI54" i="8" s="1"/>
  <c r="AY38" i="10"/>
  <c r="AN38" i="10"/>
  <c r="N38" i="8" s="1"/>
  <c r="AI38" i="8" s="1"/>
  <c r="AY14" i="10"/>
  <c r="AN14" i="10"/>
  <c r="N14" i="8" s="1"/>
  <c r="AI14" i="8" s="1"/>
  <c r="O88" i="8"/>
  <c r="X88" i="8" s="1"/>
  <c r="AZ72" i="10"/>
  <c r="AO72" i="10"/>
  <c r="O72" i="8" s="1"/>
  <c r="X72" i="8" s="1"/>
  <c r="AZ56" i="10"/>
  <c r="AO56" i="10"/>
  <c r="O56" i="8" s="1"/>
  <c r="X56" i="8" s="1"/>
  <c r="AZ40" i="10"/>
  <c r="AO40" i="10"/>
  <c r="O40" i="8" s="1"/>
  <c r="X40" i="8" s="1"/>
  <c r="AO32" i="10"/>
  <c r="O32" i="8" s="1"/>
  <c r="X32" i="8" s="1"/>
  <c r="AZ32" i="10"/>
  <c r="AZ16" i="10"/>
  <c r="AO16" i="10"/>
  <c r="O16" i="8" s="1"/>
  <c r="X16" i="8" s="1"/>
  <c r="AK16" i="8" s="1"/>
  <c r="AZ8" i="10"/>
  <c r="AO8" i="10"/>
  <c r="O8" i="8" s="1"/>
  <c r="X8" i="8" s="1"/>
  <c r="BA92" i="10"/>
  <c r="AP92" i="10"/>
  <c r="P92" i="8" s="1"/>
  <c r="Y92" i="8" s="1"/>
  <c r="BA84" i="10"/>
  <c r="AP84" i="10"/>
  <c r="P84" i="8" s="1"/>
  <c r="Y84" i="8" s="1"/>
  <c r="BA76" i="10"/>
  <c r="AP76" i="10"/>
  <c r="P76" i="8" s="1"/>
  <c r="Y76" i="8" s="1"/>
  <c r="BA68" i="10"/>
  <c r="AP68" i="10"/>
  <c r="P68" i="8" s="1"/>
  <c r="Y68" i="8" s="1"/>
  <c r="BA60" i="10"/>
  <c r="AP60" i="10"/>
  <c r="P60" i="8" s="1"/>
  <c r="Y60" i="8" s="1"/>
  <c r="BA52" i="10"/>
  <c r="AP52" i="10"/>
  <c r="P52" i="8" s="1"/>
  <c r="Y52" i="8" s="1"/>
  <c r="BA44" i="10"/>
  <c r="AP44" i="10"/>
  <c r="P44" i="8" s="1"/>
  <c r="Y44" i="8" s="1"/>
  <c r="BA36" i="10"/>
  <c r="AP36" i="10"/>
  <c r="P36" i="8" s="1"/>
  <c r="Y36" i="8" s="1"/>
  <c r="BA20" i="10"/>
  <c r="AP20" i="10"/>
  <c r="P20" i="8" s="1"/>
  <c r="Y20" i="8" s="1"/>
  <c r="BA12" i="10"/>
  <c r="AP12" i="10"/>
  <c r="P12" i="8" s="1"/>
  <c r="Y12" i="8" s="1"/>
  <c r="BB4" i="10"/>
  <c r="AQ4" i="10"/>
  <c r="Q4" i="8" s="1"/>
  <c r="Z4" i="8" s="1"/>
  <c r="BB87" i="10"/>
  <c r="Q87" i="8"/>
  <c r="Z87" i="8" s="1"/>
  <c r="BB79" i="10"/>
  <c r="AQ79" i="10"/>
  <c r="Q79" i="8" s="1"/>
  <c r="Z79" i="8" s="1"/>
  <c r="BB71" i="10"/>
  <c r="AQ71" i="10"/>
  <c r="Q71" i="8" s="1"/>
  <c r="Z71" i="8" s="1"/>
  <c r="BB63" i="10"/>
  <c r="AQ63" i="10"/>
  <c r="Q63" i="8" s="1"/>
  <c r="Z63" i="8" s="1"/>
  <c r="BB55" i="10"/>
  <c r="AQ55" i="10"/>
  <c r="Q55" i="8" s="1"/>
  <c r="Z55" i="8" s="1"/>
  <c r="BB47" i="10"/>
  <c r="AQ47" i="10"/>
  <c r="Q47" i="8" s="1"/>
  <c r="Z47" i="8" s="1"/>
  <c r="BB39" i="10"/>
  <c r="AQ39" i="10"/>
  <c r="Q39" i="8" s="1"/>
  <c r="Z39" i="8" s="1"/>
  <c r="BB31" i="10"/>
  <c r="AQ31" i="10"/>
  <c r="Q31" i="8" s="1"/>
  <c r="Z31" i="8" s="1"/>
  <c r="BB23" i="10"/>
  <c r="AQ23" i="10"/>
  <c r="Q23" i="8" s="1"/>
  <c r="Z23" i="8" s="1"/>
  <c r="BB15" i="10"/>
  <c r="AQ15" i="10"/>
  <c r="Q15" i="8" s="1"/>
  <c r="Z15" i="8" s="1"/>
  <c r="BB7" i="10"/>
  <c r="AQ7" i="10"/>
  <c r="Q7" i="8" s="1"/>
  <c r="Z7" i="8" s="1"/>
  <c r="R90" i="8"/>
  <c r="AA90" i="8" s="1"/>
  <c r="AR82" i="10"/>
  <c r="R82" i="8" s="1"/>
  <c r="AA82" i="8" s="1"/>
  <c r="AR74" i="10"/>
  <c r="R74" i="8" s="1"/>
  <c r="AA74" i="8" s="1"/>
  <c r="BC74" i="10"/>
  <c r="BC66" i="10"/>
  <c r="AR66" i="10"/>
  <c r="R66" i="8" s="1"/>
  <c r="AA66" i="8" s="1"/>
  <c r="BC58" i="10"/>
  <c r="AR58" i="10"/>
  <c r="R58" i="8" s="1"/>
  <c r="AA58" i="8" s="1"/>
  <c r="BC50" i="10"/>
  <c r="AR50" i="10"/>
  <c r="R50" i="8" s="1"/>
  <c r="AA50" i="8" s="1"/>
  <c r="AR42" i="10"/>
  <c r="R42" i="8" s="1"/>
  <c r="AA42" i="8" s="1"/>
  <c r="BC42" i="10"/>
  <c r="AV91" i="10"/>
  <c r="AK91" i="10"/>
  <c r="K91" i="8" s="1"/>
  <c r="AF91" i="8" s="1"/>
  <c r="AV83" i="10"/>
  <c r="AK83" i="10"/>
  <c r="K83" i="8" s="1"/>
  <c r="AF83" i="8" s="1"/>
  <c r="AV75" i="10"/>
  <c r="AK75" i="10"/>
  <c r="K75" i="8" s="1"/>
  <c r="AF75" i="8" s="1"/>
  <c r="AV67" i="10"/>
  <c r="AK67" i="10"/>
  <c r="K67" i="8" s="1"/>
  <c r="AF67" i="8" s="1"/>
  <c r="AV59" i="10"/>
  <c r="AK59" i="10"/>
  <c r="K59" i="8" s="1"/>
  <c r="AF59" i="8" s="1"/>
  <c r="AV51" i="10"/>
  <c r="AK51" i="10"/>
  <c r="K51" i="8" s="1"/>
  <c r="AF51" i="8" s="1"/>
  <c r="AV43" i="10"/>
  <c r="AK43" i="10"/>
  <c r="K43" i="8" s="1"/>
  <c r="AF43" i="8" s="1"/>
  <c r="AV35" i="10"/>
  <c r="AK35" i="10"/>
  <c r="K35" i="8" s="1"/>
  <c r="AF35" i="8" s="1"/>
  <c r="AV27" i="10"/>
  <c r="AK27" i="10"/>
  <c r="K27" i="8" s="1"/>
  <c r="AF27" i="8" s="1"/>
  <c r="AV19" i="10"/>
  <c r="AK19" i="10"/>
  <c r="K19" i="8" s="1"/>
  <c r="AF19" i="8" s="1"/>
  <c r="AV11" i="10"/>
  <c r="AK11" i="10"/>
  <c r="K11" i="8" s="1"/>
  <c r="AF11" i="8" s="1"/>
  <c r="AX89" i="10"/>
  <c r="AM89" i="10"/>
  <c r="M89" i="8" s="1"/>
  <c r="AH89" i="8" s="1"/>
  <c r="AX81" i="10"/>
  <c r="AM81" i="10"/>
  <c r="M81" i="8" s="1"/>
  <c r="AH81" i="8" s="1"/>
  <c r="AX73" i="10"/>
  <c r="AM73" i="10"/>
  <c r="M73" i="8" s="1"/>
  <c r="AH73" i="8" s="1"/>
  <c r="AX65" i="10"/>
  <c r="AM65" i="10"/>
  <c r="M65" i="8" s="1"/>
  <c r="AH65" i="8" s="1"/>
  <c r="AX57" i="10"/>
  <c r="AM57" i="10"/>
  <c r="M57" i="8" s="1"/>
  <c r="AH57" i="8" s="1"/>
  <c r="AX49" i="10"/>
  <c r="AM49" i="10"/>
  <c r="M49" i="8" s="1"/>
  <c r="AH49" i="8" s="1"/>
  <c r="AX41" i="10"/>
  <c r="AM41" i="10"/>
  <c r="M41" i="8" s="1"/>
  <c r="AH41" i="8" s="1"/>
  <c r="AX33" i="10"/>
  <c r="AM33" i="10"/>
  <c r="M33" i="8" s="1"/>
  <c r="AH33" i="8" s="1"/>
  <c r="AX25" i="10"/>
  <c r="AM25" i="10"/>
  <c r="M25" i="8" s="1"/>
  <c r="AH25" i="8" s="1"/>
  <c r="AX17" i="10"/>
  <c r="AM17" i="10"/>
  <c r="M17" i="8" s="1"/>
  <c r="AH17" i="8" s="1"/>
  <c r="AX9" i="10"/>
  <c r="AM9" i="10"/>
  <c r="M9" i="8" s="1"/>
  <c r="AH9" i="8" s="1"/>
  <c r="AZ87" i="10"/>
  <c r="O87" i="8"/>
  <c r="X87" i="8" s="1"/>
  <c r="AK87" i="8" s="1"/>
  <c r="AZ79" i="10"/>
  <c r="AO79" i="10"/>
  <c r="O79" i="8" s="1"/>
  <c r="X79" i="8" s="1"/>
  <c r="AZ71" i="10"/>
  <c r="AO71" i="10"/>
  <c r="O71" i="8" s="1"/>
  <c r="X71" i="8" s="1"/>
  <c r="AZ63" i="10"/>
  <c r="AO63" i="10"/>
  <c r="O63" i="8" s="1"/>
  <c r="X63" i="8" s="1"/>
  <c r="AZ55" i="10"/>
  <c r="AO55" i="10"/>
  <c r="O55" i="8" s="1"/>
  <c r="X55" i="8" s="1"/>
  <c r="AK55" i="8" s="1"/>
  <c r="AZ47" i="10"/>
  <c r="AO47" i="10"/>
  <c r="O47" i="8" s="1"/>
  <c r="X47" i="8" s="1"/>
  <c r="AZ39" i="10"/>
  <c r="AO39" i="10"/>
  <c r="O39" i="8" s="1"/>
  <c r="X39" i="8" s="1"/>
  <c r="AZ31" i="10"/>
  <c r="AO31" i="10"/>
  <c r="O31" i="8" s="1"/>
  <c r="X31" i="8" s="1"/>
  <c r="AZ23" i="10"/>
  <c r="AO23" i="10"/>
  <c r="O23" i="8" s="1"/>
  <c r="X23" i="8" s="1"/>
  <c r="AZ15" i="10"/>
  <c r="AO15" i="10"/>
  <c r="O15" i="8" s="1"/>
  <c r="X15" i="8" s="1"/>
  <c r="AZ7" i="10"/>
  <c r="AO7" i="10"/>
  <c r="O7" i="8" s="1"/>
  <c r="X7" i="8" s="1"/>
  <c r="AK7" i="8" s="1"/>
  <c r="AR33" i="10"/>
  <c r="R33" i="8" s="1"/>
  <c r="AA33" i="8" s="1"/>
  <c r="BC33" i="10"/>
  <c r="BC25" i="10"/>
  <c r="AR25" i="10"/>
  <c r="R25" i="8" s="1"/>
  <c r="AA25" i="8" s="1"/>
  <c r="AR17" i="10"/>
  <c r="R17" i="8" s="1"/>
  <c r="AA17" i="8" s="1"/>
  <c r="BC17" i="10"/>
  <c r="BC9" i="10"/>
  <c r="AR9" i="10"/>
  <c r="R9" i="8" s="1"/>
  <c r="AA9" i="8" s="1"/>
  <c r="AS92" i="10"/>
  <c r="S92" i="8" s="1"/>
  <c r="AB92" i="8" s="1"/>
  <c r="BD92" i="10"/>
  <c r="BD84" i="10"/>
  <c r="AS84" i="10"/>
  <c r="S84" i="8" s="1"/>
  <c r="AB84" i="8" s="1"/>
  <c r="AS76" i="10"/>
  <c r="S76" i="8" s="1"/>
  <c r="AB76" i="8" s="1"/>
  <c r="BD76" i="10"/>
  <c r="BD68" i="10"/>
  <c r="AS68" i="10"/>
  <c r="S68" i="8" s="1"/>
  <c r="AB68" i="8" s="1"/>
  <c r="AS60" i="10"/>
  <c r="S60" i="8" s="1"/>
  <c r="AB60" i="8" s="1"/>
  <c r="BD60" i="10"/>
  <c r="BD52" i="10"/>
  <c r="AS52" i="10"/>
  <c r="S52" i="8" s="1"/>
  <c r="AB52" i="8" s="1"/>
  <c r="AS44" i="10"/>
  <c r="S44" i="8" s="1"/>
  <c r="AB44" i="8" s="1"/>
  <c r="BD44" i="10"/>
  <c r="AS36" i="10"/>
  <c r="S36" i="8" s="1"/>
  <c r="AB36" i="8" s="1"/>
  <c r="BD36" i="10"/>
  <c r="BD28" i="10"/>
  <c r="AS28" i="10"/>
  <c r="S28" i="8" s="1"/>
  <c r="AB28" i="8" s="1"/>
  <c r="BD20" i="10"/>
  <c r="AS20" i="10"/>
  <c r="S20" i="8" s="1"/>
  <c r="AB20" i="8" s="1"/>
  <c r="AS12" i="10"/>
  <c r="S12" i="8" s="1"/>
  <c r="AB12" i="8" s="1"/>
  <c r="BD12" i="10"/>
  <c r="BE4" i="10"/>
  <c r="AT4" i="10"/>
  <c r="T4" i="8" s="1"/>
  <c r="AC4" i="8" s="1"/>
  <c r="AT87" i="10"/>
  <c r="T87" i="8" s="1"/>
  <c r="AC87" i="8" s="1"/>
  <c r="BE87" i="10"/>
  <c r="BE79" i="10"/>
  <c r="AT79" i="10"/>
  <c r="T79" i="8" s="1"/>
  <c r="AC79" i="8" s="1"/>
  <c r="AT71" i="10"/>
  <c r="T71" i="8" s="1"/>
  <c r="AC71" i="8" s="1"/>
  <c r="BE71" i="10"/>
  <c r="AT63" i="10"/>
  <c r="T63" i="8" s="1"/>
  <c r="AC63" i="8" s="1"/>
  <c r="BE63" i="10"/>
  <c r="BE55" i="10"/>
  <c r="AT55" i="10"/>
  <c r="T55" i="8" s="1"/>
  <c r="AC55" i="8" s="1"/>
  <c r="BE47" i="10"/>
  <c r="AT47" i="10"/>
  <c r="T47" i="8" s="1"/>
  <c r="AC47" i="8" s="1"/>
  <c r="AT31" i="10"/>
  <c r="T31" i="8" s="1"/>
  <c r="AC31" i="8" s="1"/>
  <c r="BE31" i="10"/>
  <c r="BE23" i="10"/>
  <c r="AT23" i="10"/>
  <c r="T23" i="8" s="1"/>
  <c r="AC23" i="8" s="1"/>
  <c r="BE15" i="10"/>
  <c r="AT15" i="10"/>
  <c r="T15" i="8" s="1"/>
  <c r="AC15" i="8" s="1"/>
  <c r="AT7" i="10"/>
  <c r="T7" i="8" s="1"/>
  <c r="AC7" i="8" s="1"/>
  <c r="BE7" i="10"/>
  <c r="AU90" i="10"/>
  <c r="U90" i="8" s="1"/>
  <c r="AD90" i="8" s="1"/>
  <c r="BF90" i="10"/>
  <c r="BF82" i="10"/>
  <c r="AU82" i="10"/>
  <c r="U82" i="8" s="1"/>
  <c r="AD82" i="8" s="1"/>
  <c r="BF74" i="10"/>
  <c r="AU74" i="10"/>
  <c r="U74" i="8" s="1"/>
  <c r="AD74" i="8" s="1"/>
  <c r="AU58" i="10"/>
  <c r="U58" i="8" s="1"/>
  <c r="AD58" i="8" s="1"/>
  <c r="BF58" i="10"/>
  <c r="BF50" i="10"/>
  <c r="AU50" i="10"/>
  <c r="U50" i="8" s="1"/>
  <c r="AD50" i="8" s="1"/>
  <c r="BF42" i="10"/>
  <c r="AU42" i="10"/>
  <c r="U42" i="8" s="1"/>
  <c r="AD42" i="8" s="1"/>
  <c r="AU34" i="10"/>
  <c r="U34" i="8" s="1"/>
  <c r="AD34" i="8" s="1"/>
  <c r="BF34" i="10"/>
  <c r="AU26" i="10"/>
  <c r="U26" i="8" s="1"/>
  <c r="AD26" i="8" s="1"/>
  <c r="BF26" i="10"/>
  <c r="BF18" i="10"/>
  <c r="AU18" i="10"/>
  <c r="U18" i="8" s="1"/>
  <c r="AD18" i="8" s="1"/>
  <c r="BF10" i="10"/>
  <c r="AU10" i="10"/>
  <c r="U10" i="8" s="1"/>
  <c r="AD10" i="8" s="1"/>
  <c r="AK84" i="10"/>
  <c r="K84" i="8" s="1"/>
  <c r="AF84" i="8" s="1"/>
  <c r="AV84" i="10"/>
  <c r="AK52" i="10"/>
  <c r="K52" i="8" s="1"/>
  <c r="AF52" i="8" s="1"/>
  <c r="AV52" i="10"/>
  <c r="AV36" i="10"/>
  <c r="AK36" i="10"/>
  <c r="K36" i="8" s="1"/>
  <c r="AF36" i="8" s="1"/>
  <c r="AK20" i="10"/>
  <c r="K20" i="8" s="1"/>
  <c r="AF20" i="8" s="1"/>
  <c r="AV20" i="10"/>
  <c r="AV4" i="10"/>
  <c r="AK4" i="10"/>
  <c r="K4" i="8" s="1"/>
  <c r="AF4" i="8" s="1"/>
  <c r="AW72" i="10"/>
  <c r="AL72" i="10"/>
  <c r="L72" i="8" s="1"/>
  <c r="AG72" i="8" s="1"/>
  <c r="AW32" i="10"/>
  <c r="AL32" i="10"/>
  <c r="L32" i="8" s="1"/>
  <c r="AG32" i="8" s="1"/>
  <c r="AW16" i="10"/>
  <c r="AL16" i="10"/>
  <c r="L16" i="8" s="1"/>
  <c r="AG16" i="8" s="1"/>
  <c r="AW8" i="10"/>
  <c r="AL8" i="10"/>
  <c r="L8" i="8" s="1"/>
  <c r="AG8" i="8" s="1"/>
  <c r="AX82" i="10"/>
  <c r="AM82" i="10"/>
  <c r="M82" i="8" s="1"/>
  <c r="AH82" i="8" s="1"/>
  <c r="AX66" i="10"/>
  <c r="AM66" i="10"/>
  <c r="M66" i="8" s="1"/>
  <c r="AH66" i="8" s="1"/>
  <c r="AX50" i="10"/>
  <c r="AM50" i="10"/>
  <c r="M50" i="8" s="1"/>
  <c r="AH50" i="8" s="1"/>
  <c r="AX34" i="10"/>
  <c r="AM34" i="10"/>
  <c r="M34" i="8" s="1"/>
  <c r="AH34" i="8" s="1"/>
  <c r="AX18" i="10"/>
  <c r="AM18" i="10"/>
  <c r="M18" i="8" s="1"/>
  <c r="AH18" i="8" s="1"/>
  <c r="AY94" i="10"/>
  <c r="AN94" i="10"/>
  <c r="AY78" i="10"/>
  <c r="AN78" i="10"/>
  <c r="N78" i="8" s="1"/>
  <c r="AI78" i="8" s="1"/>
  <c r="AY62" i="10"/>
  <c r="AN62" i="10"/>
  <c r="N62" i="8" s="1"/>
  <c r="AI62" i="8" s="1"/>
  <c r="AY46" i="10"/>
  <c r="AN46" i="10"/>
  <c r="N46" i="8" s="1"/>
  <c r="AI46" i="8" s="1"/>
  <c r="AY30" i="10"/>
  <c r="AN30" i="10"/>
  <c r="N30" i="8" s="1"/>
  <c r="AI30" i="8" s="1"/>
  <c r="AY22" i="10"/>
  <c r="AN22" i="10"/>
  <c r="N22" i="8" s="1"/>
  <c r="AI22" i="8" s="1"/>
  <c r="AY6" i="10"/>
  <c r="AN6" i="10"/>
  <c r="N6" i="8" s="1"/>
  <c r="AI6" i="8" s="1"/>
  <c r="AZ80" i="10"/>
  <c r="AO80" i="10"/>
  <c r="O80" i="8" s="1"/>
  <c r="X80" i="8" s="1"/>
  <c r="AK80" i="8" s="1"/>
  <c r="AO64" i="10"/>
  <c r="O64" i="8" s="1"/>
  <c r="X64" i="8" s="1"/>
  <c r="AZ64" i="10"/>
  <c r="AZ48" i="10"/>
  <c r="AO48" i="10"/>
  <c r="O48" i="8" s="1"/>
  <c r="X48" i="8" s="1"/>
  <c r="AZ24" i="10"/>
  <c r="AO24" i="10"/>
  <c r="O24" i="8" s="1"/>
  <c r="X24" i="8" s="1"/>
  <c r="BA28" i="10"/>
  <c r="AP28" i="10"/>
  <c r="P28" i="8" s="1"/>
  <c r="Y28" i="8" s="1"/>
  <c r="AV90" i="10"/>
  <c r="AK90" i="10"/>
  <c r="K90" i="8" s="1"/>
  <c r="AF90" i="8" s="1"/>
  <c r="AV82" i="10"/>
  <c r="AK82" i="10"/>
  <c r="K82" i="8" s="1"/>
  <c r="AF82" i="8" s="1"/>
  <c r="AV74" i="10"/>
  <c r="AK74" i="10"/>
  <c r="K74" i="8" s="1"/>
  <c r="AF74" i="8" s="1"/>
  <c r="AV66" i="10"/>
  <c r="AK66" i="10"/>
  <c r="K66" i="8" s="1"/>
  <c r="AF66" i="8" s="1"/>
  <c r="AV58" i="10"/>
  <c r="AK58" i="10"/>
  <c r="K58" i="8" s="1"/>
  <c r="AF58" i="8" s="1"/>
  <c r="AV50" i="10"/>
  <c r="AK50" i="10"/>
  <c r="K50" i="8" s="1"/>
  <c r="AF50" i="8" s="1"/>
  <c r="AV42" i="10"/>
  <c r="AK42" i="10"/>
  <c r="K42" i="8" s="1"/>
  <c r="AF42" i="8" s="1"/>
  <c r="AV34" i="10"/>
  <c r="AK34" i="10"/>
  <c r="K34" i="8" s="1"/>
  <c r="AF34" i="8" s="1"/>
  <c r="AV26" i="10"/>
  <c r="AK26" i="10"/>
  <c r="K26" i="8" s="1"/>
  <c r="AF26" i="8" s="1"/>
  <c r="AV18" i="10"/>
  <c r="AK18" i="10"/>
  <c r="K18" i="8" s="1"/>
  <c r="AF18" i="8" s="1"/>
  <c r="AV10" i="10"/>
  <c r="AK10" i="10"/>
  <c r="K10" i="8" s="1"/>
  <c r="AF10" i="8" s="1"/>
  <c r="AW94" i="10"/>
  <c r="AL94" i="10"/>
  <c r="AW86" i="10"/>
  <c r="AL86" i="10"/>
  <c r="L86" i="8" s="1"/>
  <c r="AG86" i="8" s="1"/>
  <c r="AW78" i="10"/>
  <c r="AL78" i="10"/>
  <c r="L78" i="8" s="1"/>
  <c r="AG78" i="8" s="1"/>
  <c r="AW70" i="10"/>
  <c r="AL70" i="10"/>
  <c r="L70" i="8" s="1"/>
  <c r="AG70" i="8" s="1"/>
  <c r="AW62" i="10"/>
  <c r="AL62" i="10"/>
  <c r="L62" i="8" s="1"/>
  <c r="AG62" i="8" s="1"/>
  <c r="AW54" i="10"/>
  <c r="AL54" i="10"/>
  <c r="L54" i="8" s="1"/>
  <c r="AG54" i="8" s="1"/>
  <c r="AW46" i="10"/>
  <c r="AL46" i="10"/>
  <c r="L46" i="8" s="1"/>
  <c r="AG46" i="8" s="1"/>
  <c r="AW38" i="10"/>
  <c r="AL38" i="10"/>
  <c r="L38" i="8" s="1"/>
  <c r="AG38" i="8" s="1"/>
  <c r="AW30" i="10"/>
  <c r="AL30" i="10"/>
  <c r="L30" i="8" s="1"/>
  <c r="AG30" i="8" s="1"/>
  <c r="AW22" i="10"/>
  <c r="AL22" i="10"/>
  <c r="L22" i="8" s="1"/>
  <c r="AG22" i="8" s="1"/>
  <c r="AW14" i="10"/>
  <c r="AL14" i="10"/>
  <c r="L14" i="8" s="1"/>
  <c r="AG14" i="8" s="1"/>
  <c r="AW6" i="10"/>
  <c r="AL6" i="10"/>
  <c r="L6" i="8" s="1"/>
  <c r="AG6" i="8" s="1"/>
  <c r="AX88" i="10"/>
  <c r="AM88" i="10"/>
  <c r="M88" i="8" s="1"/>
  <c r="AH88" i="8" s="1"/>
  <c r="AX80" i="10"/>
  <c r="AM80" i="10"/>
  <c r="M80" i="8" s="1"/>
  <c r="AH80" i="8" s="1"/>
  <c r="AX72" i="10"/>
  <c r="AM72" i="10"/>
  <c r="M72" i="8" s="1"/>
  <c r="AH72" i="8" s="1"/>
  <c r="AX64" i="10"/>
  <c r="AM64" i="10"/>
  <c r="M64" i="8" s="1"/>
  <c r="AH64" i="8" s="1"/>
  <c r="AX56" i="10"/>
  <c r="AM56" i="10"/>
  <c r="M56" i="8" s="1"/>
  <c r="AH56" i="8" s="1"/>
  <c r="AX48" i="10"/>
  <c r="AM48" i="10"/>
  <c r="M48" i="8" s="1"/>
  <c r="AH48" i="8" s="1"/>
  <c r="AX40" i="10"/>
  <c r="AM40" i="10"/>
  <c r="M40" i="8" s="1"/>
  <c r="AH40" i="8" s="1"/>
  <c r="AX32" i="10"/>
  <c r="AM32" i="10"/>
  <c r="M32" i="8" s="1"/>
  <c r="AH32" i="8" s="1"/>
  <c r="AX24" i="10"/>
  <c r="AM24" i="10"/>
  <c r="M24" i="8" s="1"/>
  <c r="AH24" i="8" s="1"/>
  <c r="AX16" i="10"/>
  <c r="AM16" i="10"/>
  <c r="M16" i="8" s="1"/>
  <c r="AH16" i="8" s="1"/>
  <c r="AX8" i="10"/>
  <c r="AM8" i="10"/>
  <c r="M8" i="8" s="1"/>
  <c r="AH8" i="8" s="1"/>
  <c r="AY92" i="10"/>
  <c r="AN92" i="10"/>
  <c r="N92" i="8" s="1"/>
  <c r="AI92" i="8" s="1"/>
  <c r="AY84" i="10"/>
  <c r="AN84" i="10"/>
  <c r="N84" i="8" s="1"/>
  <c r="AI84" i="8" s="1"/>
  <c r="AY76" i="10"/>
  <c r="AN76" i="10"/>
  <c r="N76" i="8" s="1"/>
  <c r="AI76" i="8" s="1"/>
  <c r="AY68" i="10"/>
  <c r="AN68" i="10"/>
  <c r="N68" i="8" s="1"/>
  <c r="AI68" i="8" s="1"/>
  <c r="AY60" i="10"/>
  <c r="AN60" i="10"/>
  <c r="N60" i="8" s="1"/>
  <c r="AI60" i="8" s="1"/>
  <c r="AY52" i="10"/>
  <c r="AN52" i="10"/>
  <c r="N52" i="8" s="1"/>
  <c r="AI52" i="8" s="1"/>
  <c r="AY44" i="10"/>
  <c r="AN44" i="10"/>
  <c r="N44" i="8" s="1"/>
  <c r="AI44" i="8" s="1"/>
  <c r="AY36" i="10"/>
  <c r="AN36" i="10"/>
  <c r="N36" i="8" s="1"/>
  <c r="AI36" i="8" s="1"/>
  <c r="AY28" i="10"/>
  <c r="AN28" i="10"/>
  <c r="N28" i="8" s="1"/>
  <c r="AI28" i="8" s="1"/>
  <c r="AY20" i="10"/>
  <c r="AN20" i="10"/>
  <c r="N20" i="8" s="1"/>
  <c r="AI20" i="8" s="1"/>
  <c r="AY12" i="10"/>
  <c r="AN12" i="10"/>
  <c r="N12" i="8" s="1"/>
  <c r="AI12" i="8" s="1"/>
  <c r="AZ86" i="10"/>
  <c r="O86" i="8"/>
  <c r="X86" i="8" s="1"/>
  <c r="AZ78" i="10"/>
  <c r="AO78" i="10"/>
  <c r="O78" i="8" s="1"/>
  <c r="X78" i="8" s="1"/>
  <c r="AZ70" i="10"/>
  <c r="AO70" i="10"/>
  <c r="O70" i="8" s="1"/>
  <c r="X70" i="8" s="1"/>
  <c r="AK70" i="8" s="1"/>
  <c r="AZ62" i="10"/>
  <c r="AO62" i="10"/>
  <c r="O62" i="8" s="1"/>
  <c r="X62" i="8" s="1"/>
  <c r="AZ54" i="10"/>
  <c r="AO54" i="10"/>
  <c r="O54" i="8" s="1"/>
  <c r="X54" i="8" s="1"/>
  <c r="AZ46" i="10"/>
  <c r="AO46" i="10"/>
  <c r="O46" i="8" s="1"/>
  <c r="X46" i="8" s="1"/>
  <c r="AZ38" i="10"/>
  <c r="AO38" i="10"/>
  <c r="O38" i="8" s="1"/>
  <c r="X38" i="8" s="1"/>
  <c r="AK38" i="8" s="1"/>
  <c r="AZ30" i="10"/>
  <c r="AO30" i="10"/>
  <c r="O30" i="8" s="1"/>
  <c r="X30" i="8" s="1"/>
  <c r="AZ22" i="10"/>
  <c r="AO22" i="10"/>
  <c r="O22" i="8" s="1"/>
  <c r="X22" i="8" s="1"/>
  <c r="AZ14" i="10"/>
  <c r="AO14" i="10"/>
  <c r="O14" i="8" s="1"/>
  <c r="X14" i="8" s="1"/>
  <c r="AZ6" i="10"/>
  <c r="AO6" i="10"/>
  <c r="O6" i="8" s="1"/>
  <c r="X6" i="8" s="1"/>
  <c r="AK6" i="8" s="1"/>
  <c r="BA90" i="10"/>
  <c r="AP90" i="10"/>
  <c r="P90" i="8" s="1"/>
  <c r="Y90" i="8" s="1"/>
  <c r="BA82" i="10"/>
  <c r="AP82" i="10"/>
  <c r="P82" i="8" s="1"/>
  <c r="Y82" i="8" s="1"/>
  <c r="BA74" i="10"/>
  <c r="AP74" i="10"/>
  <c r="P74" i="8" s="1"/>
  <c r="Y74" i="8" s="1"/>
  <c r="BA66" i="10"/>
  <c r="AP66" i="10"/>
  <c r="P66" i="8" s="1"/>
  <c r="Y66" i="8" s="1"/>
  <c r="BA58" i="10"/>
  <c r="AP58" i="10"/>
  <c r="P58" i="8" s="1"/>
  <c r="Y58" i="8" s="1"/>
  <c r="BA50" i="10"/>
  <c r="AP50" i="10"/>
  <c r="P50" i="8" s="1"/>
  <c r="Y50" i="8" s="1"/>
  <c r="BA42" i="10"/>
  <c r="AP42" i="10"/>
  <c r="P42" i="8" s="1"/>
  <c r="Y42" i="8" s="1"/>
  <c r="BA34" i="10"/>
  <c r="AP34" i="10"/>
  <c r="P34" i="8" s="1"/>
  <c r="Y34" i="8" s="1"/>
  <c r="BA26" i="10"/>
  <c r="AP26" i="10"/>
  <c r="P26" i="8" s="1"/>
  <c r="Y26" i="8" s="1"/>
  <c r="BA18" i="10"/>
  <c r="AP18" i="10"/>
  <c r="P18" i="8" s="1"/>
  <c r="Y18" i="8" s="1"/>
  <c r="BA10" i="10"/>
  <c r="AP10" i="10"/>
  <c r="P10" i="8" s="1"/>
  <c r="Y10" i="8" s="1"/>
  <c r="Q93" i="8"/>
  <c r="Z93" i="8" s="1"/>
  <c r="BB85" i="10"/>
  <c r="AQ85" i="10"/>
  <c r="Q85" i="8" s="1"/>
  <c r="Z85" i="8" s="1"/>
  <c r="BB77" i="10"/>
  <c r="AQ77" i="10"/>
  <c r="Q77" i="8" s="1"/>
  <c r="Z77" i="8" s="1"/>
  <c r="BB69" i="10"/>
  <c r="AQ69" i="10"/>
  <c r="Q69" i="8" s="1"/>
  <c r="Z69" i="8" s="1"/>
  <c r="BB61" i="10"/>
  <c r="AQ61" i="10"/>
  <c r="Q61" i="8" s="1"/>
  <c r="Z61" i="8" s="1"/>
  <c r="BB53" i="10"/>
  <c r="AQ53" i="10"/>
  <c r="Q53" i="8" s="1"/>
  <c r="Z53" i="8" s="1"/>
  <c r="BB45" i="10"/>
  <c r="AQ45" i="10"/>
  <c r="Q45" i="8" s="1"/>
  <c r="Z45" i="8" s="1"/>
  <c r="BB37" i="10"/>
  <c r="AQ37" i="10"/>
  <c r="Q37" i="8" s="1"/>
  <c r="Z37" i="8" s="1"/>
  <c r="BB29" i="10"/>
  <c r="AQ29" i="10"/>
  <c r="Q29" i="8" s="1"/>
  <c r="Z29" i="8" s="1"/>
  <c r="BB21" i="10"/>
  <c r="AQ21" i="10"/>
  <c r="Q21" i="8" s="1"/>
  <c r="Z21" i="8" s="1"/>
  <c r="BB13" i="10"/>
  <c r="AQ13" i="10"/>
  <c r="Q13" i="8" s="1"/>
  <c r="Z13" i="8" s="1"/>
  <c r="BB5" i="10"/>
  <c r="AQ5" i="10"/>
  <c r="Q5" i="8" s="1"/>
  <c r="Z5" i="8" s="1"/>
  <c r="R88" i="8"/>
  <c r="AA88" i="8" s="1"/>
  <c r="AR80" i="10"/>
  <c r="R80" i="8" s="1"/>
  <c r="AA80" i="8" s="1"/>
  <c r="AR72" i="10"/>
  <c r="R72" i="8" s="1"/>
  <c r="AA72" i="8" s="1"/>
  <c r="BC72" i="10"/>
  <c r="AR64" i="10"/>
  <c r="R64" i="8" s="1"/>
  <c r="AA64" i="8" s="1"/>
  <c r="BC64" i="10"/>
  <c r="AR56" i="10"/>
  <c r="R56" i="8" s="1"/>
  <c r="AA56" i="8" s="1"/>
  <c r="BC56" i="10"/>
  <c r="AR48" i="10"/>
  <c r="R48" i="8" s="1"/>
  <c r="AA48" i="8" s="1"/>
  <c r="BC48" i="10"/>
  <c r="AR40" i="10"/>
  <c r="R40" i="8" s="1"/>
  <c r="AA40" i="8" s="1"/>
  <c r="BC40" i="10"/>
  <c r="AR32" i="10"/>
  <c r="R32" i="8" s="1"/>
  <c r="AA32" i="8" s="1"/>
  <c r="BC32" i="10"/>
  <c r="AR24" i="10"/>
  <c r="R24" i="8" s="1"/>
  <c r="AA24" i="8" s="1"/>
  <c r="BC24" i="10"/>
  <c r="AR16" i="10"/>
  <c r="R16" i="8" s="1"/>
  <c r="AA16" i="8" s="1"/>
  <c r="BC16" i="10"/>
  <c r="AR8" i="10"/>
  <c r="R8" i="8" s="1"/>
  <c r="AA8" i="8" s="1"/>
  <c r="BC8" i="10"/>
  <c r="BD91" i="10"/>
  <c r="AS91" i="10"/>
  <c r="S91" i="8" s="1"/>
  <c r="AB91" i="8" s="1"/>
  <c r="BD83" i="10"/>
  <c r="AS83" i="10"/>
  <c r="S83" i="8" s="1"/>
  <c r="AB83" i="8" s="1"/>
  <c r="BD75" i="10"/>
  <c r="AS75" i="10"/>
  <c r="S75" i="8" s="1"/>
  <c r="AB75" i="8" s="1"/>
  <c r="BD67" i="10"/>
  <c r="AS67" i="10"/>
  <c r="S67" i="8" s="1"/>
  <c r="AB67" i="8" s="1"/>
  <c r="BD59" i="10"/>
  <c r="AS59" i="10"/>
  <c r="S59" i="8" s="1"/>
  <c r="AB59" i="8" s="1"/>
  <c r="BD51" i="10"/>
  <c r="AS51" i="10"/>
  <c r="S51" i="8" s="1"/>
  <c r="AB51" i="8" s="1"/>
  <c r="BD43" i="10"/>
  <c r="AS43" i="10"/>
  <c r="S43" i="8" s="1"/>
  <c r="AB43" i="8" s="1"/>
  <c r="BD35" i="10"/>
  <c r="AS35" i="10"/>
  <c r="S35" i="8" s="1"/>
  <c r="AB35" i="8" s="1"/>
  <c r="BD27" i="10"/>
  <c r="AS27" i="10"/>
  <c r="S27" i="8" s="1"/>
  <c r="AB27" i="8" s="1"/>
  <c r="AV68" i="10"/>
  <c r="AK68" i="10"/>
  <c r="K68" i="8" s="1"/>
  <c r="AF68" i="8" s="1"/>
  <c r="AW56" i="10"/>
  <c r="AL56" i="10"/>
  <c r="L56" i="8" s="1"/>
  <c r="AG56" i="8" s="1"/>
  <c r="AV65" i="10"/>
  <c r="AK65" i="10"/>
  <c r="K65" i="8" s="1"/>
  <c r="AF65" i="8" s="1"/>
  <c r="AV33" i="10"/>
  <c r="AK33" i="10"/>
  <c r="K33" i="8" s="1"/>
  <c r="AF33" i="8" s="1"/>
  <c r="AW93" i="10"/>
  <c r="AL93" i="10"/>
  <c r="L93" i="8" s="1"/>
  <c r="AG93" i="8" s="1"/>
  <c r="AW61" i="10"/>
  <c r="AL61" i="10"/>
  <c r="L61" i="8" s="1"/>
  <c r="AG61" i="8" s="1"/>
  <c r="AW29" i="10"/>
  <c r="AL29" i="10"/>
  <c r="L29" i="8" s="1"/>
  <c r="AG29" i="8" s="1"/>
  <c r="AX79" i="10"/>
  <c r="AM79" i="10"/>
  <c r="M79" i="8" s="1"/>
  <c r="AH79" i="8" s="1"/>
  <c r="AX55" i="10"/>
  <c r="AM55" i="10"/>
  <c r="M55" i="8" s="1"/>
  <c r="AH55" i="8" s="1"/>
  <c r="AX23" i="10"/>
  <c r="AM23" i="10"/>
  <c r="M23" i="8" s="1"/>
  <c r="AH23" i="8" s="1"/>
  <c r="AY83" i="10"/>
  <c r="AN83" i="10"/>
  <c r="N83" i="8" s="1"/>
  <c r="AI83" i="8" s="1"/>
  <c r="AY51" i="10"/>
  <c r="AN51" i="10"/>
  <c r="N51" i="8" s="1"/>
  <c r="AI51" i="8" s="1"/>
  <c r="AY19" i="10"/>
  <c r="AN19" i="10"/>
  <c r="N19" i="8" s="1"/>
  <c r="AI19" i="8" s="1"/>
  <c r="AZ77" i="10"/>
  <c r="AO77" i="10"/>
  <c r="O77" i="8" s="1"/>
  <c r="X77" i="8" s="1"/>
  <c r="AZ45" i="10"/>
  <c r="AO45" i="10"/>
  <c r="O45" i="8" s="1"/>
  <c r="X45" i="8" s="1"/>
  <c r="AZ13" i="10"/>
  <c r="AO13" i="10"/>
  <c r="O13" i="8" s="1"/>
  <c r="X13" i="8" s="1"/>
  <c r="BA73" i="10"/>
  <c r="AP73" i="10"/>
  <c r="P73" i="8" s="1"/>
  <c r="Y73" i="8" s="1"/>
  <c r="BA33" i="10"/>
  <c r="AP33" i="10"/>
  <c r="P33" i="8" s="1"/>
  <c r="Y33" i="8" s="1"/>
  <c r="Q92" i="8"/>
  <c r="Z92" i="8" s="1"/>
  <c r="BB52" i="10"/>
  <c r="AQ52" i="10"/>
  <c r="Q52" i="8" s="1"/>
  <c r="Z52" i="8" s="1"/>
  <c r="BB28" i="10"/>
  <c r="AQ28" i="10"/>
  <c r="Q28" i="8" s="1"/>
  <c r="Z28" i="8" s="1"/>
  <c r="R87" i="8"/>
  <c r="AA87" i="8" s="1"/>
  <c r="BC55" i="10"/>
  <c r="AR55" i="10"/>
  <c r="R55" i="8" s="1"/>
  <c r="AA55" i="8" s="1"/>
  <c r="BC23" i="10"/>
  <c r="AR23" i="10"/>
  <c r="R23" i="8" s="1"/>
  <c r="AA23" i="8" s="1"/>
  <c r="BD90" i="10"/>
  <c r="AS90" i="10"/>
  <c r="S90" i="8" s="1"/>
  <c r="AB90" i="8" s="1"/>
  <c r="BD66" i="10"/>
  <c r="AS66" i="10"/>
  <c r="S66" i="8" s="1"/>
  <c r="AB66" i="8" s="1"/>
  <c r="BD34" i="10"/>
  <c r="AS34" i="10"/>
  <c r="S34" i="8" s="1"/>
  <c r="AB34" i="8" s="1"/>
  <c r="AV88" i="10"/>
  <c r="AK88" i="10"/>
  <c r="K88" i="8" s="1"/>
  <c r="AF88" i="8" s="1"/>
  <c r="AV80" i="10"/>
  <c r="AK80" i="10"/>
  <c r="K80" i="8" s="1"/>
  <c r="AF80" i="8" s="1"/>
  <c r="AV72" i="10"/>
  <c r="AK72" i="10"/>
  <c r="K72" i="8" s="1"/>
  <c r="AF72" i="8" s="1"/>
  <c r="AV64" i="10"/>
  <c r="AK64" i="10"/>
  <c r="K64" i="8" s="1"/>
  <c r="AF64" i="8" s="1"/>
  <c r="AV56" i="10"/>
  <c r="AK56" i="10"/>
  <c r="K56" i="8" s="1"/>
  <c r="AF56" i="8" s="1"/>
  <c r="AV48" i="10"/>
  <c r="AK48" i="10"/>
  <c r="K48" i="8" s="1"/>
  <c r="AF48" i="8" s="1"/>
  <c r="AV40" i="10"/>
  <c r="AK40" i="10"/>
  <c r="K40" i="8" s="1"/>
  <c r="AF40" i="8" s="1"/>
  <c r="AV32" i="10"/>
  <c r="AK32" i="10"/>
  <c r="K32" i="8" s="1"/>
  <c r="AF32" i="8" s="1"/>
  <c r="AV24" i="10"/>
  <c r="AK24" i="10"/>
  <c r="K24" i="8" s="1"/>
  <c r="AF24" i="8" s="1"/>
  <c r="AV16" i="10"/>
  <c r="AK16" i="10"/>
  <c r="K16" i="8" s="1"/>
  <c r="AF16" i="8" s="1"/>
  <c r="AV8" i="10"/>
  <c r="AK8" i="10"/>
  <c r="K8" i="8" s="1"/>
  <c r="AF8" i="8" s="1"/>
  <c r="AW92" i="10"/>
  <c r="AL92" i="10"/>
  <c r="L92" i="8" s="1"/>
  <c r="AG92" i="8" s="1"/>
  <c r="AW84" i="10"/>
  <c r="AL84" i="10"/>
  <c r="L84" i="8" s="1"/>
  <c r="AG84" i="8" s="1"/>
  <c r="AW76" i="10"/>
  <c r="AL76" i="10"/>
  <c r="L76" i="8" s="1"/>
  <c r="AG76" i="8" s="1"/>
  <c r="AW68" i="10"/>
  <c r="AL68" i="10"/>
  <c r="L68" i="8" s="1"/>
  <c r="AG68" i="8" s="1"/>
  <c r="AW60" i="10"/>
  <c r="AL60" i="10"/>
  <c r="L60" i="8" s="1"/>
  <c r="AG60" i="8" s="1"/>
  <c r="AW52" i="10"/>
  <c r="AL52" i="10"/>
  <c r="L52" i="8" s="1"/>
  <c r="AG52" i="8" s="1"/>
  <c r="AW44" i="10"/>
  <c r="AL44" i="10"/>
  <c r="L44" i="8" s="1"/>
  <c r="AG44" i="8" s="1"/>
  <c r="AW36" i="10"/>
  <c r="AL36" i="10"/>
  <c r="L36" i="8" s="1"/>
  <c r="AG36" i="8" s="1"/>
  <c r="AW28" i="10"/>
  <c r="AL28" i="10"/>
  <c r="L28" i="8" s="1"/>
  <c r="AG28" i="8" s="1"/>
  <c r="AW20" i="10"/>
  <c r="AL20" i="10"/>
  <c r="L20" i="8" s="1"/>
  <c r="AG20" i="8" s="1"/>
  <c r="AW12" i="10"/>
  <c r="AL12" i="10"/>
  <c r="L12" i="8" s="1"/>
  <c r="AG12" i="8" s="1"/>
  <c r="AX94" i="10"/>
  <c r="AM94" i="10"/>
  <c r="AX86" i="10"/>
  <c r="AM86" i="10"/>
  <c r="M86" i="8" s="1"/>
  <c r="AH86" i="8" s="1"/>
  <c r="AX78" i="10"/>
  <c r="AM78" i="10"/>
  <c r="M78" i="8" s="1"/>
  <c r="AH78" i="8" s="1"/>
  <c r="AX70" i="10"/>
  <c r="AM70" i="10"/>
  <c r="M70" i="8" s="1"/>
  <c r="AH70" i="8" s="1"/>
  <c r="AX62" i="10"/>
  <c r="AM62" i="10"/>
  <c r="M62" i="8" s="1"/>
  <c r="AH62" i="8" s="1"/>
  <c r="AX54" i="10"/>
  <c r="AM54" i="10"/>
  <c r="M54" i="8" s="1"/>
  <c r="AH54" i="8" s="1"/>
  <c r="AX46" i="10"/>
  <c r="AM46" i="10"/>
  <c r="M46" i="8" s="1"/>
  <c r="AH46" i="8" s="1"/>
  <c r="AX38" i="10"/>
  <c r="AM38" i="10"/>
  <c r="M38" i="8" s="1"/>
  <c r="AH38" i="8" s="1"/>
  <c r="AX30" i="10"/>
  <c r="AM30" i="10"/>
  <c r="M30" i="8" s="1"/>
  <c r="AH30" i="8" s="1"/>
  <c r="AX22" i="10"/>
  <c r="AM22" i="10"/>
  <c r="M22" i="8" s="1"/>
  <c r="AH22" i="8" s="1"/>
  <c r="AX14" i="10"/>
  <c r="AM14" i="10"/>
  <c r="M14" i="8" s="1"/>
  <c r="AH14" i="8" s="1"/>
  <c r="AX6" i="10"/>
  <c r="AM6" i="10"/>
  <c r="M6" i="8" s="1"/>
  <c r="AH6" i="8" s="1"/>
  <c r="AY90" i="10"/>
  <c r="AN90" i="10"/>
  <c r="N90" i="8" s="1"/>
  <c r="AI90" i="8" s="1"/>
  <c r="AY82" i="10"/>
  <c r="AN82" i="10"/>
  <c r="N82" i="8" s="1"/>
  <c r="AI82" i="8" s="1"/>
  <c r="AY74" i="10"/>
  <c r="AN74" i="10"/>
  <c r="N74" i="8" s="1"/>
  <c r="AI74" i="8" s="1"/>
  <c r="AY66" i="10"/>
  <c r="AN66" i="10"/>
  <c r="N66" i="8" s="1"/>
  <c r="AI66" i="8" s="1"/>
  <c r="AY58" i="10"/>
  <c r="AN58" i="10"/>
  <c r="N58" i="8" s="1"/>
  <c r="AI58" i="8" s="1"/>
  <c r="AY50" i="10"/>
  <c r="AN50" i="10"/>
  <c r="N50" i="8" s="1"/>
  <c r="AI50" i="8" s="1"/>
  <c r="AY42" i="10"/>
  <c r="AN42" i="10"/>
  <c r="N42" i="8" s="1"/>
  <c r="AI42" i="8" s="1"/>
  <c r="AY34" i="10"/>
  <c r="AN34" i="10"/>
  <c r="N34" i="8" s="1"/>
  <c r="AI34" i="8" s="1"/>
  <c r="AY26" i="10"/>
  <c r="AN26" i="10"/>
  <c r="N26" i="8" s="1"/>
  <c r="AI26" i="8" s="1"/>
  <c r="AY18" i="10"/>
  <c r="AN18" i="10"/>
  <c r="N18" i="8" s="1"/>
  <c r="AI18" i="8" s="1"/>
  <c r="AY10" i="10"/>
  <c r="AN10" i="10"/>
  <c r="N10" i="8" s="1"/>
  <c r="AI10" i="8" s="1"/>
  <c r="O92" i="8"/>
  <c r="X92" i="8" s="1"/>
  <c r="AZ84" i="10"/>
  <c r="AO84" i="10"/>
  <c r="O84" i="8" s="1"/>
  <c r="X84" i="8" s="1"/>
  <c r="AZ76" i="10"/>
  <c r="AO76" i="10"/>
  <c r="O76" i="8" s="1"/>
  <c r="X76" i="8" s="1"/>
  <c r="AZ68" i="10"/>
  <c r="AO68" i="10"/>
  <c r="O68" i="8" s="1"/>
  <c r="X68" i="8" s="1"/>
  <c r="AK68" i="8" s="1"/>
  <c r="AZ60" i="10"/>
  <c r="AO60" i="10"/>
  <c r="O60" i="8" s="1"/>
  <c r="X60" i="8" s="1"/>
  <c r="AZ52" i="10"/>
  <c r="AO52" i="10"/>
  <c r="O52" i="8" s="1"/>
  <c r="X52" i="8" s="1"/>
  <c r="AZ44" i="10"/>
  <c r="AO44" i="10"/>
  <c r="O44" i="8" s="1"/>
  <c r="X44" i="8" s="1"/>
  <c r="AZ36" i="10"/>
  <c r="AO36" i="10"/>
  <c r="O36" i="8" s="1"/>
  <c r="X36" i="8" s="1"/>
  <c r="AK36" i="8" s="1"/>
  <c r="AZ28" i="10"/>
  <c r="AO28" i="10"/>
  <c r="O28" i="8" s="1"/>
  <c r="X28" i="8" s="1"/>
  <c r="AZ20" i="10"/>
  <c r="AO20" i="10"/>
  <c r="O20" i="8" s="1"/>
  <c r="X20" i="8" s="1"/>
  <c r="AZ12" i="10"/>
  <c r="AO12" i="10"/>
  <c r="O12" i="8" s="1"/>
  <c r="X12" i="8" s="1"/>
  <c r="AZ4" i="10"/>
  <c r="AO4" i="10"/>
  <c r="O4" i="8" s="1"/>
  <c r="X4" i="8" s="1"/>
  <c r="AK4" i="8" s="1"/>
  <c r="BA88" i="10"/>
  <c r="AP88" i="10"/>
  <c r="P88" i="8" s="1"/>
  <c r="Y88" i="8" s="1"/>
  <c r="BA80" i="10"/>
  <c r="AP80" i="10"/>
  <c r="P80" i="8" s="1"/>
  <c r="Y80" i="8" s="1"/>
  <c r="BA72" i="10"/>
  <c r="AP72" i="10"/>
  <c r="P72" i="8" s="1"/>
  <c r="Y72" i="8" s="1"/>
  <c r="BA64" i="10"/>
  <c r="AP64" i="10"/>
  <c r="P64" i="8" s="1"/>
  <c r="Y64" i="8" s="1"/>
  <c r="BA56" i="10"/>
  <c r="AP56" i="10"/>
  <c r="P56" i="8" s="1"/>
  <c r="Y56" i="8" s="1"/>
  <c r="BA48" i="10"/>
  <c r="AP48" i="10"/>
  <c r="P48" i="8" s="1"/>
  <c r="Y48" i="8" s="1"/>
  <c r="BA40" i="10"/>
  <c r="AP40" i="10"/>
  <c r="P40" i="8" s="1"/>
  <c r="Y40" i="8" s="1"/>
  <c r="BA32" i="10"/>
  <c r="AP32" i="10"/>
  <c r="P32" i="8" s="1"/>
  <c r="Y32" i="8" s="1"/>
  <c r="BA24" i="10"/>
  <c r="AP24" i="10"/>
  <c r="P24" i="8" s="1"/>
  <c r="Y24" i="8" s="1"/>
  <c r="BA16" i="10"/>
  <c r="AP16" i="10"/>
  <c r="P16" i="8" s="1"/>
  <c r="Y16" i="8" s="1"/>
  <c r="BA8" i="10"/>
  <c r="AP8" i="10"/>
  <c r="P8" i="8" s="1"/>
  <c r="Y8" i="8" s="1"/>
  <c r="Q91" i="8"/>
  <c r="Z91" i="8" s="1"/>
  <c r="BB83" i="10"/>
  <c r="AQ83" i="10"/>
  <c r="Q83" i="8" s="1"/>
  <c r="Z83" i="8" s="1"/>
  <c r="BB75" i="10"/>
  <c r="AQ75" i="10"/>
  <c r="Q75" i="8" s="1"/>
  <c r="Z75" i="8" s="1"/>
  <c r="BB67" i="10"/>
  <c r="AQ67" i="10"/>
  <c r="Q67" i="8" s="1"/>
  <c r="Z67" i="8" s="1"/>
  <c r="BB59" i="10"/>
  <c r="AQ59" i="10"/>
  <c r="Q59" i="8" s="1"/>
  <c r="Z59" i="8" s="1"/>
  <c r="BB51" i="10"/>
  <c r="AQ51" i="10"/>
  <c r="Q51" i="8" s="1"/>
  <c r="Z51" i="8" s="1"/>
  <c r="BB43" i="10"/>
  <c r="AQ43" i="10"/>
  <c r="Q43" i="8" s="1"/>
  <c r="Z43" i="8" s="1"/>
  <c r="BB35" i="10"/>
  <c r="AQ35" i="10"/>
  <c r="Q35" i="8" s="1"/>
  <c r="Z35" i="8" s="1"/>
  <c r="BB27" i="10"/>
  <c r="AQ27" i="10"/>
  <c r="Q27" i="8" s="1"/>
  <c r="Z27" i="8" s="1"/>
  <c r="BB19" i="10"/>
  <c r="AQ19" i="10"/>
  <c r="Q19" i="8" s="1"/>
  <c r="Z19" i="8" s="1"/>
  <c r="BB11" i="10"/>
  <c r="AQ11" i="10"/>
  <c r="Q11" i="8" s="1"/>
  <c r="Z11" i="8" s="1"/>
  <c r="R86" i="8"/>
  <c r="AA86" i="8" s="1"/>
  <c r="AR78" i="10"/>
  <c r="R78" i="8" s="1"/>
  <c r="AA78" i="8" s="1"/>
  <c r="BC70" i="10"/>
  <c r="AR70" i="10"/>
  <c r="R70" i="8" s="1"/>
  <c r="AA70" i="8" s="1"/>
  <c r="BC62" i="10"/>
  <c r="AR62" i="10"/>
  <c r="R62" i="8" s="1"/>
  <c r="AA62" i="8" s="1"/>
  <c r="BC54" i="10"/>
  <c r="AR54" i="10"/>
  <c r="R54" i="8" s="1"/>
  <c r="AA54" i="8" s="1"/>
  <c r="BC46" i="10"/>
  <c r="AR46" i="10"/>
  <c r="R46" i="8" s="1"/>
  <c r="AA46" i="8" s="1"/>
  <c r="BC38" i="10"/>
  <c r="AR38" i="10"/>
  <c r="R38" i="8" s="1"/>
  <c r="AA38" i="8" s="1"/>
  <c r="BC30" i="10"/>
  <c r="AR30" i="10"/>
  <c r="R30" i="8" s="1"/>
  <c r="AA30" i="8" s="1"/>
  <c r="BC14" i="10"/>
  <c r="AR14" i="10"/>
  <c r="R14" i="8" s="1"/>
  <c r="AA14" i="8" s="1"/>
  <c r="BC6" i="10"/>
  <c r="AR6" i="10"/>
  <c r="R6" i="8" s="1"/>
  <c r="AA6" i="8" s="1"/>
  <c r="BD89" i="10"/>
  <c r="AS89" i="10"/>
  <c r="S89" i="8" s="1"/>
  <c r="AB89" i="8" s="1"/>
  <c r="BD73" i="10"/>
  <c r="AS73" i="10"/>
  <c r="S73" i="8" s="1"/>
  <c r="AB73" i="8" s="1"/>
  <c r="BD65" i="10"/>
  <c r="AS65" i="10"/>
  <c r="S65" i="8" s="1"/>
  <c r="AB65" i="8" s="1"/>
  <c r="BD57" i="10"/>
  <c r="AS57" i="10"/>
  <c r="S57" i="8" s="1"/>
  <c r="AB57" i="8" s="1"/>
  <c r="BD41" i="10"/>
  <c r="AS41" i="10"/>
  <c r="S41" i="8" s="1"/>
  <c r="AB41" i="8" s="1"/>
  <c r="BD33" i="10"/>
  <c r="AS33" i="10"/>
  <c r="S33" i="8" s="1"/>
  <c r="AB33" i="8" s="1"/>
  <c r="BD25" i="10"/>
  <c r="AS25" i="10"/>
  <c r="S25" i="8" s="1"/>
  <c r="AB25" i="8" s="1"/>
  <c r="BD17" i="10"/>
  <c r="AS17" i="10"/>
  <c r="S17" i="8" s="1"/>
  <c r="AB17" i="8" s="1"/>
  <c r="AV76" i="10"/>
  <c r="AK76" i="10"/>
  <c r="K76" i="8" s="1"/>
  <c r="AF76" i="8" s="1"/>
  <c r="AW48" i="10"/>
  <c r="AL48" i="10"/>
  <c r="L48" i="8" s="1"/>
  <c r="AG48" i="8" s="1"/>
  <c r="AV73" i="10"/>
  <c r="AK73" i="10"/>
  <c r="K73" i="8" s="1"/>
  <c r="AF73" i="8" s="1"/>
  <c r="AV41" i="10"/>
  <c r="AK41" i="10"/>
  <c r="K41" i="8" s="1"/>
  <c r="AF41" i="8" s="1"/>
  <c r="AV9" i="10"/>
  <c r="AK9" i="10"/>
  <c r="K9" i="8" s="1"/>
  <c r="AF9" i="8" s="1"/>
  <c r="AW53" i="10"/>
  <c r="AL53" i="10"/>
  <c r="L53" i="8" s="1"/>
  <c r="AG53" i="8" s="1"/>
  <c r="AW21" i="10"/>
  <c r="AL21" i="10"/>
  <c r="L21" i="8" s="1"/>
  <c r="AG21" i="8" s="1"/>
  <c r="AX87" i="10"/>
  <c r="AM87" i="10"/>
  <c r="M87" i="8" s="1"/>
  <c r="AH87" i="8" s="1"/>
  <c r="AX47" i="10"/>
  <c r="AM47" i="10"/>
  <c r="M47" i="8" s="1"/>
  <c r="AH47" i="8" s="1"/>
  <c r="AX15" i="10"/>
  <c r="AM15" i="10"/>
  <c r="M15" i="8" s="1"/>
  <c r="AH15" i="8" s="1"/>
  <c r="AY75" i="10"/>
  <c r="AN75" i="10"/>
  <c r="N75" i="8" s="1"/>
  <c r="AI75" i="8" s="1"/>
  <c r="AY43" i="10"/>
  <c r="AN43" i="10"/>
  <c r="N43" i="8" s="1"/>
  <c r="AI43" i="8" s="1"/>
  <c r="AY11" i="10"/>
  <c r="AN11" i="10"/>
  <c r="N11" i="8" s="1"/>
  <c r="AI11" i="8" s="1"/>
  <c r="AZ61" i="10"/>
  <c r="AO61" i="10"/>
  <c r="O61" i="8" s="1"/>
  <c r="X61" i="8" s="1"/>
  <c r="AZ29" i="10"/>
  <c r="AO29" i="10"/>
  <c r="O29" i="8" s="1"/>
  <c r="X29" i="8" s="1"/>
  <c r="BA89" i="10"/>
  <c r="AP89" i="10"/>
  <c r="P89" i="8" s="1"/>
  <c r="Y89" i="8" s="1"/>
  <c r="BA57" i="10"/>
  <c r="AP57" i="10"/>
  <c r="P57" i="8" s="1"/>
  <c r="Y57" i="8" s="1"/>
  <c r="BA25" i="10"/>
  <c r="AP25" i="10"/>
  <c r="P25" i="8" s="1"/>
  <c r="Y25" i="8" s="1"/>
  <c r="BB84" i="10"/>
  <c r="AQ84" i="10"/>
  <c r="Q84" i="8" s="1"/>
  <c r="Z84" i="8" s="1"/>
  <c r="BB60" i="10"/>
  <c r="AQ60" i="10"/>
  <c r="Q60" i="8" s="1"/>
  <c r="Z60" i="8" s="1"/>
  <c r="BB20" i="10"/>
  <c r="AQ20" i="10"/>
  <c r="Q20" i="8" s="1"/>
  <c r="Z20" i="8" s="1"/>
  <c r="AR79" i="10"/>
  <c r="R79" i="8" s="1"/>
  <c r="AA79" i="8" s="1"/>
  <c r="BC47" i="10"/>
  <c r="AR47" i="10"/>
  <c r="R47" i="8" s="1"/>
  <c r="AA47" i="8" s="1"/>
  <c r="BC15" i="10"/>
  <c r="AR15" i="10"/>
  <c r="R15" i="8" s="1"/>
  <c r="AA15" i="8" s="1"/>
  <c r="BD82" i="10"/>
  <c r="AS82" i="10"/>
  <c r="S82" i="8" s="1"/>
  <c r="AB82" i="8" s="1"/>
  <c r="BD58" i="10"/>
  <c r="AS58" i="10"/>
  <c r="S58" i="8" s="1"/>
  <c r="AB58" i="8" s="1"/>
  <c r="BD42" i="10"/>
  <c r="AS42" i="10"/>
  <c r="S42" i="8" s="1"/>
  <c r="AB42" i="8" s="1"/>
  <c r="AV87" i="10"/>
  <c r="AK87" i="10"/>
  <c r="K87" i="8" s="1"/>
  <c r="AF87" i="8" s="1"/>
  <c r="AV79" i="10"/>
  <c r="AK79" i="10"/>
  <c r="K79" i="8" s="1"/>
  <c r="AF79" i="8" s="1"/>
  <c r="AV71" i="10"/>
  <c r="AK71" i="10"/>
  <c r="K71" i="8" s="1"/>
  <c r="AF71" i="8" s="1"/>
  <c r="AV63" i="10"/>
  <c r="AK63" i="10"/>
  <c r="K63" i="8" s="1"/>
  <c r="AF63" i="8" s="1"/>
  <c r="AV55" i="10"/>
  <c r="AK55" i="10"/>
  <c r="K55" i="8" s="1"/>
  <c r="AF55" i="8" s="1"/>
  <c r="AV47" i="10"/>
  <c r="AK47" i="10"/>
  <c r="K47" i="8" s="1"/>
  <c r="AF47" i="8" s="1"/>
  <c r="AV39" i="10"/>
  <c r="AK39" i="10"/>
  <c r="K39" i="8" s="1"/>
  <c r="AF39" i="8" s="1"/>
  <c r="AV31" i="10"/>
  <c r="AK31" i="10"/>
  <c r="K31" i="8" s="1"/>
  <c r="AF31" i="8" s="1"/>
  <c r="AV23" i="10"/>
  <c r="AK23" i="10"/>
  <c r="K23" i="8" s="1"/>
  <c r="AF23" i="8" s="1"/>
  <c r="AV15" i="10"/>
  <c r="AK15" i="10"/>
  <c r="K15" i="8" s="1"/>
  <c r="AF15" i="8" s="1"/>
  <c r="AV7" i="10"/>
  <c r="AK7" i="10"/>
  <c r="K7" i="8" s="1"/>
  <c r="AF7" i="8" s="1"/>
  <c r="AW91" i="10"/>
  <c r="AL91" i="10"/>
  <c r="L91" i="8" s="1"/>
  <c r="AG91" i="8" s="1"/>
  <c r="AW83" i="10"/>
  <c r="AL83" i="10"/>
  <c r="L83" i="8" s="1"/>
  <c r="AG83" i="8" s="1"/>
  <c r="AW75" i="10"/>
  <c r="AL75" i="10"/>
  <c r="L75" i="8" s="1"/>
  <c r="AG75" i="8" s="1"/>
  <c r="AW67" i="10"/>
  <c r="AL67" i="10"/>
  <c r="L67" i="8" s="1"/>
  <c r="AG67" i="8" s="1"/>
  <c r="AW59" i="10"/>
  <c r="AL59" i="10"/>
  <c r="L59" i="8" s="1"/>
  <c r="AG59" i="8" s="1"/>
  <c r="AW51" i="10"/>
  <c r="AL51" i="10"/>
  <c r="L51" i="8" s="1"/>
  <c r="AG51" i="8" s="1"/>
  <c r="AW43" i="10"/>
  <c r="AL43" i="10"/>
  <c r="L43" i="8" s="1"/>
  <c r="AG43" i="8" s="1"/>
  <c r="AW35" i="10"/>
  <c r="AL35" i="10"/>
  <c r="L35" i="8" s="1"/>
  <c r="AG35" i="8" s="1"/>
  <c r="AW27" i="10"/>
  <c r="AL27" i="10"/>
  <c r="L27" i="8" s="1"/>
  <c r="AG27" i="8" s="1"/>
  <c r="AW19" i="10"/>
  <c r="AL19" i="10"/>
  <c r="L19" i="8" s="1"/>
  <c r="AG19" i="8" s="1"/>
  <c r="AW11" i="10"/>
  <c r="AL11" i="10"/>
  <c r="L11" i="8" s="1"/>
  <c r="AG11" i="8" s="1"/>
  <c r="AX93" i="10"/>
  <c r="AM93" i="10"/>
  <c r="M93" i="8" s="1"/>
  <c r="AH93" i="8" s="1"/>
  <c r="AX85" i="10"/>
  <c r="AM85" i="10"/>
  <c r="M85" i="8" s="1"/>
  <c r="AH85" i="8" s="1"/>
  <c r="AX77" i="10"/>
  <c r="AM77" i="10"/>
  <c r="M77" i="8" s="1"/>
  <c r="AH77" i="8" s="1"/>
  <c r="AX69" i="10"/>
  <c r="AM69" i="10"/>
  <c r="M69" i="8" s="1"/>
  <c r="AH69" i="8" s="1"/>
  <c r="AX61" i="10"/>
  <c r="AM61" i="10"/>
  <c r="M61" i="8" s="1"/>
  <c r="AH61" i="8" s="1"/>
  <c r="AX53" i="10"/>
  <c r="AM53" i="10"/>
  <c r="M53" i="8" s="1"/>
  <c r="AH53" i="8" s="1"/>
  <c r="AX45" i="10"/>
  <c r="AM45" i="10"/>
  <c r="M45" i="8" s="1"/>
  <c r="AH45" i="8" s="1"/>
  <c r="AX37" i="10"/>
  <c r="AM37" i="10"/>
  <c r="M37" i="8" s="1"/>
  <c r="AH37" i="8" s="1"/>
  <c r="AX29" i="10"/>
  <c r="AM29" i="10"/>
  <c r="M29" i="8" s="1"/>
  <c r="AH29" i="8" s="1"/>
  <c r="AX21" i="10"/>
  <c r="AM21" i="10"/>
  <c r="M21" i="8" s="1"/>
  <c r="AH21" i="8" s="1"/>
  <c r="AX13" i="10"/>
  <c r="AM13" i="10"/>
  <c r="M13" i="8" s="1"/>
  <c r="AH13" i="8" s="1"/>
  <c r="AX5" i="10"/>
  <c r="AM5" i="10"/>
  <c r="M5" i="8" s="1"/>
  <c r="AH5" i="8" s="1"/>
  <c r="AY89" i="10"/>
  <c r="AN89" i="10"/>
  <c r="N89" i="8" s="1"/>
  <c r="AI89" i="8" s="1"/>
  <c r="AY81" i="10"/>
  <c r="AN81" i="10"/>
  <c r="N81" i="8" s="1"/>
  <c r="AI81" i="8" s="1"/>
  <c r="AY73" i="10"/>
  <c r="AN73" i="10"/>
  <c r="N73" i="8" s="1"/>
  <c r="AI73" i="8" s="1"/>
  <c r="AY65" i="10"/>
  <c r="AN65" i="10"/>
  <c r="N65" i="8" s="1"/>
  <c r="AI65" i="8" s="1"/>
  <c r="AY57" i="10"/>
  <c r="AN57" i="10"/>
  <c r="N57" i="8" s="1"/>
  <c r="AI57" i="8" s="1"/>
  <c r="AY49" i="10"/>
  <c r="AN49" i="10"/>
  <c r="N49" i="8" s="1"/>
  <c r="AI49" i="8" s="1"/>
  <c r="AY41" i="10"/>
  <c r="AN41" i="10"/>
  <c r="N41" i="8" s="1"/>
  <c r="AI41" i="8" s="1"/>
  <c r="AY33" i="10"/>
  <c r="AN33" i="10"/>
  <c r="N33" i="8" s="1"/>
  <c r="AI33" i="8" s="1"/>
  <c r="AY25" i="10"/>
  <c r="AN25" i="10"/>
  <c r="N25" i="8" s="1"/>
  <c r="AI25" i="8" s="1"/>
  <c r="AY17" i="10"/>
  <c r="AN17" i="10"/>
  <c r="N17" i="8" s="1"/>
  <c r="AI17" i="8" s="1"/>
  <c r="AY9" i="10"/>
  <c r="AN9" i="10"/>
  <c r="N9" i="8" s="1"/>
  <c r="AI9" i="8" s="1"/>
  <c r="O91" i="8"/>
  <c r="X91" i="8" s="1"/>
  <c r="AZ83" i="10"/>
  <c r="AO83" i="10"/>
  <c r="O83" i="8" s="1"/>
  <c r="X83" i="8" s="1"/>
  <c r="AZ75" i="10"/>
  <c r="AO75" i="10"/>
  <c r="O75" i="8" s="1"/>
  <c r="X75" i="8" s="1"/>
  <c r="AZ67" i="10"/>
  <c r="AO67" i="10"/>
  <c r="O67" i="8" s="1"/>
  <c r="X67" i="8" s="1"/>
  <c r="AZ59" i="10"/>
  <c r="AO59" i="10"/>
  <c r="O59" i="8" s="1"/>
  <c r="X59" i="8" s="1"/>
  <c r="AZ51" i="10"/>
  <c r="AO51" i="10"/>
  <c r="AZ43" i="10"/>
  <c r="AO43" i="10"/>
  <c r="O43" i="8" s="1"/>
  <c r="X43" i="8" s="1"/>
  <c r="AZ35" i="10"/>
  <c r="AO35" i="10"/>
  <c r="O35" i="8" s="1"/>
  <c r="X35" i="8" s="1"/>
  <c r="AZ27" i="10"/>
  <c r="AO27" i="10"/>
  <c r="O27" i="8" s="1"/>
  <c r="X27" i="8" s="1"/>
  <c r="AZ19" i="10"/>
  <c r="AO19" i="10"/>
  <c r="O19" i="8" s="1"/>
  <c r="X19" i="8" s="1"/>
  <c r="AZ11" i="10"/>
  <c r="AO11" i="10"/>
  <c r="O11" i="8" s="1"/>
  <c r="X11" i="8" s="1"/>
  <c r="BA4" i="10"/>
  <c r="AP4" i="10"/>
  <c r="P4" i="8" s="1"/>
  <c r="Y4" i="8" s="1"/>
  <c r="BA87" i="10"/>
  <c r="AP87" i="10"/>
  <c r="P87" i="8" s="1"/>
  <c r="Y87" i="8" s="1"/>
  <c r="BA79" i="10"/>
  <c r="AP79" i="10"/>
  <c r="P79" i="8" s="1"/>
  <c r="Y79" i="8" s="1"/>
  <c r="BA71" i="10"/>
  <c r="AP71" i="10"/>
  <c r="P71" i="8" s="1"/>
  <c r="Y71" i="8" s="1"/>
  <c r="BA63" i="10"/>
  <c r="AP63" i="10"/>
  <c r="P63" i="8" s="1"/>
  <c r="Y63" i="8" s="1"/>
  <c r="BA55" i="10"/>
  <c r="AP55" i="10"/>
  <c r="P55" i="8" s="1"/>
  <c r="Y55" i="8" s="1"/>
  <c r="BA47" i="10"/>
  <c r="AP47" i="10"/>
  <c r="P47" i="8" s="1"/>
  <c r="Y47" i="8" s="1"/>
  <c r="BA39" i="10"/>
  <c r="AP39" i="10"/>
  <c r="P39" i="8" s="1"/>
  <c r="Y39" i="8" s="1"/>
  <c r="BA31" i="10"/>
  <c r="AP31" i="10"/>
  <c r="P31" i="8" s="1"/>
  <c r="Y31" i="8" s="1"/>
  <c r="BA23" i="10"/>
  <c r="AP23" i="10"/>
  <c r="P23" i="8" s="1"/>
  <c r="Y23" i="8" s="1"/>
  <c r="BA15" i="10"/>
  <c r="AP15" i="10"/>
  <c r="P15" i="8" s="1"/>
  <c r="Y15" i="8" s="1"/>
  <c r="BA7" i="10"/>
  <c r="AP7" i="10"/>
  <c r="P7" i="8" s="1"/>
  <c r="Y7" i="8" s="1"/>
  <c r="Q90" i="8"/>
  <c r="Z90" i="8" s="1"/>
  <c r="BB82" i="10"/>
  <c r="AQ82" i="10"/>
  <c r="Q82" i="8" s="1"/>
  <c r="Z82" i="8" s="1"/>
  <c r="BB74" i="10"/>
  <c r="AQ74" i="10"/>
  <c r="Q74" i="8" s="1"/>
  <c r="Z74" i="8" s="1"/>
  <c r="BB66" i="10"/>
  <c r="AQ66" i="10"/>
  <c r="Q66" i="8" s="1"/>
  <c r="Z66" i="8" s="1"/>
  <c r="BB58" i="10"/>
  <c r="AQ58" i="10"/>
  <c r="Q58" i="8" s="1"/>
  <c r="Z58" i="8" s="1"/>
  <c r="BB50" i="10"/>
  <c r="AQ50" i="10"/>
  <c r="Q50" i="8" s="1"/>
  <c r="Z50" i="8" s="1"/>
  <c r="BB42" i="10"/>
  <c r="AQ42" i="10"/>
  <c r="Q42" i="8" s="1"/>
  <c r="Z42" i="8" s="1"/>
  <c r="BB34" i="10"/>
  <c r="AQ34" i="10"/>
  <c r="Q34" i="8" s="1"/>
  <c r="Z34" i="8" s="1"/>
  <c r="BB26" i="10"/>
  <c r="AQ26" i="10"/>
  <c r="Q26" i="8" s="1"/>
  <c r="Z26" i="8" s="1"/>
  <c r="BB18" i="10"/>
  <c r="AQ18" i="10"/>
  <c r="Q18" i="8" s="1"/>
  <c r="Z18" i="8" s="1"/>
  <c r="BB10" i="10"/>
  <c r="AQ10" i="10"/>
  <c r="Q10" i="8" s="1"/>
  <c r="Z10" i="8" s="1"/>
  <c r="R93" i="8"/>
  <c r="AA93" i="8" s="1"/>
  <c r="R85" i="8"/>
  <c r="AA85" i="8" s="1"/>
  <c r="AR77" i="10"/>
  <c r="R77" i="8" s="1"/>
  <c r="AA77" i="8" s="1"/>
  <c r="BC69" i="10"/>
  <c r="AR69" i="10"/>
  <c r="R69" i="8" s="1"/>
  <c r="AA69" i="8" s="1"/>
  <c r="BC61" i="10"/>
  <c r="AR61" i="10"/>
  <c r="R61" i="8" s="1"/>
  <c r="AA61" i="8" s="1"/>
  <c r="BC53" i="10"/>
  <c r="AR53" i="10"/>
  <c r="R53" i="8" s="1"/>
  <c r="AA53" i="8" s="1"/>
  <c r="BC45" i="10"/>
  <c r="AR45" i="10"/>
  <c r="R45" i="8" s="1"/>
  <c r="AA45" i="8" s="1"/>
  <c r="BC37" i="10"/>
  <c r="AR37" i="10"/>
  <c r="R37" i="8" s="1"/>
  <c r="AA37" i="8" s="1"/>
  <c r="BC29" i="10"/>
  <c r="AR29" i="10"/>
  <c r="R29" i="8" s="1"/>
  <c r="AA29" i="8" s="1"/>
  <c r="BC21" i="10"/>
  <c r="AR21" i="10"/>
  <c r="R21" i="8" s="1"/>
  <c r="AA21" i="8" s="1"/>
  <c r="BC13" i="10"/>
  <c r="AR13" i="10"/>
  <c r="R13" i="8" s="1"/>
  <c r="AA13" i="8" s="1"/>
  <c r="BC5" i="10"/>
  <c r="AR5" i="10"/>
  <c r="R5" i="8" s="1"/>
  <c r="AA5" i="8" s="1"/>
  <c r="BD88" i="10"/>
  <c r="AS88" i="10"/>
  <c r="S88" i="8" s="1"/>
  <c r="AB88" i="8" s="1"/>
  <c r="BD80" i="10"/>
  <c r="AS80" i="10"/>
  <c r="S80" i="8" s="1"/>
  <c r="AB80" i="8" s="1"/>
  <c r="BD72" i="10"/>
  <c r="AS72" i="10"/>
  <c r="S72" i="8" s="1"/>
  <c r="AB72" i="8" s="1"/>
  <c r="BD64" i="10"/>
  <c r="AS64" i="10"/>
  <c r="S64" i="8" s="1"/>
  <c r="AB64" i="8" s="1"/>
  <c r="BD56" i="10"/>
  <c r="AS56" i="10"/>
  <c r="S56" i="8" s="1"/>
  <c r="AB56" i="8" s="1"/>
  <c r="BD48" i="10"/>
  <c r="AS48" i="10"/>
  <c r="S48" i="8" s="1"/>
  <c r="AB48" i="8" s="1"/>
  <c r="BD40" i="10"/>
  <c r="AS40" i="10"/>
  <c r="S40" i="8" s="1"/>
  <c r="AB40" i="8" s="1"/>
  <c r="BD32" i="10"/>
  <c r="AS32" i="10"/>
  <c r="S32" i="8" s="1"/>
  <c r="AB32" i="8" s="1"/>
  <c r="AW88" i="10"/>
  <c r="AL88" i="10"/>
  <c r="L88" i="8" s="1"/>
  <c r="AG88" i="8" s="1"/>
  <c r="AV89" i="10"/>
  <c r="AK89" i="10"/>
  <c r="K89" i="8" s="1"/>
  <c r="AF89" i="8" s="1"/>
  <c r="AV49" i="10"/>
  <c r="AK49" i="10"/>
  <c r="K49" i="8" s="1"/>
  <c r="AF49" i="8" s="1"/>
  <c r="AV17" i="10"/>
  <c r="AK17" i="10"/>
  <c r="K17" i="8" s="1"/>
  <c r="AF17" i="8" s="1"/>
  <c r="AW77" i="10"/>
  <c r="AL77" i="10"/>
  <c r="L77" i="8" s="1"/>
  <c r="AG77" i="8" s="1"/>
  <c r="AW37" i="10"/>
  <c r="AL37" i="10"/>
  <c r="L37" i="8" s="1"/>
  <c r="AG37" i="8" s="1"/>
  <c r="AW5" i="10"/>
  <c r="AL5" i="10"/>
  <c r="L5" i="8" s="1"/>
  <c r="AG5" i="8" s="1"/>
  <c r="AX63" i="10"/>
  <c r="AM63" i="10"/>
  <c r="M63" i="8" s="1"/>
  <c r="AH63" i="8" s="1"/>
  <c r="AX31" i="10"/>
  <c r="AM31" i="10"/>
  <c r="M31" i="8" s="1"/>
  <c r="AH31" i="8" s="1"/>
  <c r="AY91" i="10"/>
  <c r="AN91" i="10"/>
  <c r="N91" i="8" s="1"/>
  <c r="AI91" i="8" s="1"/>
  <c r="AY59" i="10"/>
  <c r="AN59" i="10"/>
  <c r="N59" i="8" s="1"/>
  <c r="AI59" i="8" s="1"/>
  <c r="AY27" i="10"/>
  <c r="AN27" i="10"/>
  <c r="N27" i="8" s="1"/>
  <c r="AI27" i="8" s="1"/>
  <c r="AZ85" i="10"/>
  <c r="AO85" i="10"/>
  <c r="O85" i="8" s="1"/>
  <c r="X85" i="8" s="1"/>
  <c r="AZ53" i="10"/>
  <c r="AO53" i="10"/>
  <c r="O53" i="8" s="1"/>
  <c r="X53" i="8" s="1"/>
  <c r="AZ21" i="10"/>
  <c r="AO21" i="10"/>
  <c r="O21" i="8" s="1"/>
  <c r="X21" i="8" s="1"/>
  <c r="BA81" i="10"/>
  <c r="AP81" i="10"/>
  <c r="P81" i="8" s="1"/>
  <c r="Y81" i="8" s="1"/>
  <c r="BA49" i="10"/>
  <c r="AP49" i="10"/>
  <c r="P49" i="8" s="1"/>
  <c r="Y49" i="8" s="1"/>
  <c r="BA17" i="10"/>
  <c r="AP17" i="10"/>
  <c r="P17" i="8" s="1"/>
  <c r="Y17" i="8" s="1"/>
  <c r="BB76" i="10"/>
  <c r="AQ76" i="10"/>
  <c r="Q76" i="8" s="1"/>
  <c r="Z76" i="8" s="1"/>
  <c r="BB44" i="10"/>
  <c r="AQ44" i="10"/>
  <c r="Q44" i="8" s="1"/>
  <c r="Z44" i="8" s="1"/>
  <c r="BB12" i="10"/>
  <c r="AQ12" i="10"/>
  <c r="Q12" i="8" s="1"/>
  <c r="Z12" i="8" s="1"/>
  <c r="BC71" i="10"/>
  <c r="AR71" i="10"/>
  <c r="R71" i="8" s="1"/>
  <c r="AA71" i="8" s="1"/>
  <c r="BC31" i="10"/>
  <c r="AR31" i="10"/>
  <c r="R31" i="8" s="1"/>
  <c r="AA31" i="8" s="1"/>
  <c r="BD50" i="10"/>
  <c r="AS50" i="10"/>
  <c r="S50" i="8" s="1"/>
  <c r="AB50" i="8" s="1"/>
  <c r="AV86" i="10"/>
  <c r="AK86" i="10"/>
  <c r="K86" i="8" s="1"/>
  <c r="AF86" i="8" s="1"/>
  <c r="AV78" i="10"/>
  <c r="AK78" i="10"/>
  <c r="K78" i="8" s="1"/>
  <c r="AF78" i="8" s="1"/>
  <c r="AV70" i="10"/>
  <c r="AK70" i="10"/>
  <c r="K70" i="8" s="1"/>
  <c r="AF70" i="8" s="1"/>
  <c r="AV62" i="10"/>
  <c r="AK62" i="10"/>
  <c r="K62" i="8" s="1"/>
  <c r="AF62" i="8" s="1"/>
  <c r="AV54" i="10"/>
  <c r="AK54" i="10"/>
  <c r="K54" i="8" s="1"/>
  <c r="AF54" i="8" s="1"/>
  <c r="AV46" i="10"/>
  <c r="AK46" i="10"/>
  <c r="K46" i="8" s="1"/>
  <c r="AF46" i="8" s="1"/>
  <c r="AV38" i="10"/>
  <c r="AK38" i="10"/>
  <c r="K38" i="8" s="1"/>
  <c r="AF38" i="8" s="1"/>
  <c r="AV30" i="10"/>
  <c r="AK30" i="10"/>
  <c r="K30" i="8" s="1"/>
  <c r="AF30" i="8" s="1"/>
  <c r="AV22" i="10"/>
  <c r="AK22" i="10"/>
  <c r="K22" i="8" s="1"/>
  <c r="AF22" i="8" s="1"/>
  <c r="AV14" i="10"/>
  <c r="AK14" i="10"/>
  <c r="K14" i="8" s="1"/>
  <c r="AF14" i="8" s="1"/>
  <c r="AV6" i="10"/>
  <c r="I6" i="9" s="1"/>
  <c r="AK6" i="10"/>
  <c r="K6" i="8" s="1"/>
  <c r="AF6" i="8" s="1"/>
  <c r="AW90" i="10"/>
  <c r="AL90" i="10"/>
  <c r="L90" i="8" s="1"/>
  <c r="AG90" i="8" s="1"/>
  <c r="AW82" i="10"/>
  <c r="AL82" i="10"/>
  <c r="L82" i="8" s="1"/>
  <c r="AG82" i="8" s="1"/>
  <c r="AW74" i="10"/>
  <c r="AL74" i="10"/>
  <c r="L74" i="8" s="1"/>
  <c r="AG74" i="8" s="1"/>
  <c r="AW66" i="10"/>
  <c r="AL66" i="10"/>
  <c r="L66" i="8" s="1"/>
  <c r="AG66" i="8" s="1"/>
  <c r="AW58" i="10"/>
  <c r="AL58" i="10"/>
  <c r="L58" i="8" s="1"/>
  <c r="AG58" i="8" s="1"/>
  <c r="AW50" i="10"/>
  <c r="AL50" i="10"/>
  <c r="L50" i="8" s="1"/>
  <c r="AG50" i="8" s="1"/>
  <c r="AW42" i="10"/>
  <c r="AL42" i="10"/>
  <c r="L42" i="8" s="1"/>
  <c r="AG42" i="8" s="1"/>
  <c r="AW34" i="10"/>
  <c r="AL34" i="10"/>
  <c r="L34" i="8" s="1"/>
  <c r="AG34" i="8" s="1"/>
  <c r="AW26" i="10"/>
  <c r="AL26" i="10"/>
  <c r="L26" i="8" s="1"/>
  <c r="AG26" i="8" s="1"/>
  <c r="AW18" i="10"/>
  <c r="AL18" i="10"/>
  <c r="L18" i="8" s="1"/>
  <c r="AG18" i="8" s="1"/>
  <c r="AW10" i="10"/>
  <c r="AL10" i="10"/>
  <c r="L10" i="8" s="1"/>
  <c r="AG10" i="8" s="1"/>
  <c r="AX92" i="10"/>
  <c r="AM92" i="10"/>
  <c r="M92" i="8" s="1"/>
  <c r="AH92" i="8" s="1"/>
  <c r="AX84" i="10"/>
  <c r="AM84" i="10"/>
  <c r="M84" i="8" s="1"/>
  <c r="AH84" i="8" s="1"/>
  <c r="AX76" i="10"/>
  <c r="AM76" i="10"/>
  <c r="M76" i="8" s="1"/>
  <c r="AH76" i="8" s="1"/>
  <c r="AX68" i="10"/>
  <c r="AM68" i="10"/>
  <c r="M68" i="8" s="1"/>
  <c r="AH68" i="8" s="1"/>
  <c r="AX60" i="10"/>
  <c r="AM60" i="10"/>
  <c r="M60" i="8" s="1"/>
  <c r="AH60" i="8" s="1"/>
  <c r="AX52" i="10"/>
  <c r="AM52" i="10"/>
  <c r="M52" i="8" s="1"/>
  <c r="AH52" i="8" s="1"/>
  <c r="AX44" i="10"/>
  <c r="AM44" i="10"/>
  <c r="M44" i="8" s="1"/>
  <c r="AH44" i="8" s="1"/>
  <c r="AX36" i="10"/>
  <c r="AM36" i="10"/>
  <c r="M36" i="8" s="1"/>
  <c r="AH36" i="8" s="1"/>
  <c r="AX28" i="10"/>
  <c r="AM28" i="10"/>
  <c r="M28" i="8" s="1"/>
  <c r="AH28" i="8" s="1"/>
  <c r="AX20" i="10"/>
  <c r="AM20" i="10"/>
  <c r="M20" i="8" s="1"/>
  <c r="AH20" i="8" s="1"/>
  <c r="AX12" i="10"/>
  <c r="AM12" i="10"/>
  <c r="M12" i="8" s="1"/>
  <c r="AH12" i="8" s="1"/>
  <c r="AX4" i="10"/>
  <c r="AM4" i="10"/>
  <c r="M4" i="8" s="1"/>
  <c r="AH4" i="8" s="1"/>
  <c r="AY88" i="10"/>
  <c r="AN88" i="10"/>
  <c r="N88" i="8" s="1"/>
  <c r="AI88" i="8" s="1"/>
  <c r="AY80" i="10"/>
  <c r="AN80" i="10"/>
  <c r="N80" i="8" s="1"/>
  <c r="AI80" i="8" s="1"/>
  <c r="AY72" i="10"/>
  <c r="AN72" i="10"/>
  <c r="N72" i="8" s="1"/>
  <c r="AI72" i="8" s="1"/>
  <c r="AY64" i="10"/>
  <c r="AN64" i="10"/>
  <c r="N64" i="8" s="1"/>
  <c r="AI64" i="8" s="1"/>
  <c r="AY56" i="10"/>
  <c r="AN56" i="10"/>
  <c r="N56" i="8" s="1"/>
  <c r="AI56" i="8" s="1"/>
  <c r="AY48" i="10"/>
  <c r="AN48" i="10"/>
  <c r="N48" i="8" s="1"/>
  <c r="AI48" i="8" s="1"/>
  <c r="AY40" i="10"/>
  <c r="AN40" i="10"/>
  <c r="N40" i="8" s="1"/>
  <c r="AI40" i="8" s="1"/>
  <c r="AY32" i="10"/>
  <c r="AN32" i="10"/>
  <c r="N32" i="8" s="1"/>
  <c r="AI32" i="8" s="1"/>
  <c r="AY24" i="10"/>
  <c r="AN24" i="10"/>
  <c r="N24" i="8" s="1"/>
  <c r="AI24" i="8" s="1"/>
  <c r="AY16" i="10"/>
  <c r="AN16" i="10"/>
  <c r="N16" i="8" s="1"/>
  <c r="AI16" i="8" s="1"/>
  <c r="AY8" i="10"/>
  <c r="AN8" i="10"/>
  <c r="N8" i="8" s="1"/>
  <c r="AI8" i="8" s="1"/>
  <c r="O90" i="8"/>
  <c r="X90" i="8" s="1"/>
  <c r="AZ82" i="10"/>
  <c r="AO82" i="10"/>
  <c r="O82" i="8" s="1"/>
  <c r="X82" i="8" s="1"/>
  <c r="AK82" i="8" s="1"/>
  <c r="AZ74" i="10"/>
  <c r="AO74" i="10"/>
  <c r="O74" i="8" s="1"/>
  <c r="X74" i="8" s="1"/>
  <c r="AZ66" i="10"/>
  <c r="AO66" i="10"/>
  <c r="O66" i="8" s="1"/>
  <c r="X66" i="8" s="1"/>
  <c r="AZ58" i="10"/>
  <c r="AO58" i="10"/>
  <c r="O58" i="8" s="1"/>
  <c r="X58" i="8" s="1"/>
  <c r="AZ50" i="10"/>
  <c r="AO50" i="10"/>
  <c r="O50" i="8" s="1"/>
  <c r="X50" i="8" s="1"/>
  <c r="AK50" i="8" s="1"/>
  <c r="AZ42" i="10"/>
  <c r="AO42" i="10"/>
  <c r="O42" i="8" s="1"/>
  <c r="X42" i="8" s="1"/>
  <c r="AZ34" i="10"/>
  <c r="AO34" i="10"/>
  <c r="O34" i="8" s="1"/>
  <c r="X34" i="8" s="1"/>
  <c r="AZ26" i="10"/>
  <c r="AO26" i="10"/>
  <c r="O26" i="8" s="1"/>
  <c r="X26" i="8" s="1"/>
  <c r="AZ18" i="10"/>
  <c r="AO18" i="10"/>
  <c r="O18" i="8" s="1"/>
  <c r="X18" i="8" s="1"/>
  <c r="AK18" i="8" s="1"/>
  <c r="AZ10" i="10"/>
  <c r="AO10" i="10"/>
  <c r="O10" i="8" s="1"/>
  <c r="X10" i="8" s="1"/>
  <c r="BA94" i="10"/>
  <c r="AP94" i="10"/>
  <c r="BA86" i="10"/>
  <c r="AP86" i="10"/>
  <c r="P86" i="8" s="1"/>
  <c r="Y86" i="8" s="1"/>
  <c r="BA78" i="10"/>
  <c r="AP78" i="10"/>
  <c r="P78" i="8" s="1"/>
  <c r="Y78" i="8" s="1"/>
  <c r="BA70" i="10"/>
  <c r="AP70" i="10"/>
  <c r="P70" i="8" s="1"/>
  <c r="Y70" i="8" s="1"/>
  <c r="BA62" i="10"/>
  <c r="AP62" i="10"/>
  <c r="P62" i="8" s="1"/>
  <c r="Y62" i="8" s="1"/>
  <c r="BA54" i="10"/>
  <c r="AP54" i="10"/>
  <c r="P54" i="8" s="1"/>
  <c r="Y54" i="8" s="1"/>
  <c r="BA46" i="10"/>
  <c r="AP46" i="10"/>
  <c r="P46" i="8" s="1"/>
  <c r="Y46" i="8" s="1"/>
  <c r="BA38" i="10"/>
  <c r="AP38" i="10"/>
  <c r="P38" i="8" s="1"/>
  <c r="Y38" i="8" s="1"/>
  <c r="BA30" i="10"/>
  <c r="AP30" i="10"/>
  <c r="P30" i="8" s="1"/>
  <c r="Y30" i="8" s="1"/>
  <c r="BA22" i="10"/>
  <c r="AP22" i="10"/>
  <c r="P22" i="8" s="1"/>
  <c r="Y22" i="8" s="1"/>
  <c r="BA14" i="10"/>
  <c r="AP14" i="10"/>
  <c r="P14" i="8" s="1"/>
  <c r="Y14" i="8" s="1"/>
  <c r="BA6" i="10"/>
  <c r="AP6" i="10"/>
  <c r="P6" i="8" s="1"/>
  <c r="Y6" i="8" s="1"/>
  <c r="Q89" i="8"/>
  <c r="Z89" i="8" s="1"/>
  <c r="BB81" i="10"/>
  <c r="AQ81" i="10"/>
  <c r="Q81" i="8" s="1"/>
  <c r="Z81" i="8" s="1"/>
  <c r="BB73" i="10"/>
  <c r="AQ73" i="10"/>
  <c r="Q73" i="8" s="1"/>
  <c r="Z73" i="8" s="1"/>
  <c r="BB65" i="10"/>
  <c r="AQ65" i="10"/>
  <c r="Q65" i="8" s="1"/>
  <c r="Z65" i="8" s="1"/>
  <c r="BB57" i="10"/>
  <c r="AQ57" i="10"/>
  <c r="Q57" i="8" s="1"/>
  <c r="Z57" i="8" s="1"/>
  <c r="BB49" i="10"/>
  <c r="AQ49" i="10"/>
  <c r="Q49" i="8" s="1"/>
  <c r="Z49" i="8" s="1"/>
  <c r="BB41" i="10"/>
  <c r="AQ41" i="10"/>
  <c r="Q41" i="8" s="1"/>
  <c r="Z41" i="8" s="1"/>
  <c r="BB33" i="10"/>
  <c r="AQ33" i="10"/>
  <c r="Q33" i="8" s="1"/>
  <c r="Z33" i="8" s="1"/>
  <c r="BB25" i="10"/>
  <c r="AQ25" i="10"/>
  <c r="Q25" i="8" s="1"/>
  <c r="Z25" i="8" s="1"/>
  <c r="BB17" i="10"/>
  <c r="AQ17" i="10"/>
  <c r="Q17" i="8" s="1"/>
  <c r="Z17" i="8" s="1"/>
  <c r="BB9" i="10"/>
  <c r="AQ9" i="10"/>
  <c r="Q9" i="8" s="1"/>
  <c r="Z9" i="8" s="1"/>
  <c r="R92" i="8"/>
  <c r="AA92" i="8" s="1"/>
  <c r="AR84" i="10"/>
  <c r="R84" i="8" s="1"/>
  <c r="AA84" i="8" s="1"/>
  <c r="AR76" i="10"/>
  <c r="R76" i="8" s="1"/>
  <c r="AA76" i="8" s="1"/>
  <c r="BC68" i="10"/>
  <c r="AR68" i="10"/>
  <c r="R68" i="8" s="1"/>
  <c r="AA68" i="8" s="1"/>
  <c r="BC60" i="10"/>
  <c r="AR60" i="10"/>
  <c r="R60" i="8" s="1"/>
  <c r="AA60" i="8" s="1"/>
  <c r="BC52" i="10"/>
  <c r="AR52" i="10"/>
  <c r="R52" i="8" s="1"/>
  <c r="AA52" i="8" s="1"/>
  <c r="BC44" i="10"/>
  <c r="AR44" i="10"/>
  <c r="R44" i="8" s="1"/>
  <c r="AA44" i="8" s="1"/>
  <c r="BC36" i="10"/>
  <c r="AR36" i="10"/>
  <c r="R36" i="8" s="1"/>
  <c r="AA36" i="8" s="1"/>
  <c r="BC28" i="10"/>
  <c r="AR28" i="10"/>
  <c r="R28" i="8" s="1"/>
  <c r="AA28" i="8" s="1"/>
  <c r="BC20" i="10"/>
  <c r="AR20" i="10"/>
  <c r="R20" i="8" s="1"/>
  <c r="AA20" i="8" s="1"/>
  <c r="BD4" i="10"/>
  <c r="AS4" i="10"/>
  <c r="S4" i="8" s="1"/>
  <c r="AB4" i="8" s="1"/>
  <c r="BD87" i="10"/>
  <c r="AS87" i="10"/>
  <c r="S87" i="8" s="1"/>
  <c r="AB87" i="8" s="1"/>
  <c r="BD79" i="10"/>
  <c r="AS79" i="10"/>
  <c r="S79" i="8" s="1"/>
  <c r="AB79" i="8" s="1"/>
  <c r="BD63" i="10"/>
  <c r="AS63" i="10"/>
  <c r="S63" i="8" s="1"/>
  <c r="AB63" i="8" s="1"/>
  <c r="BD55" i="10"/>
  <c r="AS55" i="10"/>
  <c r="S55" i="8" s="1"/>
  <c r="AB55" i="8" s="1"/>
  <c r="BD47" i="10"/>
  <c r="AS47" i="10"/>
  <c r="S47" i="8" s="1"/>
  <c r="AB47" i="8" s="1"/>
  <c r="BD31" i="10"/>
  <c r="AS31" i="10"/>
  <c r="S31" i="8" s="1"/>
  <c r="AB31" i="8" s="1"/>
  <c r="BD23" i="10"/>
  <c r="AS23" i="10"/>
  <c r="S23" i="8" s="1"/>
  <c r="AB23" i="8" s="1"/>
  <c r="BD15" i="10"/>
  <c r="AS15" i="10"/>
  <c r="S15" i="8" s="1"/>
  <c r="AB15" i="8" s="1"/>
  <c r="AV92" i="10"/>
  <c r="AK92" i="10"/>
  <c r="K92" i="8" s="1"/>
  <c r="AF92" i="8" s="1"/>
  <c r="AV44" i="10"/>
  <c r="AK44" i="10"/>
  <c r="K44" i="8" s="1"/>
  <c r="AF44" i="8" s="1"/>
  <c r="AW64" i="10"/>
  <c r="AL64" i="10"/>
  <c r="L64" i="8" s="1"/>
  <c r="AG64" i="8" s="1"/>
  <c r="AV81" i="10"/>
  <c r="AK81" i="10"/>
  <c r="K81" i="8" s="1"/>
  <c r="AF81" i="8" s="1"/>
  <c r="AV57" i="10"/>
  <c r="AK57" i="10"/>
  <c r="K57" i="8" s="1"/>
  <c r="AF57" i="8" s="1"/>
  <c r="AV25" i="10"/>
  <c r="AK25" i="10"/>
  <c r="K25" i="8" s="1"/>
  <c r="AF25" i="8" s="1"/>
  <c r="AW85" i="10"/>
  <c r="AL85" i="10"/>
  <c r="L85" i="8" s="1"/>
  <c r="AG85" i="8" s="1"/>
  <c r="AW69" i="10"/>
  <c r="AL69" i="10"/>
  <c r="L69" i="8" s="1"/>
  <c r="AG69" i="8" s="1"/>
  <c r="AW45" i="10"/>
  <c r="AL45" i="10"/>
  <c r="L45" i="8" s="1"/>
  <c r="AG45" i="8" s="1"/>
  <c r="AW13" i="10"/>
  <c r="AL13" i="10"/>
  <c r="L13" i="8" s="1"/>
  <c r="AG13" i="8" s="1"/>
  <c r="AX71" i="10"/>
  <c r="AM71" i="10"/>
  <c r="M71" i="8" s="1"/>
  <c r="AH71" i="8" s="1"/>
  <c r="AX39" i="10"/>
  <c r="AM39" i="10"/>
  <c r="M39" i="8" s="1"/>
  <c r="AH39" i="8" s="1"/>
  <c r="AX7" i="10"/>
  <c r="AM7" i="10"/>
  <c r="M7" i="8" s="1"/>
  <c r="AH7" i="8" s="1"/>
  <c r="AY67" i="10"/>
  <c r="AN67" i="10"/>
  <c r="N67" i="8" s="1"/>
  <c r="AI67" i="8" s="1"/>
  <c r="AY35" i="10"/>
  <c r="AN35" i="10"/>
  <c r="N35" i="8" s="1"/>
  <c r="AI35" i="8" s="1"/>
  <c r="O93" i="8"/>
  <c r="X93" i="8" s="1"/>
  <c r="AZ69" i="10"/>
  <c r="AO69" i="10"/>
  <c r="O69" i="8" s="1"/>
  <c r="X69" i="8" s="1"/>
  <c r="AZ37" i="10"/>
  <c r="AO37" i="10"/>
  <c r="O37" i="8" s="1"/>
  <c r="X37" i="8" s="1"/>
  <c r="AZ5" i="10"/>
  <c r="AO5" i="10"/>
  <c r="O5" i="8" s="1"/>
  <c r="X5" i="8" s="1"/>
  <c r="AK5" i="8" s="1"/>
  <c r="BA65" i="10"/>
  <c r="AP65" i="10"/>
  <c r="P65" i="8" s="1"/>
  <c r="Y65" i="8" s="1"/>
  <c r="BA41" i="10"/>
  <c r="AP41" i="10"/>
  <c r="P41" i="8" s="1"/>
  <c r="Y41" i="8" s="1"/>
  <c r="BA9" i="10"/>
  <c r="AP9" i="10"/>
  <c r="P9" i="8" s="1"/>
  <c r="Y9" i="8" s="1"/>
  <c r="BB68" i="10"/>
  <c r="AQ68" i="10"/>
  <c r="Q68" i="8" s="1"/>
  <c r="Z68" i="8" s="1"/>
  <c r="BB36" i="10"/>
  <c r="AQ36" i="10"/>
  <c r="Q36" i="8" s="1"/>
  <c r="Z36" i="8" s="1"/>
  <c r="BC4" i="10"/>
  <c r="AR4" i="10"/>
  <c r="R4" i="8" s="1"/>
  <c r="AA4" i="8" s="1"/>
  <c r="BC63" i="10"/>
  <c r="AR63" i="10"/>
  <c r="R63" i="8" s="1"/>
  <c r="AA63" i="8" s="1"/>
  <c r="BC39" i="10"/>
  <c r="AR39" i="10"/>
  <c r="R39" i="8" s="1"/>
  <c r="AA39" i="8" s="1"/>
  <c r="BC7" i="10"/>
  <c r="AR7" i="10"/>
  <c r="R7" i="8" s="1"/>
  <c r="AA7" i="8" s="1"/>
  <c r="BD74" i="10"/>
  <c r="AS74" i="10"/>
  <c r="S74" i="8" s="1"/>
  <c r="AB74" i="8" s="1"/>
  <c r="BD26" i="10"/>
  <c r="AS26" i="10"/>
  <c r="S26" i="8" s="1"/>
  <c r="AB26" i="8" s="1"/>
  <c r="AV93" i="10"/>
  <c r="AK93" i="10"/>
  <c r="K93" i="8" s="1"/>
  <c r="AF93" i="8" s="1"/>
  <c r="AV85" i="10"/>
  <c r="AK85" i="10"/>
  <c r="K85" i="8" s="1"/>
  <c r="AF85" i="8" s="1"/>
  <c r="AV77" i="10"/>
  <c r="AK77" i="10"/>
  <c r="K77" i="8" s="1"/>
  <c r="AF77" i="8" s="1"/>
  <c r="AV69" i="10"/>
  <c r="AK69" i="10"/>
  <c r="K69" i="8" s="1"/>
  <c r="AF69" i="8" s="1"/>
  <c r="AV61" i="10"/>
  <c r="AK61" i="10"/>
  <c r="K61" i="8" s="1"/>
  <c r="AF61" i="8" s="1"/>
  <c r="AV53" i="10"/>
  <c r="AK53" i="10"/>
  <c r="K53" i="8" s="1"/>
  <c r="AF53" i="8" s="1"/>
  <c r="AV45" i="10"/>
  <c r="AK45" i="10"/>
  <c r="K45" i="8" s="1"/>
  <c r="AF45" i="8" s="1"/>
  <c r="AV37" i="10"/>
  <c r="AK37" i="10"/>
  <c r="K37" i="8" s="1"/>
  <c r="AF37" i="8" s="1"/>
  <c r="AV29" i="10"/>
  <c r="AK29" i="10"/>
  <c r="K29" i="8" s="1"/>
  <c r="AF29" i="8" s="1"/>
  <c r="AV21" i="10"/>
  <c r="AK21" i="10"/>
  <c r="K21" i="8" s="1"/>
  <c r="AF21" i="8" s="1"/>
  <c r="AV13" i="10"/>
  <c r="AK13" i="10"/>
  <c r="K13" i="8" s="1"/>
  <c r="AF13" i="8" s="1"/>
  <c r="AV5" i="10"/>
  <c r="AK5" i="10"/>
  <c r="K5" i="8" s="1"/>
  <c r="AF5" i="8" s="1"/>
  <c r="AW89" i="10"/>
  <c r="AL89" i="10"/>
  <c r="L89" i="8" s="1"/>
  <c r="AG89" i="8" s="1"/>
  <c r="AW81" i="10"/>
  <c r="AL81" i="10"/>
  <c r="L81" i="8" s="1"/>
  <c r="AG81" i="8" s="1"/>
  <c r="AW73" i="10"/>
  <c r="AL73" i="10"/>
  <c r="L73" i="8" s="1"/>
  <c r="AG73" i="8" s="1"/>
  <c r="AW65" i="10"/>
  <c r="AL65" i="10"/>
  <c r="L65" i="8" s="1"/>
  <c r="AG65" i="8" s="1"/>
  <c r="AW57" i="10"/>
  <c r="AL57" i="10"/>
  <c r="L57" i="8" s="1"/>
  <c r="AG57" i="8" s="1"/>
  <c r="AW49" i="10"/>
  <c r="AL49" i="10"/>
  <c r="L49" i="8" s="1"/>
  <c r="AG49" i="8" s="1"/>
  <c r="AW41" i="10"/>
  <c r="AL41" i="10"/>
  <c r="L41" i="8" s="1"/>
  <c r="AG41" i="8" s="1"/>
  <c r="AW33" i="10"/>
  <c r="AL33" i="10"/>
  <c r="L33" i="8" s="1"/>
  <c r="AG33" i="8" s="1"/>
  <c r="AW25" i="10"/>
  <c r="AL25" i="10"/>
  <c r="L25" i="8" s="1"/>
  <c r="AG25" i="8" s="1"/>
  <c r="AW17" i="10"/>
  <c r="AL17" i="10"/>
  <c r="L17" i="8" s="1"/>
  <c r="AG17" i="8" s="1"/>
  <c r="AW9" i="10"/>
  <c r="AL9" i="10"/>
  <c r="L9" i="8" s="1"/>
  <c r="AG9" i="8" s="1"/>
  <c r="AX91" i="10"/>
  <c r="AM91" i="10"/>
  <c r="M91" i="8" s="1"/>
  <c r="AH91" i="8" s="1"/>
  <c r="AX83" i="10"/>
  <c r="AM83" i="10"/>
  <c r="M83" i="8" s="1"/>
  <c r="AH83" i="8" s="1"/>
  <c r="AX75" i="10"/>
  <c r="AM75" i="10"/>
  <c r="M75" i="8" s="1"/>
  <c r="AH75" i="8" s="1"/>
  <c r="AX67" i="10"/>
  <c r="AM67" i="10"/>
  <c r="M67" i="8" s="1"/>
  <c r="AH67" i="8" s="1"/>
  <c r="AX59" i="10"/>
  <c r="AM59" i="10"/>
  <c r="M59" i="8" s="1"/>
  <c r="AH59" i="8" s="1"/>
  <c r="AX51" i="10"/>
  <c r="AM51" i="10"/>
  <c r="M51" i="8" s="1"/>
  <c r="AH51" i="8" s="1"/>
  <c r="AX43" i="10"/>
  <c r="AM43" i="10"/>
  <c r="M43" i="8" s="1"/>
  <c r="AH43" i="8" s="1"/>
  <c r="AX35" i="10"/>
  <c r="AM35" i="10"/>
  <c r="M35" i="8" s="1"/>
  <c r="AH35" i="8" s="1"/>
  <c r="AX27" i="10"/>
  <c r="AM27" i="10"/>
  <c r="M27" i="8" s="1"/>
  <c r="AH27" i="8" s="1"/>
  <c r="AX19" i="10"/>
  <c r="AM19" i="10"/>
  <c r="M19" i="8" s="1"/>
  <c r="AH19" i="8" s="1"/>
  <c r="AX11" i="10"/>
  <c r="AM11" i="10"/>
  <c r="M11" i="8" s="1"/>
  <c r="AH11" i="8" s="1"/>
  <c r="AY4" i="10"/>
  <c r="AN4" i="10"/>
  <c r="N4" i="8" s="1"/>
  <c r="AI4" i="8" s="1"/>
  <c r="AY87" i="10"/>
  <c r="AN87" i="10"/>
  <c r="N87" i="8" s="1"/>
  <c r="AI87" i="8" s="1"/>
  <c r="AY79" i="10"/>
  <c r="AN79" i="10"/>
  <c r="N79" i="8" s="1"/>
  <c r="AI79" i="8" s="1"/>
  <c r="AY71" i="10"/>
  <c r="AN71" i="10"/>
  <c r="N71" i="8" s="1"/>
  <c r="AI71" i="8" s="1"/>
  <c r="AY63" i="10"/>
  <c r="AN63" i="10"/>
  <c r="N63" i="8" s="1"/>
  <c r="AI63" i="8" s="1"/>
  <c r="AY55" i="10"/>
  <c r="AN55" i="10"/>
  <c r="N55" i="8" s="1"/>
  <c r="AI55" i="8" s="1"/>
  <c r="AY47" i="10"/>
  <c r="AN47" i="10"/>
  <c r="N47" i="8" s="1"/>
  <c r="AI47" i="8" s="1"/>
  <c r="AY39" i="10"/>
  <c r="AN39" i="10"/>
  <c r="N39" i="8" s="1"/>
  <c r="AI39" i="8" s="1"/>
  <c r="AY31" i="10"/>
  <c r="AN31" i="10"/>
  <c r="N31" i="8" s="1"/>
  <c r="AI31" i="8" s="1"/>
  <c r="AY23" i="10"/>
  <c r="AN23" i="10"/>
  <c r="N23" i="8" s="1"/>
  <c r="AI23" i="8" s="1"/>
  <c r="AY15" i="10"/>
  <c r="AN15" i="10"/>
  <c r="N15" i="8" s="1"/>
  <c r="AI15" i="8" s="1"/>
  <c r="AY7" i="10"/>
  <c r="AN7" i="10"/>
  <c r="N7" i="8" s="1"/>
  <c r="AI7" i="8" s="1"/>
  <c r="O89" i="8"/>
  <c r="X89" i="8" s="1"/>
  <c r="AZ81" i="10"/>
  <c r="AO81" i="10"/>
  <c r="O81" i="8" s="1"/>
  <c r="X81" i="8" s="1"/>
  <c r="AZ73" i="10"/>
  <c r="AO73" i="10"/>
  <c r="O73" i="8" s="1"/>
  <c r="X73" i="8" s="1"/>
  <c r="AZ65" i="10"/>
  <c r="AO65" i="10"/>
  <c r="O65" i="8" s="1"/>
  <c r="X65" i="8" s="1"/>
  <c r="AZ57" i="10"/>
  <c r="AO57" i="10"/>
  <c r="O57" i="8" s="1"/>
  <c r="X57" i="8" s="1"/>
  <c r="AZ49" i="10"/>
  <c r="AO49" i="10"/>
  <c r="O49" i="8" s="1"/>
  <c r="X49" i="8" s="1"/>
  <c r="AZ41" i="10"/>
  <c r="AO41" i="10"/>
  <c r="O41" i="8" s="1"/>
  <c r="X41" i="8" s="1"/>
  <c r="AZ33" i="10"/>
  <c r="AO33" i="10"/>
  <c r="O33" i="8" s="1"/>
  <c r="X33" i="8" s="1"/>
  <c r="AK33" i="8" s="1"/>
  <c r="AZ25" i="10"/>
  <c r="AO25" i="10"/>
  <c r="O25" i="8" s="1"/>
  <c r="X25" i="8" s="1"/>
  <c r="AZ17" i="10"/>
  <c r="AO17" i="10"/>
  <c r="O17" i="8" s="1"/>
  <c r="X17" i="8" s="1"/>
  <c r="AZ9" i="10"/>
  <c r="AO9" i="10"/>
  <c r="O9" i="8" s="1"/>
  <c r="X9" i="8" s="1"/>
  <c r="BA93" i="10"/>
  <c r="AP93" i="10"/>
  <c r="P93" i="8" s="1"/>
  <c r="Y93" i="8" s="1"/>
  <c r="BA85" i="10"/>
  <c r="AP85" i="10"/>
  <c r="P85" i="8" s="1"/>
  <c r="Y85" i="8" s="1"/>
  <c r="BA77" i="10"/>
  <c r="AP77" i="10"/>
  <c r="P77" i="8" s="1"/>
  <c r="Y77" i="8" s="1"/>
  <c r="BA69" i="10"/>
  <c r="AP69" i="10"/>
  <c r="P69" i="8" s="1"/>
  <c r="Y69" i="8" s="1"/>
  <c r="BA61" i="10"/>
  <c r="AP61" i="10"/>
  <c r="P61" i="8" s="1"/>
  <c r="Y61" i="8" s="1"/>
  <c r="BA53" i="10"/>
  <c r="AP53" i="10"/>
  <c r="P53" i="8" s="1"/>
  <c r="Y53" i="8" s="1"/>
  <c r="BA45" i="10"/>
  <c r="AP45" i="10"/>
  <c r="P45" i="8" s="1"/>
  <c r="Y45" i="8" s="1"/>
  <c r="BA37" i="10"/>
  <c r="AP37" i="10"/>
  <c r="P37" i="8" s="1"/>
  <c r="Y37" i="8" s="1"/>
  <c r="BA29" i="10"/>
  <c r="AP29" i="10"/>
  <c r="P29" i="8" s="1"/>
  <c r="Y29" i="8" s="1"/>
  <c r="BA21" i="10"/>
  <c r="AP21" i="10"/>
  <c r="P21" i="8" s="1"/>
  <c r="Y21" i="8" s="1"/>
  <c r="BA13" i="10"/>
  <c r="AP13" i="10"/>
  <c r="P13" i="8" s="1"/>
  <c r="Y13" i="8" s="1"/>
  <c r="BA5" i="10"/>
  <c r="AP5" i="10"/>
  <c r="P5" i="8" s="1"/>
  <c r="Y5" i="8" s="1"/>
  <c r="BB88" i="10"/>
  <c r="Q88" i="8"/>
  <c r="Z88" i="8" s="1"/>
  <c r="BB80" i="10"/>
  <c r="AQ80" i="10"/>
  <c r="Q80" i="8" s="1"/>
  <c r="Z80" i="8" s="1"/>
  <c r="BB72" i="10"/>
  <c r="AQ72" i="10"/>
  <c r="Q72" i="8" s="1"/>
  <c r="Z72" i="8" s="1"/>
  <c r="BB64" i="10"/>
  <c r="AQ64" i="10"/>
  <c r="Q64" i="8" s="1"/>
  <c r="Z64" i="8" s="1"/>
  <c r="BB56" i="10"/>
  <c r="AQ56" i="10"/>
  <c r="Q56" i="8" s="1"/>
  <c r="Z56" i="8" s="1"/>
  <c r="BB48" i="10"/>
  <c r="AQ48" i="10"/>
  <c r="Q48" i="8" s="1"/>
  <c r="Z48" i="8" s="1"/>
  <c r="BB40" i="10"/>
  <c r="AQ40" i="10"/>
  <c r="Q40" i="8" s="1"/>
  <c r="Z40" i="8" s="1"/>
  <c r="BB32" i="10"/>
  <c r="AQ32" i="10"/>
  <c r="Q32" i="8" s="1"/>
  <c r="Z32" i="8" s="1"/>
  <c r="BB24" i="10"/>
  <c r="AQ24" i="10"/>
  <c r="Q24" i="8" s="1"/>
  <c r="Z24" i="8" s="1"/>
  <c r="BB16" i="10"/>
  <c r="AQ16" i="10"/>
  <c r="Q16" i="8" s="1"/>
  <c r="Z16" i="8" s="1"/>
  <c r="BB8" i="10"/>
  <c r="AQ8" i="10"/>
  <c r="Q8" i="8" s="1"/>
  <c r="Z8" i="8" s="1"/>
  <c r="R91" i="8"/>
  <c r="AA91" i="8" s="1"/>
  <c r="AR83" i="10"/>
  <c r="R83" i="8" s="1"/>
  <c r="AA83" i="8" s="1"/>
  <c r="AR75" i="10"/>
  <c r="R75" i="8" s="1"/>
  <c r="AA75" i="8" s="1"/>
  <c r="BC67" i="10"/>
  <c r="AR67" i="10"/>
  <c r="R67" i="8" s="1"/>
  <c r="AA67" i="8" s="1"/>
  <c r="BC59" i="10"/>
  <c r="AR59" i="10"/>
  <c r="R59" i="8" s="1"/>
  <c r="AA59" i="8" s="1"/>
  <c r="BC51" i="10"/>
  <c r="AR51" i="10"/>
  <c r="R51" i="8" s="1"/>
  <c r="AA51" i="8" s="1"/>
  <c r="BC43" i="10"/>
  <c r="AR43" i="10"/>
  <c r="R43" i="8" s="1"/>
  <c r="AA43" i="8" s="1"/>
  <c r="BC35" i="10"/>
  <c r="AR35" i="10"/>
  <c r="R35" i="8" s="1"/>
  <c r="AA35" i="8" s="1"/>
  <c r="AR34" i="10"/>
  <c r="R34" i="8" s="1"/>
  <c r="AA34" i="8" s="1"/>
  <c r="BC34" i="10"/>
  <c r="BC26" i="10"/>
  <c r="AR26" i="10"/>
  <c r="R26" i="8" s="1"/>
  <c r="AA26" i="8" s="1"/>
  <c r="BC18" i="10"/>
  <c r="AR18" i="10"/>
  <c r="R18" i="8" s="1"/>
  <c r="AA18" i="8" s="1"/>
  <c r="AR10" i="10"/>
  <c r="R10" i="8" s="1"/>
  <c r="AA10" i="8" s="1"/>
  <c r="BC10" i="10"/>
  <c r="AS93" i="10"/>
  <c r="S93" i="8" s="1"/>
  <c r="AB93" i="8" s="1"/>
  <c r="BD93" i="10"/>
  <c r="AS85" i="10"/>
  <c r="S85" i="8" s="1"/>
  <c r="AB85" i="8" s="1"/>
  <c r="BD85" i="10"/>
  <c r="AS77" i="10"/>
  <c r="S77" i="8" s="1"/>
  <c r="AB77" i="8" s="1"/>
  <c r="BD77" i="10"/>
  <c r="AS69" i="10"/>
  <c r="S69" i="8" s="1"/>
  <c r="AB69" i="8" s="1"/>
  <c r="BD69" i="10"/>
  <c r="AS61" i="10"/>
  <c r="S61" i="8" s="1"/>
  <c r="AB61" i="8" s="1"/>
  <c r="BD61" i="10"/>
  <c r="AS53" i="10"/>
  <c r="S53" i="8" s="1"/>
  <c r="AB53" i="8" s="1"/>
  <c r="BD53" i="10"/>
  <c r="AS45" i="10"/>
  <c r="S45" i="8" s="1"/>
  <c r="AB45" i="8" s="1"/>
  <c r="BD45" i="10"/>
  <c r="AS37" i="10"/>
  <c r="S37" i="8" s="1"/>
  <c r="AB37" i="8" s="1"/>
  <c r="BD37" i="10"/>
  <c r="AS29" i="10"/>
  <c r="S29" i="8" s="1"/>
  <c r="AB29" i="8" s="1"/>
  <c r="BD29" i="10"/>
  <c r="AS21" i="10"/>
  <c r="S21" i="8" s="1"/>
  <c r="AB21" i="8" s="1"/>
  <c r="BD21" i="10"/>
  <c r="AS13" i="10"/>
  <c r="S13" i="8" s="1"/>
  <c r="AB13" i="8" s="1"/>
  <c r="BD13" i="10"/>
  <c r="AS5" i="10"/>
  <c r="S5" i="8" s="1"/>
  <c r="AB5" i="8" s="1"/>
  <c r="BD5" i="10"/>
  <c r="AT88" i="10"/>
  <c r="T88" i="8" s="1"/>
  <c r="AC88" i="8" s="1"/>
  <c r="BE88" i="10"/>
  <c r="AT80" i="10"/>
  <c r="T80" i="8" s="1"/>
  <c r="AC80" i="8" s="1"/>
  <c r="BE80" i="10"/>
  <c r="AT72" i="10"/>
  <c r="T72" i="8" s="1"/>
  <c r="AC72" i="8" s="1"/>
  <c r="BE72" i="10"/>
  <c r="AT64" i="10"/>
  <c r="T64" i="8" s="1"/>
  <c r="AC64" i="8" s="1"/>
  <c r="BE64" i="10"/>
  <c r="AT56" i="10"/>
  <c r="T56" i="8" s="1"/>
  <c r="AC56" i="8" s="1"/>
  <c r="BE56" i="10"/>
  <c r="AT48" i="10"/>
  <c r="T48" i="8" s="1"/>
  <c r="AC48" i="8" s="1"/>
  <c r="BE48" i="10"/>
  <c r="AT40" i="10"/>
  <c r="T40" i="8" s="1"/>
  <c r="AC40" i="8" s="1"/>
  <c r="BE40" i="10"/>
  <c r="AT32" i="10"/>
  <c r="T32" i="8" s="1"/>
  <c r="AC32" i="8" s="1"/>
  <c r="BE32" i="10"/>
  <c r="AT24" i="10"/>
  <c r="T24" i="8" s="1"/>
  <c r="AC24" i="8" s="1"/>
  <c r="BE24" i="10"/>
  <c r="AT16" i="10"/>
  <c r="T16" i="8" s="1"/>
  <c r="AC16" i="8" s="1"/>
  <c r="BE16" i="10"/>
  <c r="AT8" i="10"/>
  <c r="T8" i="8" s="1"/>
  <c r="AC8" i="8" s="1"/>
  <c r="BE8" i="10"/>
  <c r="AU91" i="10"/>
  <c r="U91" i="8" s="1"/>
  <c r="AD91" i="8" s="1"/>
  <c r="BF91" i="10"/>
  <c r="AU83" i="10"/>
  <c r="U83" i="8" s="1"/>
  <c r="AD83" i="8" s="1"/>
  <c r="BF83" i="10"/>
  <c r="AU75" i="10"/>
  <c r="U75" i="8" s="1"/>
  <c r="AD75" i="8" s="1"/>
  <c r="BF75" i="10"/>
  <c r="AU67" i="10"/>
  <c r="U67" i="8" s="1"/>
  <c r="AD67" i="8" s="1"/>
  <c r="BF67" i="10"/>
  <c r="AR19" i="10"/>
  <c r="R19" i="8" s="1"/>
  <c r="AA19" i="8" s="1"/>
  <c r="BD19" i="10"/>
  <c r="AS19" i="10"/>
  <c r="S19" i="8" s="1"/>
  <c r="AB19" i="8" s="1"/>
  <c r="BE78" i="10"/>
  <c r="AT78" i="10"/>
  <c r="T78" i="8" s="1"/>
  <c r="AC78" i="8" s="1"/>
  <c r="BE46" i="10"/>
  <c r="AT46" i="10"/>
  <c r="T46" i="8" s="1"/>
  <c r="AC46" i="8" s="1"/>
  <c r="BE14" i="10"/>
  <c r="AT14" i="10"/>
  <c r="T14" i="8" s="1"/>
  <c r="AC14" i="8" s="1"/>
  <c r="BF73" i="10"/>
  <c r="AU73" i="10"/>
  <c r="U73" i="8" s="1"/>
  <c r="AD73" i="8" s="1"/>
  <c r="BF41" i="10"/>
  <c r="AU41" i="10"/>
  <c r="U41" i="8" s="1"/>
  <c r="AD41" i="8" s="1"/>
  <c r="BF9" i="10"/>
  <c r="AU9" i="10"/>
  <c r="U9" i="8" s="1"/>
  <c r="AD9" i="8" s="1"/>
  <c r="AL79" i="10"/>
  <c r="L79" i="8" s="1"/>
  <c r="AG79" i="8" s="1"/>
  <c r="AW79" i="10"/>
  <c r="AL47" i="10"/>
  <c r="L47" i="8" s="1"/>
  <c r="AG47" i="8" s="1"/>
  <c r="AW47" i="10"/>
  <c r="AL15" i="10"/>
  <c r="L15" i="8" s="1"/>
  <c r="AG15" i="8" s="1"/>
  <c r="AW15" i="10"/>
  <c r="AY77" i="10"/>
  <c r="AN77" i="10"/>
  <c r="N77" i="8" s="1"/>
  <c r="AI77" i="8" s="1"/>
  <c r="AN37" i="10"/>
  <c r="N37" i="8" s="1"/>
  <c r="AI37" i="8" s="1"/>
  <c r="AY37" i="10"/>
  <c r="AN5" i="10"/>
  <c r="N5" i="8" s="1"/>
  <c r="AI5" i="8" s="1"/>
  <c r="AY5" i="10"/>
  <c r="BA11" i="10"/>
  <c r="AP11" i="10"/>
  <c r="P11" i="8" s="1"/>
  <c r="Y11" i="8" s="1"/>
  <c r="BB78" i="10"/>
  <c r="AQ78" i="10"/>
  <c r="Q78" i="8" s="1"/>
  <c r="Z78" i="8" s="1"/>
  <c r="AQ54" i="10"/>
  <c r="Q54" i="8" s="1"/>
  <c r="Z54" i="8" s="1"/>
  <c r="BB54" i="10"/>
  <c r="BB38" i="10"/>
  <c r="AQ38" i="10"/>
  <c r="Q38" i="8" s="1"/>
  <c r="Z38" i="8" s="1"/>
  <c r="BB14" i="10"/>
  <c r="AQ14" i="10"/>
  <c r="Q14" i="8" s="1"/>
  <c r="Z14" i="8" s="1"/>
  <c r="R89" i="8"/>
  <c r="AA89" i="8" s="1"/>
  <c r="AR73" i="10"/>
  <c r="R73" i="8" s="1"/>
  <c r="AA73" i="8" s="1"/>
  <c r="BC73" i="10"/>
  <c r="BC57" i="10"/>
  <c r="AR57" i="10"/>
  <c r="R57" i="8" s="1"/>
  <c r="AA57" i="8" s="1"/>
  <c r="BD7" i="10"/>
  <c r="AS7" i="10"/>
  <c r="S7" i="8" s="1"/>
  <c r="AB7" i="8" s="1"/>
  <c r="BD18" i="10"/>
  <c r="AS18" i="10"/>
  <c r="S18" i="8" s="1"/>
  <c r="AB18" i="8" s="1"/>
  <c r="BD10" i="10"/>
  <c r="AS10" i="10"/>
  <c r="S10" i="8" s="1"/>
  <c r="AB10" i="8" s="1"/>
  <c r="BE93" i="10"/>
  <c r="AT93" i="10"/>
  <c r="T93" i="8" s="1"/>
  <c r="AC93" i="8" s="1"/>
  <c r="BE85" i="10"/>
  <c r="AT85" i="10"/>
  <c r="T85" i="8" s="1"/>
  <c r="AC85" i="8" s="1"/>
  <c r="BE77" i="10"/>
  <c r="AT77" i="10"/>
  <c r="T77" i="8" s="1"/>
  <c r="AC77" i="8" s="1"/>
  <c r="BE69" i="10"/>
  <c r="AT69" i="10"/>
  <c r="T69" i="8" s="1"/>
  <c r="AC69" i="8" s="1"/>
  <c r="BE61" i="10"/>
  <c r="AT61" i="10"/>
  <c r="T61" i="8" s="1"/>
  <c r="AC61" i="8" s="1"/>
  <c r="BE53" i="10"/>
  <c r="AT53" i="10"/>
  <c r="T53" i="8" s="1"/>
  <c r="AC53" i="8" s="1"/>
  <c r="BE45" i="10"/>
  <c r="AT45" i="10"/>
  <c r="T45" i="8" s="1"/>
  <c r="AC45" i="8" s="1"/>
  <c r="BE37" i="10"/>
  <c r="AT37" i="10"/>
  <c r="T37" i="8" s="1"/>
  <c r="AC37" i="8" s="1"/>
  <c r="BE29" i="10"/>
  <c r="AT29" i="10"/>
  <c r="T29" i="8" s="1"/>
  <c r="AC29" i="8" s="1"/>
  <c r="BE21" i="10"/>
  <c r="AT21" i="10"/>
  <c r="T21" i="8" s="1"/>
  <c r="AC21" i="8" s="1"/>
  <c r="BE13" i="10"/>
  <c r="AT13" i="10"/>
  <c r="T13" i="8" s="1"/>
  <c r="AC13" i="8" s="1"/>
  <c r="BE5" i="10"/>
  <c r="AT5" i="10"/>
  <c r="T5" i="8" s="1"/>
  <c r="AC5" i="8" s="1"/>
  <c r="BF88" i="10"/>
  <c r="AU88" i="10"/>
  <c r="U88" i="8" s="1"/>
  <c r="AD88" i="8" s="1"/>
  <c r="BF80" i="10"/>
  <c r="AU80" i="10"/>
  <c r="U80" i="8" s="1"/>
  <c r="AD80" i="8" s="1"/>
  <c r="BF72" i="10"/>
  <c r="AU72" i="10"/>
  <c r="U72" i="8" s="1"/>
  <c r="AD72" i="8" s="1"/>
  <c r="BF64" i="10"/>
  <c r="AU64" i="10"/>
  <c r="U64" i="8" s="1"/>
  <c r="AD64" i="8" s="1"/>
  <c r="BF56" i="10"/>
  <c r="AU56" i="10"/>
  <c r="U56" i="8" s="1"/>
  <c r="AD56" i="8" s="1"/>
  <c r="BF48" i="10"/>
  <c r="AU48" i="10"/>
  <c r="U48" i="8" s="1"/>
  <c r="AD48" i="8" s="1"/>
  <c r="BF40" i="10"/>
  <c r="AU40" i="10"/>
  <c r="U40" i="8" s="1"/>
  <c r="AD40" i="8" s="1"/>
  <c r="BF32" i="10"/>
  <c r="AU32" i="10"/>
  <c r="U32" i="8" s="1"/>
  <c r="AD32" i="8" s="1"/>
  <c r="BF24" i="10"/>
  <c r="AU24" i="10"/>
  <c r="U24" i="8" s="1"/>
  <c r="AD24" i="8" s="1"/>
  <c r="BF16" i="10"/>
  <c r="AU16" i="10"/>
  <c r="U16" i="8" s="1"/>
  <c r="AD16" i="8" s="1"/>
  <c r="BF8" i="10"/>
  <c r="AU8" i="10"/>
  <c r="U8" i="8" s="1"/>
  <c r="AD8" i="8" s="1"/>
  <c r="BE86" i="10"/>
  <c r="AT86" i="10"/>
  <c r="T86" i="8" s="1"/>
  <c r="AC86" i="8" s="1"/>
  <c r="BE54" i="10"/>
  <c r="AT54" i="10"/>
  <c r="T54" i="8" s="1"/>
  <c r="AC54" i="8" s="1"/>
  <c r="BE30" i="10"/>
  <c r="AT30" i="10"/>
  <c r="T30" i="8" s="1"/>
  <c r="AC30" i="8" s="1"/>
  <c r="BF89" i="10"/>
  <c r="AU89" i="10"/>
  <c r="U89" i="8" s="1"/>
  <c r="AD89" i="8" s="1"/>
  <c r="BF57" i="10"/>
  <c r="AU57" i="10"/>
  <c r="U57" i="8" s="1"/>
  <c r="AD57" i="8" s="1"/>
  <c r="BF25" i="10"/>
  <c r="AU25" i="10"/>
  <c r="U25" i="8" s="1"/>
  <c r="AD25" i="8" s="1"/>
  <c r="AW4" i="10"/>
  <c r="AL4" i="10"/>
  <c r="L4" i="8" s="1"/>
  <c r="AG4" i="8" s="1"/>
  <c r="AW63" i="10"/>
  <c r="AL63" i="10"/>
  <c r="L63" i="8" s="1"/>
  <c r="AG63" i="8" s="1"/>
  <c r="AW31" i="10"/>
  <c r="AL31" i="10"/>
  <c r="L31" i="8" s="1"/>
  <c r="AG31" i="8" s="1"/>
  <c r="AY93" i="10"/>
  <c r="AN93" i="10"/>
  <c r="N93" i="8" s="1"/>
  <c r="AI93" i="8" s="1"/>
  <c r="AY61" i="10"/>
  <c r="AN61" i="10"/>
  <c r="N61" i="8" s="1"/>
  <c r="AI61" i="8" s="1"/>
  <c r="AY29" i="10"/>
  <c r="AN29" i="10"/>
  <c r="N29" i="8" s="1"/>
  <c r="AI29" i="8" s="1"/>
  <c r="BA67" i="10"/>
  <c r="AP67" i="10"/>
  <c r="P67" i="8" s="1"/>
  <c r="Y67" i="8" s="1"/>
  <c r="BC12" i="10"/>
  <c r="AR12" i="10"/>
  <c r="R12" i="8" s="1"/>
  <c r="AA12" i="8" s="1"/>
  <c r="BD71" i="10"/>
  <c r="AS71" i="10"/>
  <c r="S71" i="8" s="1"/>
  <c r="AB71" i="8" s="1"/>
  <c r="BD49" i="10"/>
  <c r="AS49" i="10"/>
  <c r="S49" i="8" s="1"/>
  <c r="AB49" i="8" s="1"/>
  <c r="AT39" i="10"/>
  <c r="T39" i="8" s="1"/>
  <c r="AC39" i="8" s="1"/>
  <c r="BE39" i="10"/>
  <c r="BD9" i="10"/>
  <c r="AS9" i="10"/>
  <c r="S9" i="8" s="1"/>
  <c r="AB9" i="8" s="1"/>
  <c r="BE92" i="10"/>
  <c r="AT92" i="10"/>
  <c r="T92" i="8" s="1"/>
  <c r="AC92" i="8" s="1"/>
  <c r="BE84" i="10"/>
  <c r="AT84" i="10"/>
  <c r="T84" i="8" s="1"/>
  <c r="AC84" i="8" s="1"/>
  <c r="BE76" i="10"/>
  <c r="AT76" i="10"/>
  <c r="T76" i="8" s="1"/>
  <c r="AC76" i="8" s="1"/>
  <c r="BE68" i="10"/>
  <c r="AT68" i="10"/>
  <c r="T68" i="8" s="1"/>
  <c r="AC68" i="8" s="1"/>
  <c r="BE60" i="10"/>
  <c r="AT60" i="10"/>
  <c r="T60" i="8" s="1"/>
  <c r="AC60" i="8" s="1"/>
  <c r="BE52" i="10"/>
  <c r="AT52" i="10"/>
  <c r="T52" i="8" s="1"/>
  <c r="AC52" i="8" s="1"/>
  <c r="BE44" i="10"/>
  <c r="AT44" i="10"/>
  <c r="T44" i="8" s="1"/>
  <c r="AC44" i="8" s="1"/>
  <c r="BE36" i="10"/>
  <c r="AT36" i="10"/>
  <c r="T36" i="8" s="1"/>
  <c r="AC36" i="8" s="1"/>
  <c r="BE28" i="10"/>
  <c r="AT28" i="10"/>
  <c r="T28" i="8" s="1"/>
  <c r="AC28" i="8" s="1"/>
  <c r="BE20" i="10"/>
  <c r="AT20" i="10"/>
  <c r="T20" i="8" s="1"/>
  <c r="AC20" i="8" s="1"/>
  <c r="BE12" i="10"/>
  <c r="AT12" i="10"/>
  <c r="T12" i="8" s="1"/>
  <c r="AC12" i="8" s="1"/>
  <c r="BF4" i="10"/>
  <c r="AU4" i="10"/>
  <c r="U4" i="8" s="1"/>
  <c r="AD4" i="8" s="1"/>
  <c r="BF87" i="10"/>
  <c r="AU87" i="10"/>
  <c r="U87" i="8" s="1"/>
  <c r="AD87" i="8" s="1"/>
  <c r="BF79" i="10"/>
  <c r="AU79" i="10"/>
  <c r="U79" i="8" s="1"/>
  <c r="AD79" i="8" s="1"/>
  <c r="BF71" i="10"/>
  <c r="AU71" i="10"/>
  <c r="U71" i="8" s="1"/>
  <c r="AD71" i="8" s="1"/>
  <c r="BF63" i="10"/>
  <c r="AU63" i="10"/>
  <c r="U63" i="8" s="1"/>
  <c r="AD63" i="8" s="1"/>
  <c r="BF55" i="10"/>
  <c r="AU55" i="10"/>
  <c r="U55" i="8" s="1"/>
  <c r="AD55" i="8" s="1"/>
  <c r="BF47" i="10"/>
  <c r="AU47" i="10"/>
  <c r="U47" i="8" s="1"/>
  <c r="AD47" i="8" s="1"/>
  <c r="BF39" i="10"/>
  <c r="AU39" i="10"/>
  <c r="U39" i="8" s="1"/>
  <c r="AD39" i="8" s="1"/>
  <c r="BF31" i="10"/>
  <c r="AU31" i="10"/>
  <c r="U31" i="8" s="1"/>
  <c r="AD31" i="8" s="1"/>
  <c r="BF23" i="10"/>
  <c r="AU23" i="10"/>
  <c r="U23" i="8" s="1"/>
  <c r="AD23" i="8" s="1"/>
  <c r="BF15" i="10"/>
  <c r="AU15" i="10"/>
  <c r="U15" i="8" s="1"/>
  <c r="AD15" i="8" s="1"/>
  <c r="BF7" i="10"/>
  <c r="AU7" i="10"/>
  <c r="U7" i="8" s="1"/>
  <c r="AD7" i="8" s="1"/>
  <c r="BE94" i="10"/>
  <c r="AT94" i="10"/>
  <c r="BE62" i="10"/>
  <c r="AT62" i="10"/>
  <c r="T62" i="8" s="1"/>
  <c r="AC62" i="8" s="1"/>
  <c r="BE22" i="10"/>
  <c r="AT22" i="10"/>
  <c r="T22" i="8" s="1"/>
  <c r="AC22" i="8" s="1"/>
  <c r="BF81" i="10"/>
  <c r="AU81" i="10"/>
  <c r="U81" i="8" s="1"/>
  <c r="AD81" i="8" s="1"/>
  <c r="BF49" i="10"/>
  <c r="AU49" i="10"/>
  <c r="U49" i="8" s="1"/>
  <c r="AD49" i="8" s="1"/>
  <c r="BF17" i="10"/>
  <c r="AU17" i="10"/>
  <c r="U17" i="8" s="1"/>
  <c r="AD17" i="8" s="1"/>
  <c r="AW87" i="10"/>
  <c r="AL87" i="10"/>
  <c r="L87" i="8" s="1"/>
  <c r="AG87" i="8" s="1"/>
  <c r="AW55" i="10"/>
  <c r="AL55" i="10"/>
  <c r="L55" i="8" s="1"/>
  <c r="AG55" i="8" s="1"/>
  <c r="AW23" i="10"/>
  <c r="AL23" i="10"/>
  <c r="L23" i="8" s="1"/>
  <c r="AG23" i="8" s="1"/>
  <c r="AY85" i="10"/>
  <c r="AN85" i="10"/>
  <c r="N85" i="8" s="1"/>
  <c r="AI85" i="8" s="1"/>
  <c r="AY53" i="10"/>
  <c r="AN53" i="10"/>
  <c r="N53" i="8" s="1"/>
  <c r="AI53" i="8" s="1"/>
  <c r="AY13" i="10"/>
  <c r="AN13" i="10"/>
  <c r="N13" i="8" s="1"/>
  <c r="AI13" i="8" s="1"/>
  <c r="BA83" i="10"/>
  <c r="AP83" i="10"/>
  <c r="P83" i="8" s="1"/>
  <c r="Y83" i="8" s="1"/>
  <c r="AP59" i="10"/>
  <c r="P59" i="8" s="1"/>
  <c r="Y59" i="8" s="1"/>
  <c r="BA59" i="10"/>
  <c r="BA43" i="10"/>
  <c r="AP43" i="10"/>
  <c r="P43" i="8" s="1"/>
  <c r="Y43" i="8" s="1"/>
  <c r="BA35" i="10"/>
  <c r="AP35" i="10"/>
  <c r="P35" i="8" s="1"/>
  <c r="Y35" i="8" s="1"/>
  <c r="BA19" i="10"/>
  <c r="AP19" i="10"/>
  <c r="P19" i="8" s="1"/>
  <c r="Y19" i="8" s="1"/>
  <c r="AQ86" i="10"/>
  <c r="Q86" i="8" s="1"/>
  <c r="Z86" i="8" s="1"/>
  <c r="BB86" i="10"/>
  <c r="BB70" i="10"/>
  <c r="AQ70" i="10"/>
  <c r="Q70" i="8" s="1"/>
  <c r="Z70" i="8" s="1"/>
  <c r="BB46" i="10"/>
  <c r="AQ46" i="10"/>
  <c r="Q46" i="8" s="1"/>
  <c r="Z46" i="8" s="1"/>
  <c r="BB30" i="10"/>
  <c r="AQ30" i="10"/>
  <c r="Q30" i="8" s="1"/>
  <c r="Z30" i="8" s="1"/>
  <c r="AQ22" i="10"/>
  <c r="Q22" i="8" s="1"/>
  <c r="Z22" i="8" s="1"/>
  <c r="BB22" i="10"/>
  <c r="BB6" i="10"/>
  <c r="AQ6" i="10"/>
  <c r="Q6" i="8" s="1"/>
  <c r="Z6" i="8" s="1"/>
  <c r="AR81" i="10"/>
  <c r="R81" i="8" s="1"/>
  <c r="AA81" i="8" s="1"/>
  <c r="BC65" i="10"/>
  <c r="AR65" i="10"/>
  <c r="R65" i="8" s="1"/>
  <c r="AA65" i="8" s="1"/>
  <c r="AR49" i="10"/>
  <c r="R49" i="8" s="1"/>
  <c r="AA49" i="8" s="1"/>
  <c r="BC49" i="10"/>
  <c r="BC22" i="10"/>
  <c r="AR22" i="10"/>
  <c r="R22" i="8" s="1"/>
  <c r="AA22" i="8" s="1"/>
  <c r="BD81" i="10"/>
  <c r="AS81" i="10"/>
  <c r="S81" i="8" s="1"/>
  <c r="AB81" i="8" s="1"/>
  <c r="BD39" i="10"/>
  <c r="AS39" i="10"/>
  <c r="S39" i="8" s="1"/>
  <c r="AB39" i="8" s="1"/>
  <c r="AU66" i="10"/>
  <c r="U66" i="8" s="1"/>
  <c r="AD66" i="8" s="1"/>
  <c r="BF66" i="10"/>
  <c r="BD24" i="10"/>
  <c r="AS24" i="10"/>
  <c r="S24" i="8" s="1"/>
  <c r="AB24" i="8" s="1"/>
  <c r="BD16" i="10"/>
  <c r="AS16" i="10"/>
  <c r="S16" i="8" s="1"/>
  <c r="AB16" i="8" s="1"/>
  <c r="BD8" i="10"/>
  <c r="AS8" i="10"/>
  <c r="S8" i="8" s="1"/>
  <c r="AB8" i="8" s="1"/>
  <c r="BE91" i="10"/>
  <c r="AT91" i="10"/>
  <c r="T91" i="8" s="1"/>
  <c r="AC91" i="8" s="1"/>
  <c r="BE83" i="10"/>
  <c r="AT83" i="10"/>
  <c r="T83" i="8" s="1"/>
  <c r="AC83" i="8" s="1"/>
  <c r="BE75" i="10"/>
  <c r="AT75" i="10"/>
  <c r="T75" i="8" s="1"/>
  <c r="AC75" i="8" s="1"/>
  <c r="BE67" i="10"/>
  <c r="AT67" i="10"/>
  <c r="T67" i="8" s="1"/>
  <c r="AC67" i="8" s="1"/>
  <c r="BE59" i="10"/>
  <c r="AT59" i="10"/>
  <c r="T59" i="8" s="1"/>
  <c r="AC59" i="8" s="1"/>
  <c r="BE51" i="10"/>
  <c r="AT51" i="10"/>
  <c r="T51" i="8" s="1"/>
  <c r="AC51" i="8" s="1"/>
  <c r="BE43" i="10"/>
  <c r="AT43" i="10"/>
  <c r="T43" i="8" s="1"/>
  <c r="AC43" i="8" s="1"/>
  <c r="BE35" i="10"/>
  <c r="AT35" i="10"/>
  <c r="T35" i="8" s="1"/>
  <c r="AC35" i="8" s="1"/>
  <c r="BE27" i="10"/>
  <c r="AT27" i="10"/>
  <c r="T27" i="8" s="1"/>
  <c r="AC27" i="8" s="1"/>
  <c r="BE19" i="10"/>
  <c r="AT19" i="10"/>
  <c r="T19" i="8" s="1"/>
  <c r="AC19" i="8" s="1"/>
  <c r="BE11" i="10"/>
  <c r="AT11" i="10"/>
  <c r="T11" i="8" s="1"/>
  <c r="AC11" i="8" s="1"/>
  <c r="BF94" i="10"/>
  <c r="AU94" i="10"/>
  <c r="BF86" i="10"/>
  <c r="AU86" i="10"/>
  <c r="U86" i="8" s="1"/>
  <c r="AD86" i="8" s="1"/>
  <c r="BF78" i="10"/>
  <c r="AU78" i="10"/>
  <c r="U78" i="8" s="1"/>
  <c r="AD78" i="8" s="1"/>
  <c r="BF70" i="10"/>
  <c r="AU70" i="10"/>
  <c r="U70" i="8" s="1"/>
  <c r="AD70" i="8" s="1"/>
  <c r="BF62" i="10"/>
  <c r="AU62" i="10"/>
  <c r="U62" i="8" s="1"/>
  <c r="AD62" i="8" s="1"/>
  <c r="BF54" i="10"/>
  <c r="AU54" i="10"/>
  <c r="U54" i="8" s="1"/>
  <c r="AD54" i="8" s="1"/>
  <c r="BF46" i="10"/>
  <c r="AU46" i="10"/>
  <c r="U46" i="8" s="1"/>
  <c r="AD46" i="8" s="1"/>
  <c r="BF38" i="10"/>
  <c r="AU38" i="10"/>
  <c r="U38" i="8" s="1"/>
  <c r="AD38" i="8" s="1"/>
  <c r="BF30" i="10"/>
  <c r="AU30" i="10"/>
  <c r="U30" i="8" s="1"/>
  <c r="AD30" i="8" s="1"/>
  <c r="BF22" i="10"/>
  <c r="AU22" i="10"/>
  <c r="U22" i="8" s="1"/>
  <c r="AD22" i="8" s="1"/>
  <c r="BF14" i="10"/>
  <c r="AU14" i="10"/>
  <c r="U14" i="8" s="1"/>
  <c r="AD14" i="8" s="1"/>
  <c r="BF6" i="10"/>
  <c r="AU6" i="10"/>
  <c r="U6" i="8" s="1"/>
  <c r="AD6" i="8" s="1"/>
  <c r="AS70" i="10"/>
  <c r="S70" i="8" s="1"/>
  <c r="AB70" i="8" s="1"/>
  <c r="BE90" i="10"/>
  <c r="AT90" i="10"/>
  <c r="T90" i="8" s="1"/>
  <c r="AC90" i="8" s="1"/>
  <c r="BE82" i="10"/>
  <c r="AT82" i="10"/>
  <c r="T82" i="8" s="1"/>
  <c r="AC82" i="8" s="1"/>
  <c r="BE74" i="10"/>
  <c r="AT74" i="10"/>
  <c r="T74" i="8" s="1"/>
  <c r="AC74" i="8" s="1"/>
  <c r="BE66" i="10"/>
  <c r="AT66" i="10"/>
  <c r="T66" i="8" s="1"/>
  <c r="AC66" i="8" s="1"/>
  <c r="BE58" i="10"/>
  <c r="AT58" i="10"/>
  <c r="T58" i="8" s="1"/>
  <c r="AC58" i="8" s="1"/>
  <c r="BE50" i="10"/>
  <c r="AT50" i="10"/>
  <c r="T50" i="8" s="1"/>
  <c r="AC50" i="8" s="1"/>
  <c r="BE42" i="10"/>
  <c r="AT42" i="10"/>
  <c r="T42" i="8" s="1"/>
  <c r="AC42" i="8" s="1"/>
  <c r="BE34" i="10"/>
  <c r="AT34" i="10"/>
  <c r="T34" i="8" s="1"/>
  <c r="AC34" i="8" s="1"/>
  <c r="BE26" i="10"/>
  <c r="AT26" i="10"/>
  <c r="T26" i="8" s="1"/>
  <c r="AC26" i="8" s="1"/>
  <c r="BE18" i="10"/>
  <c r="AT18" i="10"/>
  <c r="T18" i="8" s="1"/>
  <c r="AC18" i="8" s="1"/>
  <c r="BE10" i="10"/>
  <c r="AT10" i="10"/>
  <c r="T10" i="8" s="1"/>
  <c r="AC10" i="8" s="1"/>
  <c r="BF93" i="10"/>
  <c r="AU93" i="10"/>
  <c r="U93" i="8" s="1"/>
  <c r="AD93" i="8" s="1"/>
  <c r="BF85" i="10"/>
  <c r="AU85" i="10"/>
  <c r="U85" i="8" s="1"/>
  <c r="AD85" i="8" s="1"/>
  <c r="BF77" i="10"/>
  <c r="AU77" i="10"/>
  <c r="U77" i="8" s="1"/>
  <c r="AD77" i="8" s="1"/>
  <c r="BF69" i="10"/>
  <c r="AU69" i="10"/>
  <c r="U69" i="8" s="1"/>
  <c r="AD69" i="8" s="1"/>
  <c r="BF61" i="10"/>
  <c r="AU61" i="10"/>
  <c r="U61" i="8" s="1"/>
  <c r="AD61" i="8" s="1"/>
  <c r="BF53" i="10"/>
  <c r="AU53" i="10"/>
  <c r="U53" i="8" s="1"/>
  <c r="AD53" i="8" s="1"/>
  <c r="BF45" i="10"/>
  <c r="AU45" i="10"/>
  <c r="U45" i="8" s="1"/>
  <c r="AD45" i="8" s="1"/>
  <c r="BF37" i="10"/>
  <c r="AU37" i="10"/>
  <c r="U37" i="8" s="1"/>
  <c r="AD37" i="8" s="1"/>
  <c r="BF29" i="10"/>
  <c r="AU29" i="10"/>
  <c r="U29" i="8" s="1"/>
  <c r="AD29" i="8" s="1"/>
  <c r="BF21" i="10"/>
  <c r="AU21" i="10"/>
  <c r="U21" i="8" s="1"/>
  <c r="AD21" i="8" s="1"/>
  <c r="BF13" i="10"/>
  <c r="AU13" i="10"/>
  <c r="U13" i="8" s="1"/>
  <c r="AD13" i="8" s="1"/>
  <c r="BF5" i="10"/>
  <c r="AU5" i="10"/>
  <c r="U5" i="8" s="1"/>
  <c r="AD5" i="8" s="1"/>
  <c r="BD11" i="10"/>
  <c r="AS11" i="10"/>
  <c r="S11" i="8" s="1"/>
  <c r="AB11" i="8" s="1"/>
  <c r="BE70" i="10"/>
  <c r="AT70" i="10"/>
  <c r="T70" i="8" s="1"/>
  <c r="AC70" i="8" s="1"/>
  <c r="BE38" i="10"/>
  <c r="AT38" i="10"/>
  <c r="T38" i="8" s="1"/>
  <c r="AC38" i="8" s="1"/>
  <c r="BE6" i="10"/>
  <c r="AT6" i="10"/>
  <c r="T6" i="8" s="1"/>
  <c r="AC6" i="8" s="1"/>
  <c r="BF65" i="10"/>
  <c r="AU65" i="10"/>
  <c r="U65" i="8" s="1"/>
  <c r="AD65" i="8" s="1"/>
  <c r="BF33" i="10"/>
  <c r="AU33" i="10"/>
  <c r="U33" i="8" s="1"/>
  <c r="AD33" i="8" s="1"/>
  <c r="AW71" i="10"/>
  <c r="AL71" i="10"/>
  <c r="L71" i="8" s="1"/>
  <c r="AG71" i="8" s="1"/>
  <c r="AW39" i="10"/>
  <c r="AL39" i="10"/>
  <c r="L39" i="8" s="1"/>
  <c r="AG39" i="8" s="1"/>
  <c r="AW7" i="10"/>
  <c r="AL7" i="10"/>
  <c r="L7" i="8" s="1"/>
  <c r="AG7" i="8" s="1"/>
  <c r="AN69" i="10"/>
  <c r="N69" i="8" s="1"/>
  <c r="AI69" i="8" s="1"/>
  <c r="AY69" i="10"/>
  <c r="AY45" i="10"/>
  <c r="AN45" i="10"/>
  <c r="N45" i="8" s="1"/>
  <c r="AI45" i="8" s="1"/>
  <c r="AY21" i="10"/>
  <c r="AN21" i="10"/>
  <c r="N21" i="8" s="1"/>
  <c r="AI21" i="8" s="1"/>
  <c r="AP91" i="10"/>
  <c r="P91" i="8" s="1"/>
  <c r="Y91" i="8" s="1"/>
  <c r="BA91" i="10"/>
  <c r="BA75" i="10"/>
  <c r="AP75" i="10"/>
  <c r="P75" i="8" s="1"/>
  <c r="Y75" i="8" s="1"/>
  <c r="BA51" i="10"/>
  <c r="AP51" i="10"/>
  <c r="P51" i="8" s="1"/>
  <c r="Y51" i="8" s="1"/>
  <c r="AP27" i="10"/>
  <c r="P27" i="8" s="1"/>
  <c r="Y27" i="8" s="1"/>
  <c r="BA27" i="10"/>
  <c r="BB62" i="10"/>
  <c r="AQ62" i="10"/>
  <c r="Q62" i="8" s="1"/>
  <c r="Z62" i="8" s="1"/>
  <c r="BC27" i="10"/>
  <c r="AR27" i="10"/>
  <c r="R27" i="8" s="1"/>
  <c r="AA27" i="8" s="1"/>
  <c r="BC11" i="10"/>
  <c r="AR11" i="10"/>
  <c r="R11" i="8" s="1"/>
  <c r="AA11" i="8" s="1"/>
  <c r="BD94" i="10"/>
  <c r="AS94" i="10"/>
  <c r="BD86" i="10"/>
  <c r="AS86" i="10"/>
  <c r="S86" i="8" s="1"/>
  <c r="AB86" i="8" s="1"/>
  <c r="BD78" i="10"/>
  <c r="AS78" i="10"/>
  <c r="S78" i="8" s="1"/>
  <c r="AB78" i="8" s="1"/>
  <c r="BD62" i="10"/>
  <c r="AS62" i="10"/>
  <c r="S62" i="8" s="1"/>
  <c r="AB62" i="8" s="1"/>
  <c r="BD54" i="10"/>
  <c r="AS54" i="10"/>
  <c r="S54" i="8" s="1"/>
  <c r="AB54" i="8" s="1"/>
  <c r="BD46" i="10"/>
  <c r="AS46" i="10"/>
  <c r="S46" i="8" s="1"/>
  <c r="AB46" i="8" s="1"/>
  <c r="BD38" i="10"/>
  <c r="AS38" i="10"/>
  <c r="S38" i="8" s="1"/>
  <c r="AB38" i="8" s="1"/>
  <c r="BD30" i="10"/>
  <c r="AS30" i="10"/>
  <c r="S30" i="8" s="1"/>
  <c r="AB30" i="8" s="1"/>
  <c r="BD22" i="10"/>
  <c r="AS22" i="10"/>
  <c r="S22" i="8" s="1"/>
  <c r="AB22" i="8" s="1"/>
  <c r="BD14" i="10"/>
  <c r="AS14" i="10"/>
  <c r="S14" i="8" s="1"/>
  <c r="AB14" i="8" s="1"/>
  <c r="BD6" i="10"/>
  <c r="AS6" i="10"/>
  <c r="S6" i="8" s="1"/>
  <c r="AB6" i="8" s="1"/>
  <c r="BE89" i="10"/>
  <c r="AT89" i="10"/>
  <c r="T89" i="8" s="1"/>
  <c r="AC89" i="8" s="1"/>
  <c r="BE81" i="10"/>
  <c r="AT81" i="10"/>
  <c r="T81" i="8" s="1"/>
  <c r="AC81" i="8" s="1"/>
  <c r="BE73" i="10"/>
  <c r="AT73" i="10"/>
  <c r="T73" i="8" s="1"/>
  <c r="AC73" i="8" s="1"/>
  <c r="BE65" i="10"/>
  <c r="AT65" i="10"/>
  <c r="T65" i="8" s="1"/>
  <c r="AC65" i="8" s="1"/>
  <c r="BE57" i="10"/>
  <c r="AT57" i="10"/>
  <c r="T57" i="8" s="1"/>
  <c r="AC57" i="8" s="1"/>
  <c r="BE49" i="10"/>
  <c r="AT49" i="10"/>
  <c r="T49" i="8" s="1"/>
  <c r="AC49" i="8" s="1"/>
  <c r="BE41" i="10"/>
  <c r="AT41" i="10"/>
  <c r="T41" i="8" s="1"/>
  <c r="AC41" i="8" s="1"/>
  <c r="BE33" i="10"/>
  <c r="AT33" i="10"/>
  <c r="T33" i="8" s="1"/>
  <c r="AC33" i="8" s="1"/>
  <c r="BE25" i="10"/>
  <c r="AT25" i="10"/>
  <c r="T25" i="8" s="1"/>
  <c r="AC25" i="8" s="1"/>
  <c r="BE17" i="10"/>
  <c r="AT17" i="10"/>
  <c r="T17" i="8" s="1"/>
  <c r="AC17" i="8" s="1"/>
  <c r="BE9" i="10"/>
  <c r="AT9" i="10"/>
  <c r="T9" i="8" s="1"/>
  <c r="AC9" i="8" s="1"/>
  <c r="BF92" i="10"/>
  <c r="AU92" i="10"/>
  <c r="U92" i="8" s="1"/>
  <c r="AD92" i="8" s="1"/>
  <c r="BF84" i="10"/>
  <c r="AU84" i="10"/>
  <c r="U84" i="8" s="1"/>
  <c r="AD84" i="8" s="1"/>
  <c r="BF76" i="10"/>
  <c r="AU76" i="10"/>
  <c r="U76" i="8" s="1"/>
  <c r="AD76" i="8" s="1"/>
  <c r="BF68" i="10"/>
  <c r="AU68" i="10"/>
  <c r="U68" i="8" s="1"/>
  <c r="AD68" i="8" s="1"/>
  <c r="BF60" i="10"/>
  <c r="AU60" i="10"/>
  <c r="U60" i="8" s="1"/>
  <c r="AD60" i="8" s="1"/>
  <c r="BF52" i="10"/>
  <c r="AU52" i="10"/>
  <c r="U52" i="8" s="1"/>
  <c r="AD52" i="8" s="1"/>
  <c r="BF44" i="10"/>
  <c r="AU44" i="10"/>
  <c r="U44" i="8" s="1"/>
  <c r="AD44" i="8" s="1"/>
  <c r="BF36" i="10"/>
  <c r="AU36" i="10"/>
  <c r="U36" i="8" s="1"/>
  <c r="AD36" i="8" s="1"/>
  <c r="BF28" i="10"/>
  <c r="AU28" i="10"/>
  <c r="U28" i="8" s="1"/>
  <c r="AD28" i="8" s="1"/>
  <c r="BF20" i="10"/>
  <c r="AU20" i="10"/>
  <c r="U20" i="8" s="1"/>
  <c r="AD20" i="8" s="1"/>
  <c r="BF12" i="10"/>
  <c r="AU12" i="10"/>
  <c r="U12" i="8" s="1"/>
  <c r="AD12" i="8" s="1"/>
  <c r="AR41" i="10"/>
  <c r="R41" i="8" s="1"/>
  <c r="AA41" i="8" s="1"/>
  <c r="AU59" i="10"/>
  <c r="U59" i="8" s="1"/>
  <c r="AD59" i="8" s="1"/>
  <c r="BF59" i="10"/>
  <c r="AU51" i="10"/>
  <c r="U51" i="8" s="1"/>
  <c r="AD51" i="8" s="1"/>
  <c r="BF51" i="10"/>
  <c r="AU43" i="10"/>
  <c r="U43" i="8" s="1"/>
  <c r="AD43" i="8" s="1"/>
  <c r="BF43" i="10"/>
  <c r="AU35" i="10"/>
  <c r="U35" i="8" s="1"/>
  <c r="AD35" i="8" s="1"/>
  <c r="BF35" i="10"/>
  <c r="AU27" i="10"/>
  <c r="U27" i="8" s="1"/>
  <c r="AD27" i="8" s="1"/>
  <c r="BF27" i="10"/>
  <c r="AU19" i="10"/>
  <c r="U19" i="8" s="1"/>
  <c r="AD19" i="8" s="1"/>
  <c r="BF19" i="10"/>
  <c r="AU11" i="10"/>
  <c r="U11" i="8" s="1"/>
  <c r="AD11" i="8" s="1"/>
  <c r="BF11" i="10"/>
  <c r="AV94" i="10"/>
  <c r="AK94" i="10"/>
  <c r="F64" i="7"/>
  <c r="G64" i="7" s="1"/>
  <c r="F65" i="7"/>
  <c r="G65" i="7" s="1"/>
  <c r="F66" i="7"/>
  <c r="G66" i="7" s="1"/>
  <c r="F67" i="7"/>
  <c r="G67" i="7" s="1"/>
  <c r="F68" i="7"/>
  <c r="G68" i="7" s="1"/>
  <c r="F69" i="7"/>
  <c r="G69" i="7" s="1"/>
  <c r="F70" i="7"/>
  <c r="G70" i="7" s="1"/>
  <c r="F71" i="7"/>
  <c r="G71" i="7" s="1"/>
  <c r="F72" i="7"/>
  <c r="G72" i="7" s="1"/>
  <c r="F73" i="7"/>
  <c r="G73" i="7" s="1"/>
  <c r="F74" i="7"/>
  <c r="G74" i="7" s="1"/>
  <c r="F75" i="7"/>
  <c r="G75" i="7" s="1"/>
  <c r="F76" i="7"/>
  <c r="G76" i="7" s="1"/>
  <c r="F77" i="7"/>
  <c r="G77" i="7" s="1"/>
  <c r="F78" i="7"/>
  <c r="G78" i="7" s="1"/>
  <c r="F79" i="7"/>
  <c r="G79" i="7" s="1"/>
  <c r="F80" i="7"/>
  <c r="G80" i="7" s="1"/>
  <c r="F81" i="7"/>
  <c r="G81" i="7" s="1"/>
  <c r="F82" i="7"/>
  <c r="G82" i="7" s="1"/>
  <c r="F83" i="7"/>
  <c r="G83" i="7" s="1"/>
  <c r="F84" i="7"/>
  <c r="G84" i="7" s="1"/>
  <c r="F85" i="7"/>
  <c r="G85" i="7" s="1"/>
  <c r="F86" i="7"/>
  <c r="G86" i="7" s="1"/>
  <c r="F87" i="7"/>
  <c r="G87" i="7" s="1"/>
  <c r="F88" i="7"/>
  <c r="G88" i="7" s="1"/>
  <c r="F89" i="7"/>
  <c r="G89" i="7" s="1"/>
  <c r="F90" i="7"/>
  <c r="G90" i="7" s="1"/>
  <c r="F91" i="7"/>
  <c r="G91" i="7" s="1"/>
  <c r="F92" i="7"/>
  <c r="G92" i="7" s="1"/>
  <c r="F93" i="7"/>
  <c r="G93" i="7" s="1"/>
  <c r="F63" i="7"/>
  <c r="G63" i="7" s="1"/>
  <c r="F62" i="7"/>
  <c r="G62" i="7" s="1"/>
  <c r="F61" i="7"/>
  <c r="G61" i="7" s="1"/>
  <c r="F28" i="7"/>
  <c r="G28" i="7" s="1"/>
  <c r="F27" i="7"/>
  <c r="G27" i="7" s="1"/>
  <c r="F19" i="7"/>
  <c r="G19" i="7" s="1"/>
  <c r="F20" i="7"/>
  <c r="G20" i="7" s="1"/>
  <c r="F21" i="7"/>
  <c r="G21" i="7" s="1"/>
  <c r="F22" i="7"/>
  <c r="G22" i="7" s="1"/>
  <c r="F23" i="7"/>
  <c r="G23" i="7" s="1"/>
  <c r="F24" i="7"/>
  <c r="G24" i="7" s="1"/>
  <c r="F25" i="7"/>
  <c r="G25" i="7" s="1"/>
  <c r="F26" i="7"/>
  <c r="G26" i="7" s="1"/>
  <c r="F29" i="7"/>
  <c r="G29" i="7" s="1"/>
  <c r="F30" i="7"/>
  <c r="G30" i="7" s="1"/>
  <c r="F31" i="7"/>
  <c r="G31" i="7" s="1"/>
  <c r="F32" i="7"/>
  <c r="G32" i="7" s="1"/>
  <c r="F33" i="7"/>
  <c r="G33" i="7" s="1"/>
  <c r="F34" i="7"/>
  <c r="G34" i="7" s="1"/>
  <c r="F35" i="7"/>
  <c r="G35" i="7" s="1"/>
  <c r="F36" i="7"/>
  <c r="G36" i="7" s="1"/>
  <c r="F37" i="7"/>
  <c r="G37" i="7" s="1"/>
  <c r="F38" i="7"/>
  <c r="G38" i="7" s="1"/>
  <c r="F39" i="7"/>
  <c r="G39" i="7" s="1"/>
  <c r="F40" i="7"/>
  <c r="G40" i="7" s="1"/>
  <c r="F41" i="7"/>
  <c r="G41" i="7" s="1"/>
  <c r="F42" i="7"/>
  <c r="G42" i="7" s="1"/>
  <c r="F43" i="7"/>
  <c r="G43" i="7" s="1"/>
  <c r="F44" i="7"/>
  <c r="G44" i="7" s="1"/>
  <c r="F45" i="7"/>
  <c r="G45" i="7" s="1"/>
  <c r="F46" i="7"/>
  <c r="G46" i="7" s="1"/>
  <c r="F47" i="7"/>
  <c r="G47" i="7" s="1"/>
  <c r="F48" i="7"/>
  <c r="G48" i="7" s="1"/>
  <c r="F49" i="7"/>
  <c r="G49" i="7" s="1"/>
  <c r="F50" i="7"/>
  <c r="G50" i="7" s="1"/>
  <c r="F51" i="7"/>
  <c r="G51" i="7" s="1"/>
  <c r="F52" i="7"/>
  <c r="G52" i="7" s="1"/>
  <c r="F53" i="7"/>
  <c r="G53" i="7" s="1"/>
  <c r="F54" i="7"/>
  <c r="G54" i="7" s="1"/>
  <c r="F55" i="7"/>
  <c r="G55" i="7" s="1"/>
  <c r="F56" i="7"/>
  <c r="G56" i="7" s="1"/>
  <c r="F57" i="7"/>
  <c r="G57" i="7" s="1"/>
  <c r="F58" i="7"/>
  <c r="G58" i="7" s="1"/>
  <c r="F59" i="7"/>
  <c r="G59" i="7" s="1"/>
  <c r="F60" i="7"/>
  <c r="G60" i="7" s="1"/>
  <c r="F18" i="7"/>
  <c r="G18" i="7" s="1"/>
  <c r="F17" i="7"/>
  <c r="G17" i="7" s="1"/>
  <c r="F16" i="7"/>
  <c r="G16" i="7" s="1"/>
  <c r="F15" i="7"/>
  <c r="G15" i="7" s="1"/>
  <c r="F14" i="7"/>
  <c r="G14" i="7" s="1"/>
  <c r="F13" i="7"/>
  <c r="G13" i="7" s="1"/>
  <c r="F12" i="7"/>
  <c r="G12" i="7" s="1"/>
  <c r="X12" i="4"/>
  <c r="AQ30" i="8" l="1"/>
  <c r="AP30" i="8"/>
  <c r="AS35" i="8"/>
  <c r="AR35" i="8"/>
  <c r="AQ37" i="8"/>
  <c r="AP37" i="8"/>
  <c r="AU37" i="8"/>
  <c r="AT37" i="8"/>
  <c r="AK53" i="8"/>
  <c r="AQ27" i="8"/>
  <c r="AP27" i="8"/>
  <c r="AK19" i="8"/>
  <c r="AU27" i="8"/>
  <c r="AK51" i="8"/>
  <c r="AK83" i="8"/>
  <c r="AK77" i="8"/>
  <c r="AW35" i="8"/>
  <c r="AV35" i="8"/>
  <c r="AS29" i="8"/>
  <c r="AR29" i="8"/>
  <c r="AW29" i="8"/>
  <c r="AV29" i="8"/>
  <c r="AK9" i="8"/>
  <c r="AK41" i="8"/>
  <c r="AK73" i="8"/>
  <c r="AS31" i="8"/>
  <c r="AR31" i="8"/>
  <c r="AK26" i="8"/>
  <c r="AK58" i="8"/>
  <c r="AK90" i="8"/>
  <c r="AK12" i="8"/>
  <c r="AK44" i="8"/>
  <c r="AK76" i="8"/>
  <c r="AK14" i="8"/>
  <c r="AK46" i="8"/>
  <c r="AK78" i="8"/>
  <c r="AK24" i="8"/>
  <c r="AW36" i="8"/>
  <c r="AV36" i="8"/>
  <c r="AS27" i="8"/>
  <c r="AK31" i="8"/>
  <c r="AR27" i="8"/>
  <c r="AK63" i="8"/>
  <c r="AQ34" i="8"/>
  <c r="AP34" i="8"/>
  <c r="AU34" i="8"/>
  <c r="AT34" i="8"/>
  <c r="AK88" i="8"/>
  <c r="AK23" i="8"/>
  <c r="AK72" i="8"/>
  <c r="AU30" i="8"/>
  <c r="AT30" i="8"/>
  <c r="AK37" i="8"/>
  <c r="AK85" i="8"/>
  <c r="AS37" i="8"/>
  <c r="AR37" i="8"/>
  <c r="AK27" i="8"/>
  <c r="AK59" i="8"/>
  <c r="AK91" i="8"/>
  <c r="AW37" i="8"/>
  <c r="AV37" i="8"/>
  <c r="AQ36" i="8"/>
  <c r="AP36" i="8"/>
  <c r="AU31" i="8"/>
  <c r="AT31" i="8"/>
  <c r="AK32" i="8"/>
  <c r="AW33" i="8"/>
  <c r="AV33" i="8"/>
  <c r="AQ32" i="8"/>
  <c r="AP32" i="8"/>
  <c r="AU32" i="8"/>
  <c r="AT32" i="8"/>
  <c r="AK17" i="8"/>
  <c r="AK49" i="8"/>
  <c r="AK81" i="8"/>
  <c r="AW28" i="8"/>
  <c r="AV28" i="8"/>
  <c r="AK34" i="8"/>
  <c r="AK66" i="8"/>
  <c r="AQ35" i="8"/>
  <c r="AP35" i="8"/>
  <c r="AU35" i="8"/>
  <c r="AT35" i="8"/>
  <c r="AK20" i="8"/>
  <c r="AK52" i="8"/>
  <c r="AK84" i="8"/>
  <c r="AK22" i="8"/>
  <c r="AK54" i="8"/>
  <c r="AK86" i="8"/>
  <c r="AK48" i="8"/>
  <c r="AK39" i="8"/>
  <c r="AK71" i="8"/>
  <c r="AK40" i="8"/>
  <c r="AW31" i="8"/>
  <c r="AV31" i="8"/>
  <c r="AU28" i="8"/>
  <c r="AT28" i="8"/>
  <c r="AW32" i="8"/>
  <c r="AV32" i="8"/>
  <c r="AS36" i="8"/>
  <c r="AR36" i="8"/>
  <c r="AK69" i="8"/>
  <c r="AW34" i="8"/>
  <c r="AV34" i="8"/>
  <c r="AS28" i="8"/>
  <c r="AR28" i="8"/>
  <c r="AK35" i="8"/>
  <c r="AK67" i="8"/>
  <c r="AK29" i="8"/>
  <c r="AK13" i="8"/>
  <c r="AU36" i="8"/>
  <c r="AT36" i="8"/>
  <c r="AQ31" i="8"/>
  <c r="AP31" i="8"/>
  <c r="AK25" i="8"/>
  <c r="AK57" i="8"/>
  <c r="AK89" i="8"/>
  <c r="AK10" i="8"/>
  <c r="AK42" i="8"/>
  <c r="AK74" i="8"/>
  <c r="AS34" i="8"/>
  <c r="AR34" i="8"/>
  <c r="AK28" i="8"/>
  <c r="AK60" i="8"/>
  <c r="AK92" i="8"/>
  <c r="AK30" i="8"/>
  <c r="AK62" i="8"/>
  <c r="AW27" i="8"/>
  <c r="AV27" i="8"/>
  <c r="AK15" i="8"/>
  <c r="AK47" i="8"/>
  <c r="AK79" i="8"/>
  <c r="AK8" i="8"/>
  <c r="AK56" i="8"/>
  <c r="AK65" i="8"/>
  <c r="AQ33" i="8"/>
  <c r="AP33" i="8"/>
  <c r="AU33" i="8"/>
  <c r="AT33" i="8"/>
  <c r="AQ28" i="8"/>
  <c r="AP28" i="8"/>
  <c r="AS33" i="8"/>
  <c r="AR33" i="8"/>
  <c r="AK93" i="8"/>
  <c r="AS30" i="8"/>
  <c r="AR30" i="8"/>
  <c r="AK21" i="8"/>
  <c r="AK11" i="8"/>
  <c r="AK43" i="8"/>
  <c r="AK75" i="8"/>
  <c r="AK61" i="8"/>
  <c r="AW30" i="8"/>
  <c r="AV30" i="8"/>
  <c r="AQ29" i="8"/>
  <c r="AP29" i="8"/>
  <c r="AU29" i="8"/>
  <c r="AT29" i="8"/>
  <c r="AK45" i="8"/>
  <c r="AK64" i="8"/>
  <c r="AS32" i="8"/>
  <c r="AR32" i="8"/>
  <c r="H70" i="9"/>
  <c r="I70" i="9" s="1"/>
  <c r="H15" i="9"/>
  <c r="I15" i="9" s="1"/>
  <c r="H47" i="9"/>
  <c r="I47" i="9" s="1"/>
  <c r="H92" i="9"/>
  <c r="I92" i="9" s="1"/>
  <c r="C61" i="9"/>
  <c r="D61" i="9" s="1"/>
  <c r="C93" i="9"/>
  <c r="D93" i="9" s="1"/>
  <c r="C22" i="9"/>
  <c r="D22" i="9" s="1"/>
  <c r="C31" i="9"/>
  <c r="D31" i="9" s="1"/>
  <c r="C63" i="9"/>
  <c r="D63" i="9" s="1"/>
  <c r="C73" i="9"/>
  <c r="D73" i="9" s="1"/>
  <c r="C24" i="9"/>
  <c r="D24" i="9" s="1"/>
  <c r="C56" i="9"/>
  <c r="D56" i="9" s="1"/>
  <c r="C88" i="9"/>
  <c r="D88" i="9" s="1"/>
  <c r="C33" i="9"/>
  <c r="D33" i="9" s="1"/>
  <c r="C34" i="9"/>
  <c r="D34" i="9" s="1"/>
  <c r="C66" i="9"/>
  <c r="D66" i="9" s="1"/>
  <c r="H52" i="9"/>
  <c r="I52" i="9" s="1"/>
  <c r="C11" i="9"/>
  <c r="D11" i="9" s="1"/>
  <c r="C43" i="9"/>
  <c r="D43" i="9" s="1"/>
  <c r="C75" i="9"/>
  <c r="D75" i="9" s="1"/>
  <c r="H13" i="9"/>
  <c r="I13" i="9" s="1"/>
  <c r="C29" i="9"/>
  <c r="D29" i="9" s="1"/>
  <c r="C54" i="9"/>
  <c r="D54" i="9" s="1"/>
  <c r="H29" i="9"/>
  <c r="I29" i="9" s="1"/>
  <c r="H61" i="9"/>
  <c r="I61" i="9" s="1"/>
  <c r="H93" i="9"/>
  <c r="I93" i="9" s="1"/>
  <c r="H22" i="9"/>
  <c r="I22" i="9" s="1"/>
  <c r="H54" i="9"/>
  <c r="I54" i="9" s="1"/>
  <c r="H86" i="9"/>
  <c r="I86" i="9" s="1"/>
  <c r="H31" i="9"/>
  <c r="I31" i="9" s="1"/>
  <c r="H63" i="9"/>
  <c r="I63" i="9" s="1"/>
  <c r="H73" i="9"/>
  <c r="I73" i="9" s="1"/>
  <c r="H24" i="9"/>
  <c r="I24" i="9" s="1"/>
  <c r="H56" i="9"/>
  <c r="I56" i="9" s="1"/>
  <c r="H88" i="9"/>
  <c r="I88" i="9" s="1"/>
  <c r="H33" i="9"/>
  <c r="I33" i="9" s="1"/>
  <c r="H34" i="9"/>
  <c r="I34" i="9" s="1"/>
  <c r="H66" i="9"/>
  <c r="I66" i="9" s="1"/>
  <c r="C52" i="9"/>
  <c r="D52" i="9" s="1"/>
  <c r="H11" i="9"/>
  <c r="I11" i="9" s="1"/>
  <c r="H43" i="9"/>
  <c r="I43" i="9" s="1"/>
  <c r="H75" i="9"/>
  <c r="I75" i="9" s="1"/>
  <c r="C86" i="9"/>
  <c r="D86" i="9" s="1"/>
  <c r="D5" i="9"/>
  <c r="C37" i="9"/>
  <c r="D37" i="9" s="1"/>
  <c r="C69" i="9"/>
  <c r="D69" i="9" s="1"/>
  <c r="C25" i="9"/>
  <c r="D25" i="9" s="1"/>
  <c r="C44" i="9"/>
  <c r="D44" i="9" s="1"/>
  <c r="C30" i="9"/>
  <c r="D30" i="9" s="1"/>
  <c r="C62" i="9"/>
  <c r="D62" i="9" s="1"/>
  <c r="C17" i="9"/>
  <c r="D17" i="9" s="1"/>
  <c r="D7" i="9"/>
  <c r="C39" i="9"/>
  <c r="D39" i="9" s="1"/>
  <c r="C71" i="9"/>
  <c r="D71" i="9" s="1"/>
  <c r="C32" i="9"/>
  <c r="D32" i="9" s="1"/>
  <c r="C64" i="9"/>
  <c r="D64" i="9" s="1"/>
  <c r="C65" i="9"/>
  <c r="D65" i="9" s="1"/>
  <c r="C10" i="9"/>
  <c r="D10" i="9" s="1"/>
  <c r="C42" i="9"/>
  <c r="D42" i="9" s="1"/>
  <c r="C74" i="9"/>
  <c r="D74" i="9" s="1"/>
  <c r="D4" i="9"/>
  <c r="H84" i="9"/>
  <c r="I84" i="9" s="1"/>
  <c r="C19" i="9"/>
  <c r="D19" i="9" s="1"/>
  <c r="C51" i="9"/>
  <c r="D51" i="9" s="1"/>
  <c r="C83" i="9"/>
  <c r="D83" i="9" s="1"/>
  <c r="C12" i="9"/>
  <c r="D12" i="9" s="1"/>
  <c r="H57" i="9"/>
  <c r="I57" i="9" s="1"/>
  <c r="I5" i="9"/>
  <c r="H69" i="9"/>
  <c r="I69" i="9" s="1"/>
  <c r="H25" i="9"/>
  <c r="I25" i="9" s="1"/>
  <c r="H44" i="9"/>
  <c r="I44" i="9" s="1"/>
  <c r="H30" i="9"/>
  <c r="I30" i="9" s="1"/>
  <c r="H62" i="9"/>
  <c r="I62" i="9" s="1"/>
  <c r="I7" i="9"/>
  <c r="H39" i="9"/>
  <c r="I39" i="9" s="1"/>
  <c r="H71" i="9"/>
  <c r="I71" i="9" s="1"/>
  <c r="H32" i="9"/>
  <c r="I32" i="9" s="1"/>
  <c r="H64" i="9"/>
  <c r="I64" i="9" s="1"/>
  <c r="H65" i="9"/>
  <c r="I65" i="9" s="1"/>
  <c r="H10" i="9"/>
  <c r="I10" i="9" s="1"/>
  <c r="H42" i="9"/>
  <c r="I42" i="9" s="1"/>
  <c r="H74" i="9"/>
  <c r="I74" i="9" s="1"/>
  <c r="I4" i="9"/>
  <c r="C84" i="9"/>
  <c r="D84" i="9" s="1"/>
  <c r="H19" i="9"/>
  <c r="I19" i="9" s="1"/>
  <c r="H51" i="9"/>
  <c r="I51" i="9" s="1"/>
  <c r="H83" i="9"/>
  <c r="I83" i="9" s="1"/>
  <c r="H12" i="9"/>
  <c r="I12" i="9" s="1"/>
  <c r="H77" i="9"/>
  <c r="I77" i="9" s="1"/>
  <c r="H49" i="9"/>
  <c r="I49" i="9" s="1"/>
  <c r="H37" i="9"/>
  <c r="I37" i="9" s="1"/>
  <c r="H17" i="9"/>
  <c r="I17" i="9" s="1"/>
  <c r="C13" i="9"/>
  <c r="D13" i="9" s="1"/>
  <c r="C45" i="9"/>
  <c r="D45" i="9" s="1"/>
  <c r="C77" i="9"/>
  <c r="D77" i="9" s="1"/>
  <c r="C57" i="9"/>
  <c r="D57" i="9" s="1"/>
  <c r="C92" i="9"/>
  <c r="D92" i="9" s="1"/>
  <c r="D6" i="9"/>
  <c r="C38" i="9"/>
  <c r="D38" i="9" s="1"/>
  <c r="C70" i="9"/>
  <c r="D70" i="9" s="1"/>
  <c r="C49" i="9"/>
  <c r="D49" i="9" s="1"/>
  <c r="C15" i="9"/>
  <c r="D15" i="9" s="1"/>
  <c r="C47" i="9"/>
  <c r="D47" i="9" s="1"/>
  <c r="C79" i="9"/>
  <c r="D79" i="9" s="1"/>
  <c r="C9" i="9"/>
  <c r="D9" i="9" s="1"/>
  <c r="C76" i="9"/>
  <c r="D76" i="9" s="1"/>
  <c r="C8" i="9"/>
  <c r="D8" i="9" s="1"/>
  <c r="C40" i="9"/>
  <c r="D40" i="9" s="1"/>
  <c r="C72" i="9"/>
  <c r="D72" i="9" s="1"/>
  <c r="C18" i="9"/>
  <c r="D18" i="9" s="1"/>
  <c r="C50" i="9"/>
  <c r="D50" i="9" s="1"/>
  <c r="C82" i="9"/>
  <c r="D82" i="9" s="1"/>
  <c r="H20" i="9"/>
  <c r="I20" i="9" s="1"/>
  <c r="C27" i="9"/>
  <c r="D27" i="9" s="1"/>
  <c r="C59" i="9"/>
  <c r="D59" i="9" s="1"/>
  <c r="C91" i="9"/>
  <c r="D91" i="9" s="1"/>
  <c r="C28" i="9"/>
  <c r="D28" i="9" s="1"/>
  <c r="H79" i="9"/>
  <c r="I79" i="9" s="1"/>
  <c r="H9" i="9"/>
  <c r="I9" i="9" s="1"/>
  <c r="H76" i="9"/>
  <c r="I76" i="9" s="1"/>
  <c r="H8" i="9"/>
  <c r="I8" i="9" s="1"/>
  <c r="H40" i="9"/>
  <c r="I40" i="9" s="1"/>
  <c r="H72" i="9"/>
  <c r="I72" i="9" s="1"/>
  <c r="H18" i="9"/>
  <c r="I18" i="9" s="1"/>
  <c r="H50" i="9"/>
  <c r="I50" i="9" s="1"/>
  <c r="H82" i="9"/>
  <c r="I82" i="9" s="1"/>
  <c r="C20" i="9"/>
  <c r="D20" i="9" s="1"/>
  <c r="H27" i="9"/>
  <c r="I27" i="9" s="1"/>
  <c r="H59" i="9"/>
  <c r="I59" i="9" s="1"/>
  <c r="H91" i="9"/>
  <c r="I91" i="9" s="1"/>
  <c r="H28" i="9"/>
  <c r="I28" i="9" s="1"/>
  <c r="C21" i="9"/>
  <c r="D21" i="9" s="1"/>
  <c r="C53" i="9"/>
  <c r="D53" i="9" s="1"/>
  <c r="C85" i="9"/>
  <c r="D85" i="9" s="1"/>
  <c r="C81" i="9"/>
  <c r="D81" i="9" s="1"/>
  <c r="C14" i="9"/>
  <c r="D14" i="9" s="1"/>
  <c r="C46" i="9"/>
  <c r="D46" i="9" s="1"/>
  <c r="C78" i="9"/>
  <c r="D78" i="9" s="1"/>
  <c r="C89" i="9"/>
  <c r="D89" i="9" s="1"/>
  <c r="C23" i="9"/>
  <c r="D23" i="9" s="1"/>
  <c r="C55" i="9"/>
  <c r="D55" i="9" s="1"/>
  <c r="C87" i="9"/>
  <c r="D87" i="9" s="1"/>
  <c r="C41" i="9"/>
  <c r="D41" i="9" s="1"/>
  <c r="C16" i="9"/>
  <c r="D16" i="9" s="1"/>
  <c r="C48" i="9"/>
  <c r="D48" i="9" s="1"/>
  <c r="C80" i="9"/>
  <c r="D80" i="9" s="1"/>
  <c r="C68" i="9"/>
  <c r="D68" i="9" s="1"/>
  <c r="C26" i="9"/>
  <c r="D26" i="9" s="1"/>
  <c r="C58" i="9"/>
  <c r="D58" i="9" s="1"/>
  <c r="C90" i="9"/>
  <c r="D90" i="9" s="1"/>
  <c r="C36" i="9"/>
  <c r="D36" i="9" s="1"/>
  <c r="C35" i="9"/>
  <c r="D35" i="9" s="1"/>
  <c r="C67" i="9"/>
  <c r="D67" i="9" s="1"/>
  <c r="C60" i="9"/>
  <c r="D60" i="9" s="1"/>
  <c r="H45" i="9"/>
  <c r="I45" i="9" s="1"/>
  <c r="H38" i="9"/>
  <c r="I38" i="9" s="1"/>
  <c r="H21" i="9"/>
  <c r="I21" i="9" s="1"/>
  <c r="H53" i="9"/>
  <c r="I53" i="9" s="1"/>
  <c r="H85" i="9"/>
  <c r="I85" i="9" s="1"/>
  <c r="H81" i="9"/>
  <c r="I81" i="9" s="1"/>
  <c r="H14" i="9"/>
  <c r="I14" i="9" s="1"/>
  <c r="H46" i="9"/>
  <c r="I46" i="9" s="1"/>
  <c r="H78" i="9"/>
  <c r="I78" i="9" s="1"/>
  <c r="H89" i="9"/>
  <c r="I89" i="9" s="1"/>
  <c r="H23" i="9"/>
  <c r="I23" i="9" s="1"/>
  <c r="H55" i="9"/>
  <c r="I55" i="9" s="1"/>
  <c r="H87" i="9"/>
  <c r="I87" i="9" s="1"/>
  <c r="H41" i="9"/>
  <c r="I41" i="9" s="1"/>
  <c r="H16" i="9"/>
  <c r="I16" i="9" s="1"/>
  <c r="H48" i="9"/>
  <c r="I48" i="9" s="1"/>
  <c r="H80" i="9"/>
  <c r="I80" i="9" s="1"/>
  <c r="H68" i="9"/>
  <c r="I68" i="9" s="1"/>
  <c r="H26" i="9"/>
  <c r="I26" i="9" s="1"/>
  <c r="H58" i="9"/>
  <c r="I58" i="9" s="1"/>
  <c r="H90" i="9"/>
  <c r="I90" i="9" s="1"/>
  <c r="H36" i="9"/>
  <c r="I36" i="9" s="1"/>
  <c r="H35" i="9"/>
  <c r="I35" i="9" s="1"/>
  <c r="H67" i="9"/>
  <c r="I67" i="9" s="1"/>
  <c r="H60" i="9"/>
  <c r="I60" i="9" s="1"/>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C7" i="7"/>
  <c r="C8" i="7"/>
  <c r="C9" i="7"/>
  <c r="C10" i="7"/>
  <c r="C11" i="7"/>
  <c r="C12" i="7"/>
  <c r="C13" i="7"/>
  <c r="C14" i="7"/>
  <c r="C15" i="7"/>
  <c r="C16" i="7"/>
  <c r="C17" i="7"/>
  <c r="C18" i="7"/>
  <c r="C19" i="7"/>
  <c r="C20" i="7"/>
  <c r="C21" i="7"/>
  <c r="C22" i="7"/>
  <c r="C23" i="7"/>
  <c r="C24" i="7"/>
  <c r="C25" i="7"/>
  <c r="C26" i="7"/>
  <c r="C27" i="7"/>
  <c r="C28" i="7"/>
  <c r="C29" i="7"/>
  <c r="C30" i="7"/>
  <c r="C31" i="7"/>
  <c r="C32" i="7"/>
  <c r="C33" i="7"/>
  <c r="C34" i="7"/>
  <c r="C35" i="7"/>
  <c r="C36" i="7"/>
  <c r="C37" i="7"/>
  <c r="C38" i="7"/>
  <c r="C39" i="7"/>
  <c r="C40" i="7"/>
  <c r="C41" i="7"/>
  <c r="C42" i="7"/>
  <c r="C43" i="7"/>
  <c r="C44" i="7"/>
  <c r="C45" i="7"/>
  <c r="C46" i="7"/>
  <c r="C47" i="7"/>
  <c r="C48" i="7"/>
  <c r="C49" i="7"/>
  <c r="C50" i="7"/>
  <c r="C51" i="7"/>
  <c r="C52" i="7"/>
  <c r="C53" i="7"/>
  <c r="C54" i="7"/>
  <c r="C55" i="7"/>
  <c r="C56" i="7"/>
  <c r="C57" i="7"/>
  <c r="C58" i="7"/>
  <c r="C59" i="7"/>
  <c r="C60" i="7"/>
  <c r="C61" i="7"/>
  <c r="C62" i="7"/>
  <c r="C63" i="7"/>
  <c r="C64" i="7"/>
  <c r="C65" i="7"/>
  <c r="C66" i="7"/>
  <c r="C67" i="7"/>
  <c r="C68" i="7"/>
  <c r="C69" i="7"/>
  <c r="C70" i="7"/>
  <c r="C71" i="7"/>
  <c r="C72" i="7"/>
  <c r="C73" i="7"/>
  <c r="C74" i="7"/>
  <c r="C75" i="7"/>
  <c r="C76" i="7"/>
  <c r="C77" i="7"/>
  <c r="C78" i="7"/>
  <c r="C79" i="7"/>
  <c r="C80" i="7"/>
  <c r="C81" i="7"/>
  <c r="C82" i="7"/>
  <c r="C83" i="7"/>
  <c r="C84" i="7"/>
  <c r="C85" i="7"/>
  <c r="C86" i="7"/>
  <c r="C87" i="7"/>
  <c r="C88" i="7"/>
  <c r="C89" i="7"/>
  <c r="C90" i="7"/>
  <c r="C91" i="7"/>
  <c r="C92" i="7"/>
  <c r="C93" i="7"/>
  <c r="AW38" i="8" l="1"/>
  <c r="AV38" i="8"/>
  <c r="AU38" i="8"/>
  <c r="AT38" i="8"/>
  <c r="AQ38" i="8"/>
  <c r="AP38" i="8"/>
  <c r="AS38" i="8"/>
  <c r="AR38" i="8"/>
  <c r="D5" i="6"/>
  <c r="D6" i="6"/>
  <c r="D7" i="6"/>
  <c r="D4" i="6"/>
  <c r="V95" i="4" l="1"/>
  <c r="V94" i="4"/>
  <c r="V93" i="4"/>
  <c r="V92" i="4"/>
  <c r="V91" i="4"/>
  <c r="V90" i="4"/>
  <c r="V89" i="4"/>
  <c r="V88" i="4"/>
  <c r="V87" i="4"/>
  <c r="V86" i="4"/>
  <c r="V85" i="4"/>
  <c r="V84" i="4"/>
  <c r="V83" i="4"/>
  <c r="V82" i="4"/>
  <c r="V81" i="4"/>
  <c r="V80" i="4"/>
  <c r="V79" i="4"/>
  <c r="V78" i="4"/>
  <c r="V77" i="4"/>
  <c r="V76" i="4"/>
  <c r="V75" i="4"/>
  <c r="V74" i="4"/>
  <c r="V73" i="4"/>
  <c r="V72" i="4"/>
  <c r="V71" i="4"/>
  <c r="V70" i="4"/>
  <c r="V69" i="4"/>
  <c r="V68" i="4"/>
  <c r="V67" i="4"/>
  <c r="V66" i="4"/>
  <c r="V65" i="4"/>
  <c r="V64" i="4"/>
  <c r="V63" i="4"/>
  <c r="V62" i="4"/>
  <c r="V61" i="4"/>
  <c r="V60" i="4"/>
  <c r="V59" i="4"/>
  <c r="V58" i="4"/>
  <c r="V57" i="4"/>
  <c r="V56" i="4"/>
  <c r="V55" i="4"/>
  <c r="V54" i="4"/>
  <c r="V53" i="4"/>
  <c r="V52" i="4"/>
  <c r="V51" i="4"/>
  <c r="V50" i="4"/>
  <c r="V49" i="4"/>
  <c r="V48" i="4"/>
  <c r="V47" i="4"/>
  <c r="V46" i="4"/>
  <c r="V45" i="4"/>
  <c r="V44" i="4"/>
  <c r="V43" i="4"/>
  <c r="V42" i="4"/>
  <c r="V41" i="4"/>
  <c r="V40" i="4"/>
  <c r="V39" i="4"/>
  <c r="V38" i="4"/>
  <c r="V37" i="4"/>
  <c r="V36" i="4"/>
  <c r="V35" i="4"/>
  <c r="V34" i="4"/>
  <c r="V33" i="4"/>
  <c r="V32" i="4"/>
  <c r="V31" i="4"/>
  <c r="V30" i="4"/>
  <c r="V29" i="4"/>
  <c r="V28" i="4"/>
  <c r="V27" i="4"/>
  <c r="V26" i="4"/>
  <c r="V25" i="4"/>
  <c r="V24" i="4"/>
  <c r="V23" i="4"/>
  <c r="V22" i="4"/>
  <c r="V21" i="4"/>
  <c r="V20" i="4"/>
  <c r="V19" i="4"/>
  <c r="V18" i="4"/>
  <c r="V17" i="4"/>
  <c r="V16" i="4"/>
  <c r="V15" i="4"/>
  <c r="V14" i="4"/>
  <c r="V13" i="4"/>
  <c r="V12" i="4"/>
  <c r="V11" i="4"/>
  <c r="V10" i="4"/>
  <c r="V9" i="4"/>
  <c r="V8" i="4"/>
  <c r="V7" i="4"/>
  <c r="V6" i="4"/>
  <c r="V5" i="4"/>
  <c r="V4" i="4"/>
  <c r="V3" i="4"/>
  <c r="W2" i="4"/>
  <c r="A4" i="1" s="1"/>
  <c r="V2" i="4"/>
  <c r="A4" i="10" l="1"/>
  <c r="A4" i="6" s="1"/>
  <c r="A4" i="7" s="1"/>
  <c r="A4" i="8" s="1"/>
  <c r="A4" i="9" s="1"/>
  <c r="W8" i="4"/>
  <c r="W3" i="4"/>
  <c r="A5" i="1" s="1"/>
  <c r="W9" i="4"/>
  <c r="W7" i="4"/>
  <c r="W11" i="4"/>
  <c r="W49" i="4"/>
  <c r="W41" i="4"/>
  <c r="W94" i="4"/>
  <c r="W88" i="4"/>
  <c r="W80" i="4"/>
  <c r="W90" i="4"/>
  <c r="C89" i="6" s="1"/>
  <c r="F89" i="6" s="1"/>
  <c r="W82" i="4"/>
  <c r="W45" i="4"/>
  <c r="W38" i="4"/>
  <c r="W84" i="4"/>
  <c r="W92" i="4"/>
  <c r="W43" i="4"/>
  <c r="C43" i="6" s="1"/>
  <c r="F43" i="6" s="1"/>
  <c r="W37" i="4"/>
  <c r="W35" i="4"/>
  <c r="C35" i="6" s="1"/>
  <c r="F35" i="6" s="1"/>
  <c r="W86" i="4"/>
  <c r="W78" i="4"/>
  <c r="W76" i="4"/>
  <c r="W74" i="4"/>
  <c r="W13" i="4"/>
  <c r="W6" i="4"/>
  <c r="W4" i="4"/>
  <c r="A6" i="1" s="1"/>
  <c r="W5" i="4"/>
  <c r="A7" i="1" s="1"/>
  <c r="W12" i="4"/>
  <c r="W14" i="4"/>
  <c r="W42" i="4"/>
  <c r="C42" i="6" s="1"/>
  <c r="F42" i="6" s="1"/>
  <c r="W50" i="4"/>
  <c r="C50" i="6" s="1"/>
  <c r="F50" i="6" s="1"/>
  <c r="W51" i="4"/>
  <c r="W52" i="4"/>
  <c r="C52" i="6" s="1"/>
  <c r="F52" i="6" s="1"/>
  <c r="W54" i="4"/>
  <c r="W56" i="4"/>
  <c r="C56" i="6" s="1"/>
  <c r="F56" i="6" s="1"/>
  <c r="W58" i="4"/>
  <c r="W60" i="4"/>
  <c r="W62" i="4"/>
  <c r="W64" i="4"/>
  <c r="W66" i="4"/>
  <c r="W68" i="4"/>
  <c r="W70" i="4"/>
  <c r="W72" i="4"/>
  <c r="C71" i="6" s="1"/>
  <c r="F71" i="6" s="1"/>
  <c r="W10" i="4"/>
  <c r="W15" i="4"/>
  <c r="W17" i="4"/>
  <c r="W19" i="4"/>
  <c r="C19" i="6" s="1"/>
  <c r="F19" i="6" s="1"/>
  <c r="W21" i="4"/>
  <c r="W23" i="4"/>
  <c r="C23" i="6" s="1"/>
  <c r="F23" i="6" s="1"/>
  <c r="W25" i="4"/>
  <c r="C25" i="6" s="1"/>
  <c r="F25" i="6" s="1"/>
  <c r="W27" i="4"/>
  <c r="C27" i="6" s="1"/>
  <c r="F27" i="6" s="1"/>
  <c r="W29" i="4"/>
  <c r="W31" i="4"/>
  <c r="W33" i="4"/>
  <c r="W44" i="4"/>
  <c r="C44" i="6" s="1"/>
  <c r="F44" i="6" s="1"/>
  <c r="W91" i="4"/>
  <c r="W46" i="4"/>
  <c r="C46" i="6" s="1"/>
  <c r="F46" i="6" s="1"/>
  <c r="W95" i="4"/>
  <c r="A94" i="1" s="1"/>
  <c r="W16" i="4"/>
  <c r="C16" i="6" s="1"/>
  <c r="F16" i="6" s="1"/>
  <c r="W18" i="4"/>
  <c r="W20" i="4"/>
  <c r="C20" i="6" s="1"/>
  <c r="F20" i="6" s="1"/>
  <c r="W22" i="4"/>
  <c r="C22" i="6" s="1"/>
  <c r="F22" i="6" s="1"/>
  <c r="W24" i="4"/>
  <c r="W26" i="4"/>
  <c r="W28" i="4"/>
  <c r="W30" i="4"/>
  <c r="C30" i="6" s="1"/>
  <c r="F30" i="6" s="1"/>
  <c r="W32" i="4"/>
  <c r="C32" i="6" s="1"/>
  <c r="F32" i="6" s="1"/>
  <c r="W34" i="4"/>
  <c r="W36" i="4"/>
  <c r="W39" i="4"/>
  <c r="C39" i="6" s="1"/>
  <c r="F39" i="6" s="1"/>
  <c r="W47" i="4"/>
  <c r="W40" i="4"/>
  <c r="C40" i="6" s="1"/>
  <c r="F40" i="6" s="1"/>
  <c r="W48" i="4"/>
  <c r="C48" i="6" s="1"/>
  <c r="F48" i="6" s="1"/>
  <c r="W93" i="4"/>
  <c r="C92" i="6" s="1"/>
  <c r="F92" i="6" s="1"/>
  <c r="W53" i="4"/>
  <c r="C53" i="6" s="1"/>
  <c r="F53" i="6" s="1"/>
  <c r="W55" i="4"/>
  <c r="W57" i="4"/>
  <c r="W59" i="4"/>
  <c r="C59" i="6" s="1"/>
  <c r="F59" i="6" s="1"/>
  <c r="W61" i="4"/>
  <c r="W63" i="4"/>
  <c r="C62" i="6" s="1"/>
  <c r="F62" i="6" s="1"/>
  <c r="W65" i="4"/>
  <c r="C64" i="6" s="1"/>
  <c r="F64" i="6" s="1"/>
  <c r="W67" i="4"/>
  <c r="C66" i="6" s="1"/>
  <c r="F66" i="6" s="1"/>
  <c r="W69" i="4"/>
  <c r="C68" i="6" s="1"/>
  <c r="F68" i="6" s="1"/>
  <c r="W71" i="4"/>
  <c r="W73" i="4"/>
  <c r="W75" i="4"/>
  <c r="C74" i="6" s="1"/>
  <c r="F74" i="6" s="1"/>
  <c r="W77" i="4"/>
  <c r="C76" i="6" s="1"/>
  <c r="F76" i="6" s="1"/>
  <c r="W79" i="4"/>
  <c r="C78" i="6" s="1"/>
  <c r="F78" i="6" s="1"/>
  <c r="W81" i="4"/>
  <c r="C80" i="6" s="1"/>
  <c r="F80" i="6" s="1"/>
  <c r="W83" i="4"/>
  <c r="C82" i="6" s="1"/>
  <c r="F82" i="6" s="1"/>
  <c r="W85" i="4"/>
  <c r="C84" i="6" s="1"/>
  <c r="F84" i="6" s="1"/>
  <c r="W87" i="4"/>
  <c r="C86" i="6" s="1"/>
  <c r="F86" i="6" s="1"/>
  <c r="W89" i="4"/>
  <c r="C88" i="6" s="1"/>
  <c r="F88" i="6" s="1"/>
  <c r="A6" i="10" l="1"/>
  <c r="A6" i="6" s="1"/>
  <c r="A6" i="7" s="1"/>
  <c r="A6" i="8" s="1"/>
  <c r="A6" i="9" s="1"/>
  <c r="A94" i="10"/>
  <c r="A5" i="10"/>
  <c r="A5" i="6" s="1"/>
  <c r="A5" i="7" s="1"/>
  <c r="A5" i="8" s="1"/>
  <c r="A5" i="9" s="1"/>
  <c r="A7" i="10"/>
  <c r="A7" i="6" s="1"/>
  <c r="A7" i="7" s="1"/>
  <c r="A7" i="8" s="1"/>
  <c r="A7" i="9" s="1"/>
  <c r="A11" i="1"/>
  <c r="C11" i="6"/>
  <c r="F11" i="6" s="1"/>
  <c r="C37" i="6"/>
  <c r="F37" i="6" s="1"/>
  <c r="C79" i="6"/>
  <c r="F79" i="6" s="1"/>
  <c r="C67" i="6"/>
  <c r="F67" i="6" s="1"/>
  <c r="C8" i="6"/>
  <c r="F8" i="6" s="1"/>
  <c r="C87" i="6"/>
  <c r="F87" i="6" s="1"/>
  <c r="A10" i="1"/>
  <c r="C10" i="6"/>
  <c r="F10" i="6" s="1"/>
  <c r="C69" i="6"/>
  <c r="F69" i="6" s="1"/>
  <c r="C26" i="6"/>
  <c r="F26" i="6" s="1"/>
  <c r="C90" i="6"/>
  <c r="F90" i="6" s="1"/>
  <c r="C21" i="6"/>
  <c r="F21" i="6" s="1"/>
  <c r="C65" i="6"/>
  <c r="F65" i="6" s="1"/>
  <c r="C51" i="6"/>
  <c r="F51" i="6" s="1"/>
  <c r="A14" i="1"/>
  <c r="C14" i="6"/>
  <c r="F14" i="6" s="1"/>
  <c r="C91" i="6"/>
  <c r="F91" i="6" s="1"/>
  <c r="C93" i="6"/>
  <c r="F93" i="6" s="1"/>
  <c r="C47" i="6"/>
  <c r="F47" i="6" s="1"/>
  <c r="C24" i="6"/>
  <c r="F24" i="6" s="1"/>
  <c r="C63" i="6"/>
  <c r="F63" i="6" s="1"/>
  <c r="C73" i="6"/>
  <c r="F73" i="6" s="1"/>
  <c r="C83" i="6"/>
  <c r="F83" i="6" s="1"/>
  <c r="C41" i="6"/>
  <c r="F41" i="6" s="1"/>
  <c r="C28" i="6"/>
  <c r="F28" i="6" s="1"/>
  <c r="C33" i="6"/>
  <c r="F33" i="6" s="1"/>
  <c r="C17" i="6"/>
  <c r="F17" i="6" s="1"/>
  <c r="C61" i="6"/>
  <c r="F61" i="6" s="1"/>
  <c r="C75" i="6"/>
  <c r="F75" i="6" s="1"/>
  <c r="C38" i="6"/>
  <c r="F38" i="6" s="1"/>
  <c r="C49" i="6"/>
  <c r="F49" i="6" s="1"/>
  <c r="C57" i="6"/>
  <c r="F57" i="6" s="1"/>
  <c r="C36" i="6"/>
  <c r="F36" i="6" s="1"/>
  <c r="C31" i="6"/>
  <c r="F31" i="6" s="1"/>
  <c r="C60" i="6"/>
  <c r="F60" i="6" s="1"/>
  <c r="A15" i="1"/>
  <c r="C15" i="6"/>
  <c r="F15" i="6" s="1"/>
  <c r="C77" i="6"/>
  <c r="F77" i="6" s="1"/>
  <c r="C45" i="6"/>
  <c r="F45" i="6" s="1"/>
  <c r="C12" i="6"/>
  <c r="F12" i="6" s="1"/>
  <c r="C54" i="6"/>
  <c r="F54" i="6" s="1"/>
  <c r="C72" i="6"/>
  <c r="F72" i="6" s="1"/>
  <c r="C70" i="6"/>
  <c r="F70" i="6" s="1"/>
  <c r="C55" i="6"/>
  <c r="F55" i="6" s="1"/>
  <c r="C34" i="6"/>
  <c r="F34" i="6" s="1"/>
  <c r="C18" i="6"/>
  <c r="F18" i="6" s="1"/>
  <c r="C29" i="6"/>
  <c r="F29" i="6" s="1"/>
  <c r="C58" i="6"/>
  <c r="F58" i="6" s="1"/>
  <c r="A13" i="1"/>
  <c r="C13" i="6"/>
  <c r="F13" i="6" s="1"/>
  <c r="C85" i="6"/>
  <c r="F85" i="6" s="1"/>
  <c r="C81" i="6"/>
  <c r="F81" i="6" s="1"/>
  <c r="A9" i="1"/>
  <c r="C9" i="6"/>
  <c r="F9" i="6" s="1"/>
  <c r="A70" i="1"/>
  <c r="B70" i="6"/>
  <c r="D70" i="6" s="1"/>
  <c r="E70" i="6" s="1"/>
  <c r="A18" i="1"/>
  <c r="B18" i="6"/>
  <c r="D18" i="6" s="1"/>
  <c r="E18" i="6" s="1"/>
  <c r="A53" i="1"/>
  <c r="B53" i="6"/>
  <c r="D53" i="6" s="1"/>
  <c r="E53" i="6" s="1"/>
  <c r="A27" i="1"/>
  <c r="B27" i="6"/>
  <c r="D27" i="6" s="1"/>
  <c r="E27" i="6" s="1"/>
  <c r="A89" i="1"/>
  <c r="B89" i="6"/>
  <c r="D89" i="6" s="1"/>
  <c r="E89" i="6" s="1"/>
  <c r="A62" i="1"/>
  <c r="B62" i="6"/>
  <c r="D62" i="6" s="1"/>
  <c r="E62" i="6" s="1"/>
  <c r="A26" i="1"/>
  <c r="B26" i="6"/>
  <c r="D26" i="6" s="1"/>
  <c r="E26" i="6" s="1"/>
  <c r="A21" i="1"/>
  <c r="B21" i="6"/>
  <c r="D21" i="6" s="1"/>
  <c r="E21" i="6" s="1"/>
  <c r="A51" i="1"/>
  <c r="B51" i="6"/>
  <c r="D51" i="6" s="1"/>
  <c r="E51" i="6" s="1"/>
  <c r="A91" i="1"/>
  <c r="B91" i="6"/>
  <c r="D91" i="6" s="1"/>
  <c r="E91" i="6" s="1"/>
  <c r="A24" i="1"/>
  <c r="B24" i="6"/>
  <c r="D24" i="6" s="1"/>
  <c r="E24" i="6" s="1"/>
  <c r="A44" i="1"/>
  <c r="B44" i="6"/>
  <c r="D44" i="6" s="1"/>
  <c r="E44" i="6" s="1"/>
  <c r="A19" i="1"/>
  <c r="B19" i="6"/>
  <c r="D19" i="6" s="1"/>
  <c r="E19" i="6" s="1"/>
  <c r="A63" i="1"/>
  <c r="B63" i="6"/>
  <c r="D63" i="6" s="1"/>
  <c r="E63" i="6" s="1"/>
  <c r="A50" i="1"/>
  <c r="B50" i="6"/>
  <c r="D50" i="6" s="1"/>
  <c r="E50" i="6" s="1"/>
  <c r="A73" i="1"/>
  <c r="B73" i="6"/>
  <c r="D73" i="6" s="1"/>
  <c r="E73" i="6" s="1"/>
  <c r="A83" i="1"/>
  <c r="B83" i="6"/>
  <c r="D83" i="6" s="1"/>
  <c r="E83" i="6" s="1"/>
  <c r="A41" i="1"/>
  <c r="B41" i="6"/>
  <c r="D41" i="6" s="1"/>
  <c r="E41" i="6" s="1"/>
  <c r="A93" i="1"/>
  <c r="D93" i="6"/>
  <c r="E93" i="6" s="1"/>
  <c r="A76" i="1"/>
  <c r="B76" i="6"/>
  <c r="D76" i="6" s="1"/>
  <c r="E76" i="6" s="1"/>
  <c r="A47" i="1"/>
  <c r="B47" i="6"/>
  <c r="A74" i="1"/>
  <c r="B74" i="6"/>
  <c r="D74" i="6" s="1"/>
  <c r="E74" i="6" s="1"/>
  <c r="A59" i="1"/>
  <c r="B59" i="6"/>
  <c r="D59" i="6" s="1"/>
  <c r="E59" i="6" s="1"/>
  <c r="A39" i="1"/>
  <c r="B39" i="6"/>
  <c r="D39" i="6" s="1"/>
  <c r="E39" i="6" s="1"/>
  <c r="A22" i="1"/>
  <c r="B22" i="6"/>
  <c r="D22" i="6" s="1"/>
  <c r="E22" i="6" s="1"/>
  <c r="A33" i="1"/>
  <c r="B33" i="6"/>
  <c r="D33" i="6" s="1"/>
  <c r="E33" i="6" s="1"/>
  <c r="A17" i="1"/>
  <c r="B17" i="6"/>
  <c r="D17" i="6" s="1"/>
  <c r="E17" i="6" s="1"/>
  <c r="A61" i="1"/>
  <c r="B61" i="6"/>
  <c r="D61" i="6" s="1"/>
  <c r="E61" i="6" s="1"/>
  <c r="A42" i="1"/>
  <c r="B42" i="6"/>
  <c r="D42" i="6" s="1"/>
  <c r="E42" i="6" s="1"/>
  <c r="A75" i="1"/>
  <c r="B75" i="6"/>
  <c r="D75" i="6" s="1"/>
  <c r="E75" i="6" s="1"/>
  <c r="A38" i="1"/>
  <c r="B38" i="6"/>
  <c r="D38" i="6" s="1"/>
  <c r="E38" i="6" s="1"/>
  <c r="A49" i="1"/>
  <c r="B49" i="6"/>
  <c r="D49" i="6" s="1"/>
  <c r="E49" i="6" s="1"/>
  <c r="A55" i="1"/>
  <c r="B55" i="6"/>
  <c r="D55" i="6" s="1"/>
  <c r="E55" i="6" s="1"/>
  <c r="A84" i="1"/>
  <c r="B84" i="6"/>
  <c r="D84" i="6" s="1"/>
  <c r="E84" i="6" s="1"/>
  <c r="A32" i="1"/>
  <c r="B32" i="6"/>
  <c r="D32" i="6" s="1"/>
  <c r="E32" i="6" s="1"/>
  <c r="A71" i="1"/>
  <c r="B71" i="6"/>
  <c r="D71" i="6" s="1"/>
  <c r="E71" i="6" s="1"/>
  <c r="A35" i="1"/>
  <c r="B35" i="6"/>
  <c r="D35" i="6" s="1"/>
  <c r="E35" i="6" s="1"/>
  <c r="A78" i="1"/>
  <c r="B78" i="6"/>
  <c r="D78" i="6" s="1"/>
  <c r="E78" i="6" s="1"/>
  <c r="A40" i="1"/>
  <c r="B40" i="6"/>
  <c r="D40" i="6" s="1"/>
  <c r="E40" i="6" s="1"/>
  <c r="A90" i="1"/>
  <c r="B90" i="6"/>
  <c r="A65" i="1"/>
  <c r="B65" i="6"/>
  <c r="D65" i="6" s="1"/>
  <c r="E65" i="6" s="1"/>
  <c r="A88" i="1"/>
  <c r="B88" i="6"/>
  <c r="D88" i="6" s="1"/>
  <c r="E88" i="6" s="1"/>
  <c r="A72" i="1"/>
  <c r="B72" i="6"/>
  <c r="D72" i="6" s="1"/>
  <c r="E72" i="6" s="1"/>
  <c r="A57" i="1"/>
  <c r="B57" i="6"/>
  <c r="D57" i="6" s="1"/>
  <c r="E57" i="6" s="1"/>
  <c r="A36" i="1"/>
  <c r="B36" i="6"/>
  <c r="A20" i="1"/>
  <c r="B20" i="6"/>
  <c r="D20" i="6" s="1"/>
  <c r="E20" i="6" s="1"/>
  <c r="A31" i="1"/>
  <c r="B31" i="6"/>
  <c r="D31" i="6" s="1"/>
  <c r="E31" i="6" s="1"/>
  <c r="A60" i="1"/>
  <c r="B60" i="6"/>
  <c r="D60" i="6" s="1"/>
  <c r="E60" i="6" s="1"/>
  <c r="A77" i="1"/>
  <c r="B77" i="6"/>
  <c r="D77" i="6" s="1"/>
  <c r="E77" i="6" s="1"/>
  <c r="A45" i="1"/>
  <c r="B45" i="6"/>
  <c r="D45" i="6" s="1"/>
  <c r="E45" i="6" s="1"/>
  <c r="A12" i="1"/>
  <c r="B12" i="6"/>
  <c r="A86" i="1"/>
  <c r="B86" i="6"/>
  <c r="D86" i="6" s="1"/>
  <c r="E86" i="6" s="1"/>
  <c r="A29" i="1"/>
  <c r="B29" i="6"/>
  <c r="D29" i="6" s="1"/>
  <c r="E29" i="6" s="1"/>
  <c r="A58" i="1"/>
  <c r="B58" i="6"/>
  <c r="D58" i="6" s="1"/>
  <c r="E58" i="6" s="1"/>
  <c r="A85" i="1"/>
  <c r="B85" i="6"/>
  <c r="D85" i="6" s="1"/>
  <c r="E85" i="6" s="1"/>
  <c r="A81" i="1"/>
  <c r="B81" i="6"/>
  <c r="D81" i="6" s="1"/>
  <c r="E81" i="6" s="1"/>
  <c r="A34" i="1"/>
  <c r="B34" i="6"/>
  <c r="D34" i="6" s="1"/>
  <c r="E34" i="6" s="1"/>
  <c r="A68" i="1"/>
  <c r="B68" i="6"/>
  <c r="D68" i="6" s="1"/>
  <c r="E68" i="6" s="1"/>
  <c r="A16" i="1"/>
  <c r="B16" i="6"/>
  <c r="A56" i="1"/>
  <c r="B56" i="6"/>
  <c r="D56" i="6" s="1"/>
  <c r="E56" i="6" s="1"/>
  <c r="A82" i="1"/>
  <c r="B82" i="6"/>
  <c r="D82" i="6" s="1"/>
  <c r="E82" i="6" s="1"/>
  <c r="A30" i="1"/>
  <c r="B30" i="6"/>
  <c r="D30" i="6" s="1"/>
  <c r="E30" i="6" s="1"/>
  <c r="A25" i="1"/>
  <c r="B25" i="6"/>
  <c r="D25" i="6" s="1"/>
  <c r="E25" i="6" s="1"/>
  <c r="A69" i="1"/>
  <c r="B69" i="6"/>
  <c r="D69" i="6" s="1"/>
  <c r="E69" i="6" s="1"/>
  <c r="A54" i="1"/>
  <c r="B54" i="6"/>
  <c r="A37" i="1"/>
  <c r="B37" i="6"/>
  <c r="D37" i="6" s="1"/>
  <c r="E37" i="6" s="1"/>
  <c r="A79" i="1"/>
  <c r="B79" i="6"/>
  <c r="D79" i="6" s="1"/>
  <c r="E79" i="6" s="1"/>
  <c r="A66" i="1"/>
  <c r="B66" i="6"/>
  <c r="D66" i="6" s="1"/>
  <c r="E66" i="6" s="1"/>
  <c r="A92" i="1"/>
  <c r="B92" i="6"/>
  <c r="D92" i="6" s="1"/>
  <c r="E92" i="6" s="1"/>
  <c r="A80" i="1"/>
  <c r="B80" i="6"/>
  <c r="D80" i="6" s="1"/>
  <c r="E80" i="6" s="1"/>
  <c r="A64" i="1"/>
  <c r="B64" i="6"/>
  <c r="D64" i="6" s="1"/>
  <c r="E64" i="6" s="1"/>
  <c r="A48" i="1"/>
  <c r="B48" i="6"/>
  <c r="D48" i="6" s="1"/>
  <c r="E48" i="6" s="1"/>
  <c r="A28" i="1"/>
  <c r="B28" i="6"/>
  <c r="A46" i="1"/>
  <c r="B46" i="6"/>
  <c r="D46" i="6" s="1"/>
  <c r="E46" i="6" s="1"/>
  <c r="A23" i="1"/>
  <c r="B23" i="6"/>
  <c r="D23" i="6" s="1"/>
  <c r="E23" i="6" s="1"/>
  <c r="A67" i="1"/>
  <c r="B67" i="6"/>
  <c r="D67" i="6" s="1"/>
  <c r="E67" i="6" s="1"/>
  <c r="A52" i="1"/>
  <c r="B52" i="6"/>
  <c r="D52" i="6" s="1"/>
  <c r="E52" i="6" s="1"/>
  <c r="A43" i="1"/>
  <c r="B43" i="6"/>
  <c r="D43" i="6" s="1"/>
  <c r="E43" i="6" s="1"/>
  <c r="A87" i="1"/>
  <c r="B87" i="6"/>
  <c r="D87" i="6" s="1"/>
  <c r="E87" i="6" s="1"/>
  <c r="B8" i="6"/>
  <c r="A8" i="1"/>
  <c r="A43" i="10" l="1"/>
  <c r="A43" i="6" s="1"/>
  <c r="A43" i="7" s="1"/>
  <c r="A43" i="8" s="1"/>
  <c r="A43" i="9" s="1"/>
  <c r="A46" i="10"/>
  <c r="A46" i="6" s="1"/>
  <c r="A46" i="7" s="1"/>
  <c r="A46" i="8" s="1"/>
  <c r="A46" i="9" s="1"/>
  <c r="A80" i="10"/>
  <c r="A80" i="6" s="1"/>
  <c r="A80" i="7" s="1"/>
  <c r="A80" i="8" s="1"/>
  <c r="A80" i="9" s="1"/>
  <c r="A37" i="10"/>
  <c r="A37" i="6" s="1"/>
  <c r="A37" i="7" s="1"/>
  <c r="A37" i="8" s="1"/>
  <c r="A37" i="9" s="1"/>
  <c r="A30" i="10"/>
  <c r="A30" i="6" s="1"/>
  <c r="A30" i="7" s="1"/>
  <c r="A30" i="8" s="1"/>
  <c r="A30" i="9" s="1"/>
  <c r="A68" i="10"/>
  <c r="A68" i="6" s="1"/>
  <c r="A68" i="7" s="1"/>
  <c r="A68" i="8" s="1"/>
  <c r="A68" i="9" s="1"/>
  <c r="A58" i="10"/>
  <c r="A58" i="6" s="1"/>
  <c r="A58" i="7" s="1"/>
  <c r="A58" i="8" s="1"/>
  <c r="A58" i="9" s="1"/>
  <c r="A45" i="10"/>
  <c r="A45" i="6" s="1"/>
  <c r="A45" i="7" s="1"/>
  <c r="A45" i="8" s="1"/>
  <c r="A45" i="9" s="1"/>
  <c r="A20" i="10"/>
  <c r="A20" i="6" s="1"/>
  <c r="A20" i="7" s="1"/>
  <c r="A20" i="8" s="1"/>
  <c r="A20" i="9" s="1"/>
  <c r="A88" i="10"/>
  <c r="A88" i="6" s="1"/>
  <c r="A88" i="7" s="1"/>
  <c r="A88" i="8" s="1"/>
  <c r="A88" i="9" s="1"/>
  <c r="A78" i="10"/>
  <c r="A78" i="6" s="1"/>
  <c r="A78" i="7" s="1"/>
  <c r="A78" i="8" s="1"/>
  <c r="A78" i="9" s="1"/>
  <c r="A84" i="10"/>
  <c r="A84" i="6" s="1"/>
  <c r="A84" i="7" s="1"/>
  <c r="A84" i="8" s="1"/>
  <c r="A84" i="9" s="1"/>
  <c r="A75" i="10"/>
  <c r="A75" i="6" s="1"/>
  <c r="A75" i="7" s="1"/>
  <c r="A75" i="8" s="1"/>
  <c r="A75" i="9" s="1"/>
  <c r="A33" i="10"/>
  <c r="A33" i="6" s="1"/>
  <c r="A33" i="7" s="1"/>
  <c r="A33" i="8" s="1"/>
  <c r="A33" i="9" s="1"/>
  <c r="A74" i="10"/>
  <c r="A74" i="6" s="1"/>
  <c r="A74" i="7" s="1"/>
  <c r="A74" i="8" s="1"/>
  <c r="A74" i="9" s="1"/>
  <c r="A41" i="10"/>
  <c r="A41" i="6" s="1"/>
  <c r="A41" i="7" s="1"/>
  <c r="A41" i="8" s="1"/>
  <c r="A41" i="9" s="1"/>
  <c r="A63" i="10"/>
  <c r="A63" i="6" s="1"/>
  <c r="A63" i="7" s="1"/>
  <c r="A63" i="8" s="1"/>
  <c r="A63" i="9" s="1"/>
  <c r="A91" i="10"/>
  <c r="A91" i="6" s="1"/>
  <c r="A91" i="7" s="1"/>
  <c r="A91" i="8" s="1"/>
  <c r="A91" i="9" s="1"/>
  <c r="A62" i="10"/>
  <c r="A62" i="6" s="1"/>
  <c r="A62" i="7" s="1"/>
  <c r="A62" i="8" s="1"/>
  <c r="A62" i="9" s="1"/>
  <c r="A18" i="10"/>
  <c r="A18" i="6" s="1"/>
  <c r="A18" i="7" s="1"/>
  <c r="A18" i="8" s="1"/>
  <c r="A18" i="9" s="1"/>
  <c r="A13" i="10"/>
  <c r="A13" i="6" s="1"/>
  <c r="A13" i="7" s="1"/>
  <c r="A13" i="8" s="1"/>
  <c r="A13" i="9" s="1"/>
  <c r="A28" i="10"/>
  <c r="A28" i="6" s="1"/>
  <c r="A28" i="7" s="1"/>
  <c r="A28" i="8" s="1"/>
  <c r="A28" i="9" s="1"/>
  <c r="A54" i="10"/>
  <c r="A54" i="6" s="1"/>
  <c r="A54" i="7" s="1"/>
  <c r="A54" i="8" s="1"/>
  <c r="A54" i="9" s="1"/>
  <c r="A34" i="10"/>
  <c r="A34" i="6" s="1"/>
  <c r="A34" i="7" s="1"/>
  <c r="A34" i="8" s="1"/>
  <c r="A34" i="9" s="1"/>
  <c r="A29" i="10"/>
  <c r="A29" i="6" s="1"/>
  <c r="A29" i="7" s="1"/>
  <c r="A29" i="8" s="1"/>
  <c r="A29" i="9" s="1"/>
  <c r="A77" i="10"/>
  <c r="A77" i="6" s="1"/>
  <c r="A77" i="7" s="1"/>
  <c r="A77" i="8" s="1"/>
  <c r="A77" i="9" s="1"/>
  <c r="A65" i="10"/>
  <c r="A65" i="6" s="1"/>
  <c r="A65" i="7" s="1"/>
  <c r="A65" i="8" s="1"/>
  <c r="A65" i="9" s="1"/>
  <c r="A35" i="10"/>
  <c r="A35" i="6" s="1"/>
  <c r="A35" i="7" s="1"/>
  <c r="A35" i="8" s="1"/>
  <c r="A35" i="9" s="1"/>
  <c r="A42" i="10"/>
  <c r="A42" i="6" s="1"/>
  <c r="A42" i="7" s="1"/>
  <c r="A42" i="8" s="1"/>
  <c r="A42" i="9" s="1"/>
  <c r="A22" i="10"/>
  <c r="A22" i="6" s="1"/>
  <c r="A22" i="7" s="1"/>
  <c r="A22" i="8" s="1"/>
  <c r="A22" i="9" s="1"/>
  <c r="A47" i="10"/>
  <c r="A47" i="6" s="1"/>
  <c r="A47" i="7" s="1"/>
  <c r="A47" i="8" s="1"/>
  <c r="A47" i="9" s="1"/>
  <c r="A83" i="10"/>
  <c r="A83" i="6" s="1"/>
  <c r="A83" i="7" s="1"/>
  <c r="A83" i="8" s="1"/>
  <c r="A83" i="9" s="1"/>
  <c r="A19" i="10"/>
  <c r="A19" i="6" s="1"/>
  <c r="A19" i="7" s="1"/>
  <c r="A19" i="8" s="1"/>
  <c r="A19" i="9" s="1"/>
  <c r="A51" i="10"/>
  <c r="A51" i="6" s="1"/>
  <c r="A51" i="7" s="1"/>
  <c r="A51" i="8" s="1"/>
  <c r="A51" i="9" s="1"/>
  <c r="A70" i="10"/>
  <c r="A70" i="6" s="1"/>
  <c r="A70" i="7" s="1"/>
  <c r="A70" i="8" s="1"/>
  <c r="A70" i="9" s="1"/>
  <c r="A52" i="10"/>
  <c r="A52" i="6" s="1"/>
  <c r="A52" i="7" s="1"/>
  <c r="A52" i="8" s="1"/>
  <c r="A52" i="9" s="1"/>
  <c r="A92" i="10"/>
  <c r="A92" i="6" s="1"/>
  <c r="A92" i="7" s="1"/>
  <c r="A92" i="8" s="1"/>
  <c r="A92" i="9" s="1"/>
  <c r="A82" i="10"/>
  <c r="A82" i="6" s="1"/>
  <c r="A82" i="7" s="1"/>
  <c r="A82" i="8" s="1"/>
  <c r="A82" i="9" s="1"/>
  <c r="A36" i="10"/>
  <c r="A36" i="6" s="1"/>
  <c r="A36" i="7" s="1"/>
  <c r="A36" i="8" s="1"/>
  <c r="A36" i="9" s="1"/>
  <c r="A55" i="10"/>
  <c r="A55" i="6" s="1"/>
  <c r="A55" i="7" s="1"/>
  <c r="A55" i="8" s="1"/>
  <c r="A55" i="9" s="1"/>
  <c r="A89" i="10"/>
  <c r="A89" i="6" s="1"/>
  <c r="A89" i="7" s="1"/>
  <c r="A89" i="8" s="1"/>
  <c r="A89" i="9" s="1"/>
  <c r="A8" i="10"/>
  <c r="A8" i="6" s="1"/>
  <c r="A8" i="7" s="1"/>
  <c r="A8" i="8" s="1"/>
  <c r="A8" i="9" s="1"/>
  <c r="A67" i="10"/>
  <c r="A67" i="6" s="1"/>
  <c r="A67" i="7" s="1"/>
  <c r="A67" i="8" s="1"/>
  <c r="A67" i="9" s="1"/>
  <c r="A48" i="10"/>
  <c r="A48" i="6" s="1"/>
  <c r="A48" i="7" s="1"/>
  <c r="A48" i="8" s="1"/>
  <c r="A48" i="9" s="1"/>
  <c r="A66" i="10"/>
  <c r="A66" i="6" s="1"/>
  <c r="A66" i="7" s="1"/>
  <c r="A66" i="8" s="1"/>
  <c r="A66" i="9" s="1"/>
  <c r="A69" i="10"/>
  <c r="A69" i="6" s="1"/>
  <c r="A69" i="7" s="1"/>
  <c r="A69" i="8" s="1"/>
  <c r="A69" i="9" s="1"/>
  <c r="A56" i="10"/>
  <c r="A56" i="6" s="1"/>
  <c r="A56" i="7" s="1"/>
  <c r="A56" i="8" s="1"/>
  <c r="A56" i="9" s="1"/>
  <c r="A81" i="10"/>
  <c r="A81" i="6" s="1"/>
  <c r="A81" i="7" s="1"/>
  <c r="A81" i="8" s="1"/>
  <c r="A81" i="9" s="1"/>
  <c r="A86" i="10"/>
  <c r="A86" i="6" s="1"/>
  <c r="A86" i="7" s="1"/>
  <c r="A86" i="8" s="1"/>
  <c r="A86" i="9" s="1"/>
  <c r="A60" i="10"/>
  <c r="A60" i="6" s="1"/>
  <c r="A60" i="7" s="1"/>
  <c r="A60" i="8" s="1"/>
  <c r="A60" i="9" s="1"/>
  <c r="A57" i="10"/>
  <c r="A57" i="6" s="1"/>
  <c r="A57" i="7" s="1"/>
  <c r="A57" i="8" s="1"/>
  <c r="A57" i="9" s="1"/>
  <c r="A90" i="10"/>
  <c r="A90" i="6" s="1"/>
  <c r="A90" i="7" s="1"/>
  <c r="A90" i="8" s="1"/>
  <c r="A90" i="9" s="1"/>
  <c r="A71" i="10"/>
  <c r="A71" i="6" s="1"/>
  <c r="A71" i="7" s="1"/>
  <c r="A71" i="8" s="1"/>
  <c r="A71" i="9" s="1"/>
  <c r="A49" i="10"/>
  <c r="A49" i="6" s="1"/>
  <c r="A49" i="7" s="1"/>
  <c r="A49" i="8" s="1"/>
  <c r="A49" i="9" s="1"/>
  <c r="A61" i="10"/>
  <c r="A61" i="6" s="1"/>
  <c r="A61" i="7" s="1"/>
  <c r="A61" i="8" s="1"/>
  <c r="A61" i="9" s="1"/>
  <c r="A39" i="10"/>
  <c r="A39" i="6" s="1"/>
  <c r="A39" i="7" s="1"/>
  <c r="A39" i="8" s="1"/>
  <c r="A39" i="9" s="1"/>
  <c r="A76" i="10"/>
  <c r="A76" i="6" s="1"/>
  <c r="A76" i="7" s="1"/>
  <c r="A76" i="8" s="1"/>
  <c r="A76" i="9" s="1"/>
  <c r="A73" i="10"/>
  <c r="A73" i="6" s="1"/>
  <c r="A73" i="7" s="1"/>
  <c r="A73" i="8" s="1"/>
  <c r="A73" i="9" s="1"/>
  <c r="A44" i="10"/>
  <c r="A44" i="6" s="1"/>
  <c r="A44" i="7" s="1"/>
  <c r="A44" i="8" s="1"/>
  <c r="A44" i="9" s="1"/>
  <c r="A21" i="10"/>
  <c r="A21" i="6" s="1"/>
  <c r="A21" i="7" s="1"/>
  <c r="A21" i="8" s="1"/>
  <c r="A21" i="9" s="1"/>
  <c r="A27" i="10"/>
  <c r="A27" i="6" s="1"/>
  <c r="A27" i="7" s="1"/>
  <c r="A27" i="8" s="1"/>
  <c r="A27" i="9" s="1"/>
  <c r="A9" i="10"/>
  <c r="A9" i="6" s="1"/>
  <c r="A9" i="7" s="1"/>
  <c r="A9" i="8" s="1"/>
  <c r="A9" i="9" s="1"/>
  <c r="A14" i="10"/>
  <c r="A14" i="6" s="1"/>
  <c r="A14" i="7" s="1"/>
  <c r="A14" i="8" s="1"/>
  <c r="A14" i="9" s="1"/>
  <c r="A10" i="10"/>
  <c r="A10" i="6" s="1"/>
  <c r="A10" i="7" s="1"/>
  <c r="A10" i="8" s="1"/>
  <c r="A10" i="9" s="1"/>
  <c r="A15" i="10"/>
  <c r="A15" i="6" s="1"/>
  <c r="A15" i="7" s="1"/>
  <c r="A15" i="8" s="1"/>
  <c r="A15" i="9" s="1"/>
  <c r="A23" i="10"/>
  <c r="A23" i="6" s="1"/>
  <c r="A23" i="7" s="1"/>
  <c r="A23" i="8" s="1"/>
  <c r="A23" i="9" s="1"/>
  <c r="A79" i="10"/>
  <c r="A79" i="6" s="1"/>
  <c r="A79" i="7" s="1"/>
  <c r="A79" i="8" s="1"/>
  <c r="A79" i="9" s="1"/>
  <c r="A16" i="10"/>
  <c r="A16" i="6" s="1"/>
  <c r="A16" i="7" s="1"/>
  <c r="A16" i="8" s="1"/>
  <c r="A16" i="9" s="1"/>
  <c r="A85" i="10"/>
  <c r="A85" i="6" s="1"/>
  <c r="A85" i="7" s="1"/>
  <c r="A85" i="8" s="1"/>
  <c r="A85" i="9" s="1"/>
  <c r="A12" i="10"/>
  <c r="A12" i="6" s="1"/>
  <c r="A12" i="7" s="1"/>
  <c r="A12" i="8" s="1"/>
  <c r="A12" i="9" s="1"/>
  <c r="A31" i="10"/>
  <c r="A31" i="6" s="1"/>
  <c r="A31" i="7" s="1"/>
  <c r="A31" i="8" s="1"/>
  <c r="A31" i="9" s="1"/>
  <c r="A40" i="10"/>
  <c r="A40" i="6" s="1"/>
  <c r="A40" i="7" s="1"/>
  <c r="A40" i="8" s="1"/>
  <c r="A40" i="9" s="1"/>
  <c r="A32" i="10"/>
  <c r="A32" i="6" s="1"/>
  <c r="A32" i="7" s="1"/>
  <c r="A32" i="8" s="1"/>
  <c r="A32" i="9" s="1"/>
  <c r="A38" i="10"/>
  <c r="A38" i="6" s="1"/>
  <c r="A38" i="7" s="1"/>
  <c r="A38" i="8" s="1"/>
  <c r="A38" i="9" s="1"/>
  <c r="A17" i="10"/>
  <c r="A17" i="6" s="1"/>
  <c r="A17" i="7" s="1"/>
  <c r="A17" i="8" s="1"/>
  <c r="A17" i="9" s="1"/>
  <c r="A59" i="10"/>
  <c r="A59" i="6" s="1"/>
  <c r="A59" i="7" s="1"/>
  <c r="A59" i="8" s="1"/>
  <c r="A59" i="9" s="1"/>
  <c r="A93" i="10"/>
  <c r="A93" i="6" s="1"/>
  <c r="A93" i="7" s="1"/>
  <c r="A93" i="8" s="1"/>
  <c r="A93" i="9" s="1"/>
  <c r="A50" i="10"/>
  <c r="A50" i="6" s="1"/>
  <c r="A50" i="7" s="1"/>
  <c r="A50" i="8" s="1"/>
  <c r="A50" i="9" s="1"/>
  <c r="A24" i="10"/>
  <c r="A24" i="6" s="1"/>
  <c r="A24" i="7" s="1"/>
  <c r="A24" i="8" s="1"/>
  <c r="A24" i="9" s="1"/>
  <c r="A26" i="10"/>
  <c r="A26" i="6" s="1"/>
  <c r="A26" i="7" s="1"/>
  <c r="A26" i="8" s="1"/>
  <c r="A26" i="9" s="1"/>
  <c r="A53" i="10"/>
  <c r="A53" i="6" s="1"/>
  <c r="A53" i="7" s="1"/>
  <c r="A53" i="8" s="1"/>
  <c r="A53" i="9" s="1"/>
  <c r="A87" i="10"/>
  <c r="A87" i="6" s="1"/>
  <c r="A87" i="7" s="1"/>
  <c r="A87" i="8" s="1"/>
  <c r="A87" i="9" s="1"/>
  <c r="A64" i="10"/>
  <c r="A64" i="6" s="1"/>
  <c r="A64" i="7" s="1"/>
  <c r="A64" i="8" s="1"/>
  <c r="A64" i="9" s="1"/>
  <c r="A25" i="10"/>
  <c r="A25" i="6" s="1"/>
  <c r="A25" i="7" s="1"/>
  <c r="A25" i="8" s="1"/>
  <c r="A25" i="9" s="1"/>
  <c r="A72" i="10"/>
  <c r="A72" i="6" s="1"/>
  <c r="A72" i="7" s="1"/>
  <c r="A72" i="8" s="1"/>
  <c r="A72" i="9" s="1"/>
  <c r="A11" i="10"/>
  <c r="A11" i="6" s="1"/>
  <c r="A11" i="7" s="1"/>
  <c r="A11" i="8" s="1"/>
  <c r="A11" i="9" s="1"/>
  <c r="D28" i="6"/>
  <c r="E28" i="6" s="1"/>
  <c r="D54" i="6"/>
  <c r="E54" i="6" s="1"/>
  <c r="D36" i="6"/>
  <c r="E36" i="6" s="1"/>
  <c r="D47" i="6"/>
  <c r="E47" i="6" s="1"/>
  <c r="D90" i="6"/>
  <c r="E90" i="6" s="1"/>
  <c r="B11" i="6"/>
  <c r="D11" i="6" s="1"/>
  <c r="E11" i="6" s="1"/>
  <c r="B10" i="6"/>
  <c r="D10" i="6" s="1"/>
  <c r="E10" i="6" s="1"/>
  <c r="D8" i="6"/>
  <c r="E8" i="6" s="1"/>
  <c r="B9" i="6"/>
  <c r="D9" i="6" s="1"/>
  <c r="E9" i="6" s="1"/>
  <c r="B15" i="6"/>
  <c r="D15" i="6" s="1"/>
  <c r="E15" i="6" s="1"/>
  <c r="D16" i="6"/>
  <c r="E16" i="6" s="1"/>
  <c r="B13" i="6"/>
  <c r="D13" i="6" s="1"/>
  <c r="E13" i="6" s="1"/>
  <c r="D12" i="6"/>
  <c r="E12" i="6" s="1"/>
  <c r="B14" i="6"/>
  <c r="D14" i="6" s="1"/>
  <c r="E14" i="6" s="1"/>
  <c r="M45" i="7"/>
</calcChain>
</file>

<file path=xl/sharedStrings.xml><?xml version="1.0" encoding="utf-8"?>
<sst xmlns="http://schemas.openxmlformats.org/spreadsheetml/2006/main" count="1316" uniqueCount="293">
  <si>
    <t>Chemicals</t>
    <phoneticPr fontId="1" type="noConversion"/>
  </si>
  <si>
    <t>MW (g/mol)</t>
    <phoneticPr fontId="1" type="noConversion"/>
  </si>
  <si>
    <t>carbon atoms</t>
  </si>
  <si>
    <t>degree of red e/mol</t>
    <phoneticPr fontId="0" type="noConversion"/>
  </si>
  <si>
    <t>degree of red e/mol C</t>
    <phoneticPr fontId="0" type="noConversion"/>
  </si>
  <si>
    <t>SCOD</t>
    <phoneticPr fontId="0" type="noConversion"/>
  </si>
  <si>
    <t>pKa</t>
    <phoneticPr fontId="1" type="noConversion"/>
  </si>
  <si>
    <t>C2</t>
  </si>
  <si>
    <t>Acetic acid</t>
    <phoneticPr fontId="1" type="noConversion"/>
  </si>
  <si>
    <t>C3</t>
  </si>
  <si>
    <t>Propionic acid</t>
    <phoneticPr fontId="1" type="noConversion"/>
  </si>
  <si>
    <t>i-C4</t>
  </si>
  <si>
    <t>i-Butyric acid</t>
    <phoneticPr fontId="1" type="noConversion"/>
  </si>
  <si>
    <t>n-C4</t>
  </si>
  <si>
    <t>n-Butyric acid</t>
    <phoneticPr fontId="1" type="noConversion"/>
  </si>
  <si>
    <t>i-C5</t>
  </si>
  <si>
    <t>i-Valeric acid</t>
    <phoneticPr fontId="1" type="noConversion"/>
  </si>
  <si>
    <t>n-C5</t>
  </si>
  <si>
    <t>n-Valeric acid</t>
    <phoneticPr fontId="1" type="noConversion"/>
  </si>
  <si>
    <t>i-C6</t>
  </si>
  <si>
    <t>i-Caproic acid</t>
    <phoneticPr fontId="1" type="noConversion"/>
  </si>
  <si>
    <t>n-C6</t>
  </si>
  <si>
    <t>n-Caproic acid</t>
    <phoneticPr fontId="1" type="noConversion"/>
  </si>
  <si>
    <t>Crotonic acid</t>
    <phoneticPr fontId="1" type="noConversion"/>
  </si>
  <si>
    <t>3-Hydroxybutyric acid</t>
    <phoneticPr fontId="1" type="noConversion"/>
  </si>
  <si>
    <t>Lactic acid</t>
    <phoneticPr fontId="1" type="noConversion"/>
  </si>
  <si>
    <t>H2</t>
  </si>
  <si>
    <t>CO2</t>
  </si>
  <si>
    <t>CH4</t>
  </si>
  <si>
    <t>Yeast extract</t>
  </si>
  <si>
    <t>Gas constant (R)</t>
  </si>
  <si>
    <t>J/K/mol</t>
  </si>
  <si>
    <t>carbon dioxide</t>
  </si>
  <si>
    <t>Ka1</t>
  </si>
  <si>
    <t>pKa</t>
  </si>
  <si>
    <t>Ka2</t>
  </si>
  <si>
    <t>Kh</t>
  </si>
  <si>
    <t>atm/M</t>
  </si>
  <si>
    <t>Jeff Reactor (continuous gas-flow anaerobic reactor)</t>
    <phoneticPr fontId="1" type="noConversion"/>
  </si>
  <si>
    <t>Experiments 1: The feasibility of microbial conversion of PHA&amp;PLA hydrolysats into carboxylates</t>
    <phoneticPr fontId="1" type="noConversion"/>
  </si>
  <si>
    <t>Phase</t>
    <phoneticPr fontId="1" type="noConversion"/>
  </si>
  <si>
    <t>Operation mode</t>
    <phoneticPr fontId="1" type="noConversion"/>
  </si>
  <si>
    <t>pH</t>
    <phoneticPr fontId="1" type="noConversion"/>
  </si>
  <si>
    <t>Substrate</t>
    <phoneticPr fontId="1" type="noConversion"/>
  </si>
  <si>
    <t>Duration</t>
    <phoneticPr fontId="1" type="noConversion"/>
  </si>
  <si>
    <t>Microbial community</t>
    <phoneticPr fontId="1" type="noConversion"/>
  </si>
  <si>
    <t>Aim</t>
    <phoneticPr fontId="1" type="noConversion"/>
  </si>
  <si>
    <t>Temperature</t>
    <phoneticPr fontId="1" type="noConversion"/>
  </si>
  <si>
    <t>starting date</t>
    <phoneticPr fontId="1" type="noConversion"/>
  </si>
  <si>
    <t>Batch mode</t>
    <phoneticPr fontId="1" type="noConversion"/>
  </si>
  <si>
    <t>5.9 (uncontrolled)</t>
    <phoneticPr fontId="1" type="noConversion"/>
  </si>
  <si>
    <t>~10 g/L hydrolyzed PHA&amp;PLA (7:1)</t>
    <phoneticPr fontId="1" type="noConversion"/>
  </si>
  <si>
    <t>1 week</t>
    <phoneticPr fontId="1" type="noConversion"/>
  </si>
  <si>
    <t>start-up reactor</t>
    <phoneticPr fontId="1" type="noConversion"/>
  </si>
  <si>
    <r>
      <t>35</t>
    </r>
    <r>
      <rPr>
        <sz val="11"/>
        <rFont val="等线"/>
      </rPr>
      <t>℃</t>
    </r>
  </si>
  <si>
    <t>14/03/2024</t>
    <phoneticPr fontId="1" type="noConversion"/>
  </si>
  <si>
    <t>continuous (HRT 2 days)</t>
    <phoneticPr fontId="1" type="noConversion"/>
  </si>
  <si>
    <t>3 week (until the end of April)</t>
    <phoneticPr fontId="1" type="noConversion"/>
  </si>
  <si>
    <t xml:space="preserve">Harvest cubes and suspended biomass for samples </t>
    <phoneticPr fontId="1" type="noConversion"/>
  </si>
  <si>
    <t xml:space="preserve">basic operations </t>
    <phoneticPr fontId="1" type="noConversion"/>
  </si>
  <si>
    <t>20/03/2024</t>
    <phoneticPr fontId="1" type="noConversion"/>
  </si>
  <si>
    <t>~10 g/L hydrolyzed PHA&amp;PLA + solid PHA&amp;PLA pellets (7:1)</t>
    <phoneticPr fontId="1" type="noConversion"/>
  </si>
  <si>
    <t>7 weeks</t>
    <phoneticPr fontId="1" type="noConversion"/>
  </si>
  <si>
    <t>Re-inoculation</t>
    <phoneticPr fontId="1" type="noConversion"/>
  </si>
  <si>
    <t>Add microbial hydrolysis and monitor how extra VFAs are produced (total VFAs concentration will likely increase over time)</t>
    <phoneticPr fontId="1" type="noConversion"/>
  </si>
  <si>
    <t>26/04/2024</t>
    <phoneticPr fontId="1" type="noConversion"/>
  </si>
  <si>
    <t>Only nutrients + solid PHA&amp;PLA pellets (remained in Jeff)</t>
    <phoneticPr fontId="1" type="noConversion"/>
  </si>
  <si>
    <r>
      <rPr>
        <sz val="11"/>
        <color rgb="FFFF0000"/>
        <rFont val="Calibri"/>
        <family val="2"/>
        <scheme val="minor"/>
      </rPr>
      <t>3</t>
    </r>
    <r>
      <rPr>
        <sz val="11"/>
        <color theme="1"/>
        <rFont val="Calibri"/>
        <family val="2"/>
        <scheme val="minor"/>
      </rPr>
      <t xml:space="preserve"> weeks</t>
    </r>
  </si>
  <si>
    <t>Flow out VFAs and see if there are additional VFAs produced from bioplastic degradation</t>
    <phoneticPr fontId="1" type="noConversion"/>
  </si>
  <si>
    <t>17/06/2024</t>
    <phoneticPr fontId="1" type="noConversion"/>
  </si>
  <si>
    <t>continuous (HRT ~18 days)</t>
    <phoneticPr fontId="1" type="noConversion"/>
  </si>
  <si>
    <t>3 weeks</t>
    <phoneticPr fontId="1" type="noConversion"/>
  </si>
  <si>
    <t>accumulate carboxylates production</t>
    <phoneticPr fontId="1" type="noConversion"/>
  </si>
  <si>
    <t>15/07/2024</t>
    <phoneticPr fontId="1" type="noConversion"/>
  </si>
  <si>
    <t>Number #</t>
    <phoneticPr fontId="1" type="noConversion"/>
  </si>
  <si>
    <t>Date</t>
    <phoneticPr fontId="1" type="noConversion"/>
  </si>
  <si>
    <t>Time</t>
    <phoneticPr fontId="1" type="noConversion"/>
  </si>
  <si>
    <t>pH controller</t>
    <phoneticPr fontId="1" type="noConversion"/>
  </si>
  <si>
    <t>pH lab</t>
    <phoneticPr fontId="1" type="noConversion"/>
  </si>
  <si>
    <t>Gasflow (Nml)</t>
    <phoneticPr fontId="1" type="noConversion"/>
  </si>
  <si>
    <t>Flow time (min)</t>
    <phoneticPr fontId="1" type="noConversion"/>
  </si>
  <si>
    <t>Water level (mL)</t>
    <phoneticPr fontId="1" type="noConversion"/>
  </si>
  <si>
    <r>
      <t>Temp (</t>
    </r>
    <r>
      <rPr>
        <b/>
        <sz val="10"/>
        <rFont val="FangSong"/>
        <family val="3"/>
        <charset val="134"/>
      </rPr>
      <t>℃</t>
    </r>
    <r>
      <rPr>
        <b/>
        <sz val="10"/>
        <rFont val="Times New Roman"/>
        <family val="1"/>
      </rPr>
      <t>)</t>
    </r>
  </si>
  <si>
    <t>KOH weight (g)</t>
    <phoneticPr fontId="1" type="noConversion"/>
  </si>
  <si>
    <t>N2 flow (Nml)</t>
    <phoneticPr fontId="1" type="noConversion"/>
  </si>
  <si>
    <t>CO2 flow (Nml)</t>
    <phoneticPr fontId="1" type="noConversion"/>
  </si>
  <si>
    <t>Feed pump (rpm)</t>
    <phoneticPr fontId="1" type="noConversion"/>
  </si>
  <si>
    <t>Effluent pum (rpm)</t>
    <phoneticPr fontId="1" type="noConversion"/>
  </si>
  <si>
    <t>Internal recirc (rpm)</t>
    <phoneticPr fontId="1" type="noConversion"/>
  </si>
  <si>
    <t>Influent weight (g)</t>
    <phoneticPr fontId="1" type="noConversion"/>
  </si>
  <si>
    <t>Effluent weight (g)</t>
    <phoneticPr fontId="1" type="noConversion"/>
  </si>
  <si>
    <t>Remark</t>
    <phoneticPr fontId="1" type="noConversion"/>
  </si>
  <si>
    <t>Date + Time</t>
    <phoneticPr fontId="1" type="noConversion"/>
  </si>
  <si>
    <t>Day</t>
    <phoneticPr fontId="1" type="noConversion"/>
  </si>
  <si>
    <t>HRT</t>
    <phoneticPr fontId="1" type="noConversion"/>
  </si>
  <si>
    <t>Phase I</t>
    <phoneticPr fontId="1" type="noConversion"/>
  </si>
  <si>
    <t>day</t>
  </si>
  <si>
    <t>pH</t>
  </si>
  <si>
    <t>Base consumption</t>
    <phoneticPr fontId="1" type="noConversion"/>
  </si>
  <si>
    <t>gas flow</t>
    <phoneticPr fontId="1" type="noConversion"/>
  </si>
  <si>
    <t>Phase II</t>
    <phoneticPr fontId="1" type="noConversion"/>
  </si>
  <si>
    <t>10:55 From Batch to Continuous mode, KOH (450g)</t>
    <phoneticPr fontId="1" type="noConversion"/>
  </si>
  <si>
    <r>
      <rPr>
        <sz val="10"/>
        <rFont val="Times New Roman"/>
        <family val="1"/>
      </rPr>
      <t>10:15, Fresh influent: 6553.2 g; Effluent pump 1.0;</t>
    </r>
    <r>
      <rPr>
        <sz val="10"/>
        <color rgb="FFFF0000"/>
        <rFont val="Times New Roman"/>
        <family val="1"/>
      </rPr>
      <t xml:space="preserve"> Notes: the medium in the Jeff Reactor flow back into the influent bottle bacause of mistaken operation (open the influent pump clamp)</t>
    </r>
  </si>
  <si>
    <t>scale for KOH was off, reset it to 0</t>
    <phoneticPr fontId="1" type="noConversion"/>
  </si>
  <si>
    <t>refill fresh  (6970.6 g)</t>
    <phoneticPr fontId="1" type="noConversion"/>
  </si>
  <si>
    <t>refill fresh 500 mL KOH, adjust scale to normal weight (+), the weight is 1008.0 g</t>
    <phoneticPr fontId="1" type="noConversion"/>
  </si>
  <si>
    <t xml:space="preserve">At 17:27, adjust the pH controller from 6.05 to 6.17; </t>
    <phoneticPr fontId="1" type="noConversion"/>
  </si>
  <si>
    <t>04/07/2024, at 15:50, the Influent medium is not enough, so John added around 150 mL of the old medium from batch mode into the Influent bottle</t>
    <phoneticPr fontId="1" type="noConversion"/>
  </si>
  <si>
    <r>
      <t xml:space="preserve">At 09:41, refill the fresh medium in the influent (the remaining amount was 1741.8 g); at 12:40, adjust pH controller parameters (Kp: 2.6=&gt;0.5; Tn: 3=&gt;0; Tv: 0=&gt;0; Pulse/per: 10=&gt;30); at 12:46, pH controller: 6.33, and KOH: 622.6 g; 15:41, pH controller: 6.25, and KOH: 629.1 g, Min Ptime: 0.3=&gt;0.1; </t>
    </r>
    <r>
      <rPr>
        <sz val="10"/>
        <color rgb="FFFF0000"/>
        <rFont val="Times New Roman"/>
        <family val="1"/>
      </rPr>
      <t>At 16:00, we injected a thinner tube in the KOH tube, and around 170 mL liquid was lost in the bioreactor (1120 mL), the amount of KOH (817.80 g) on the scale changed, but we didn't add more.</t>
    </r>
  </si>
  <si>
    <t xml:space="preserve">11:13 recorded parameters (forgot to record at 10:00), 12:17 weighed the amounts of Influent and Effluent. </t>
    <phoneticPr fontId="1" type="noConversion"/>
  </si>
  <si>
    <t>04/16, 10:07 change influent with fresh one. Influent: 2322.7 g =&gt; 6563.9 g; Effluent: 16309 g</t>
    <phoneticPr fontId="1" type="noConversion"/>
  </si>
  <si>
    <t>pumps on at 12:55 (stop for around 1.5 h); 04/21, 13:27, change KOH: 378.22 g =&gt; 931.4 g</t>
    <phoneticPr fontId="1" type="noConversion"/>
  </si>
  <si>
    <t>at 14:05, adjust the pH controller to 6.25</t>
    <phoneticPr fontId="1" type="noConversion"/>
  </si>
  <si>
    <t>Refill fresh influent (6561.2 g)</t>
    <phoneticPr fontId="1" type="noConversion"/>
  </si>
  <si>
    <t>Phase III</t>
    <phoneticPr fontId="1" type="noConversion"/>
  </si>
  <si>
    <t>we took out sponges of the upper layer, flushed N2, fill PHA and PLA pellets with a ratio of 7:1 (230.24g, 32.84g). At 12:53, re-inoculate 20 mL inoculum for Jeff Reactor</t>
    <phoneticPr fontId="1" type="noConversion"/>
  </si>
  <si>
    <t>Hard to judge medium level (Roel), empty effluent bottle (23051 g =&gt; 1161.2 g).</t>
    <phoneticPr fontId="1" type="noConversion"/>
  </si>
  <si>
    <t>At 11:47, change pH controller from 6.25 to 6.33</t>
    <phoneticPr fontId="1" type="noConversion"/>
  </si>
  <si>
    <r>
      <rPr>
        <sz val="10"/>
        <color rgb="FFFF0000"/>
        <rFont val="Times New Roman"/>
        <family val="1"/>
      </rPr>
      <t>There was an electricity failure in the morning.</t>
    </r>
    <r>
      <rPr>
        <sz val="10"/>
        <rFont val="Times New Roman"/>
        <family val="1"/>
      </rPr>
      <t xml:space="preserve"> At 15:16, refill fresh influent (6548.0 g)</t>
    </r>
  </si>
  <si>
    <t>after GC-05 measurement, we find the N2/CO2 is ~80/20 (before it's 97/3), so in 05/04/2024, 15:38, I adjust the N2 flow from 2 mL/min to 5 mL/min.</t>
    <phoneticPr fontId="1" type="noConversion"/>
  </si>
  <si>
    <t>at 05/07/2024, 14:15, I add KOH (1M) into the base bottle (359.46 g=&gt; 904.2 g)</t>
    <phoneticPr fontId="1" type="noConversion"/>
  </si>
  <si>
    <t>at 11:11, I turn N2 from 8 mL/min to 9 mL/min (the N2/CO2 is 93/7)</t>
    <phoneticPr fontId="1" type="noConversion"/>
  </si>
  <si>
    <t>At 12:35 of 05/11/2024, refill the influent medium (2148.2=&gt;6559.7g), the effluent is 7553.2g</t>
    <phoneticPr fontId="1" type="noConversion"/>
  </si>
  <si>
    <t>refill the medium (6561.6 g), at 10:28, refill the KOH (423.79=&gt;908.4g)</t>
    <phoneticPr fontId="1" type="noConversion"/>
  </si>
  <si>
    <t>refill the medium (6563.0 g)</t>
    <phoneticPr fontId="1" type="noConversion"/>
  </si>
  <si>
    <t>calibrate the pH sensor; at 13:41, pH sensor 6.05, measured pH 5.65; 06/04 at 09:10, pH sensor 6.25, measured pH 5.71; at 11:15, measured pH 5.79; at 14:30, refill KOH (428.47=&gt; 881.7 g)</t>
    <phoneticPr fontId="1" type="noConversion"/>
  </si>
  <si>
    <t>at 10:14, the measured pH was 5.28, then remeasured pH at 12:48 was 5.79, at 14:17, refilled the medium (6564.7 g)</t>
    <phoneticPr fontId="1" type="noConversion"/>
  </si>
  <si>
    <t>At 15:10, empty Effluent bottle (24804 g =&gt; 1121.6 g), the Influent was 3154.5 g;</t>
    <phoneticPr fontId="1" type="noConversion"/>
  </si>
  <si>
    <t>Phase IV</t>
    <phoneticPr fontId="1" type="noConversion"/>
  </si>
  <si>
    <r>
      <t xml:space="preserve">At 10:45, refill the KOH (445.85 g =&gt; 912.8 g), and </t>
    </r>
    <r>
      <rPr>
        <sz val="10"/>
        <color rgb="FFFF0000"/>
        <rFont val="Times New Roman"/>
        <family val="1"/>
      </rPr>
      <t>fill the non-hydrolysates medium</t>
    </r>
    <r>
      <rPr>
        <sz val="10"/>
        <color theme="1"/>
        <rFont val="Times New Roman"/>
        <family val="1"/>
      </rPr>
      <t xml:space="preserve"> (1837.1 g =&gt; 6531.5 g); First, take out ~170 mL liquid from the Jeff for NGS, and then pump the influent till ~1200 mL, keep flushing gas for around 1 hour, and then start pumping. At 11:40, the measured pH was 5.82. </t>
    </r>
  </si>
  <si>
    <t>06/25, at 15:48, change the influent medium (1754.5 g =&gt; 6519.5 g)</t>
    <phoneticPr fontId="1" type="noConversion"/>
  </si>
  <si>
    <t>at 12:53, change the influent medium (2132.9 g =&gt; 6531.1 g)</t>
    <phoneticPr fontId="1" type="noConversion"/>
  </si>
  <si>
    <t>6534.7 g influent</t>
    <phoneticPr fontId="1" type="noConversion"/>
  </si>
  <si>
    <t>Phase V</t>
    <phoneticPr fontId="1" type="noConversion"/>
  </si>
  <si>
    <t>after pumping influent into the Jeff, the weight of influent was 4496.6 g</t>
    <phoneticPr fontId="1" type="noConversion"/>
  </si>
  <si>
    <t>add KOH: 442.01g =&gt; 893.4 g; adjust pH controller from 6.15 to 6.35</t>
    <phoneticPr fontId="1" type="noConversion"/>
  </si>
  <si>
    <t>adjust pH controller from 6.35 to 6.30</t>
    <phoneticPr fontId="1" type="noConversion"/>
  </si>
  <si>
    <t xml:space="preserve">New effluent bottle: 614.2g; gas pressure: 101.6 kPa; </t>
    <phoneticPr fontId="1" type="noConversion"/>
  </si>
  <si>
    <t>08/27, at 10:02 am, Influent: 1901.6 g =&gt; 6533.5 g</t>
    <phoneticPr fontId="1" type="noConversion"/>
  </si>
  <si>
    <t xml:space="preserve">at 16:30, we added a 50 mL gas bag; </t>
    <phoneticPr fontId="1" type="noConversion"/>
  </si>
  <si>
    <t>finish experiments</t>
    <phoneticPr fontId="1" type="noConversion"/>
  </si>
  <si>
    <t>Days</t>
  </si>
  <si>
    <t>mg/L</t>
  </si>
  <si>
    <t>3HB</t>
  </si>
  <si>
    <t>crotonate</t>
  </si>
  <si>
    <t>lactate</t>
  </si>
  <si>
    <t>Outflow</t>
  </si>
  <si>
    <t>acetate</t>
  </si>
  <si>
    <t>propionate</t>
  </si>
  <si>
    <t>n-butyrate</t>
  </si>
  <si>
    <t>n-valerate</t>
  </si>
  <si>
    <t>n-caproate</t>
  </si>
  <si>
    <t>mM</t>
  </si>
  <si>
    <t>mM C</t>
  </si>
  <si>
    <t>delta medium</t>
  </si>
  <si>
    <t>mL/day</t>
  </si>
  <si>
    <t>delta KOH</t>
  </si>
  <si>
    <t>Total</t>
  </si>
  <si>
    <t>HRT</t>
  </si>
  <si>
    <t>Base consumption</t>
  </si>
  <si>
    <t>mmol OH/day</t>
  </si>
  <si>
    <t>Density</t>
  </si>
  <si>
    <t>1M at 40 degrees</t>
  </si>
  <si>
    <r>
      <t>g/cm</t>
    </r>
    <r>
      <rPr>
        <vertAlign val="superscript"/>
        <sz val="11"/>
        <color theme="1"/>
        <rFont val="Calibri"/>
        <family val="2"/>
        <scheme val="minor"/>
      </rPr>
      <t>3</t>
    </r>
  </si>
  <si>
    <t>-</t>
  </si>
  <si>
    <t>fresh influent</t>
  </si>
  <si>
    <t>g/mL</t>
  </si>
  <si>
    <t>KOH</t>
  </si>
  <si>
    <t>g/mol</t>
  </si>
  <si>
    <t>HRT=V/Q</t>
  </si>
  <si>
    <t>Gas inlet</t>
  </si>
  <si>
    <t>CO2 inlet</t>
  </si>
  <si>
    <t>N2</t>
  </si>
  <si>
    <t>N2 inlet</t>
  </si>
  <si>
    <t>Gas outlet</t>
  </si>
  <si>
    <t>delta gas production</t>
  </si>
  <si>
    <t>mL/min</t>
  </si>
  <si>
    <t>Vm-25</t>
  </si>
  <si>
    <t>L/mol</t>
  </si>
  <si>
    <t>at 1 atm and 298K</t>
  </si>
  <si>
    <t>Vm-35</t>
  </si>
  <si>
    <t>at 1 atm and 308K</t>
  </si>
  <si>
    <t>mL</t>
  </si>
  <si>
    <t>delta gas production rate</t>
  </si>
  <si>
    <t>O2</t>
  </si>
  <si>
    <t>%</t>
  </si>
  <si>
    <t>HCO3-</t>
  </si>
  <si>
    <t>Dissolved CO2</t>
  </si>
  <si>
    <t>outgoing gasses</t>
  </si>
  <si>
    <t>mmol/day</t>
  </si>
  <si>
    <t>95-123</t>
  </si>
  <si>
    <t>43-95</t>
  </si>
  <si>
    <t>6-43</t>
  </si>
  <si>
    <t>123-203</t>
  </si>
  <si>
    <t>03/13, flush N2 for almost one day, start batch mode on 03/14 (inject 20 mL inoculum)</t>
  </si>
  <si>
    <t>fresh KOH</t>
  </si>
  <si>
    <t>times</t>
  </si>
  <si>
    <t>dilution</t>
  </si>
  <si>
    <t>3-HV</t>
  </si>
  <si>
    <t>Influent (original data from HPLC)</t>
  </si>
  <si>
    <t>Inflow (Real concentration)</t>
  </si>
  <si>
    <t>diluton</t>
  </si>
  <si>
    <t>n.a.</t>
  </si>
  <si>
    <t>i-butyrate</t>
  </si>
  <si>
    <t>i-valerate</t>
  </si>
  <si>
    <t>dilution for VFAs</t>
  </si>
  <si>
    <t>Effluent (original data from HPLC)</t>
  </si>
  <si>
    <t>Effluent (original data from GC-01)</t>
  </si>
  <si>
    <t>Real concentration</t>
  </si>
  <si>
    <t>3-hydroxyvaleric acid</t>
  </si>
  <si>
    <t>mM e</t>
  </si>
  <si>
    <t>total provided N2 &amp; CO2</t>
  </si>
  <si>
    <t>mmol/d</t>
  </si>
  <si>
    <t>CO2 production</t>
  </si>
  <si>
    <t>Inflow</t>
  </si>
  <si>
    <t>mmol C/day</t>
  </si>
  <si>
    <t>mmol e/day</t>
  </si>
  <si>
    <t>carbon in</t>
  </si>
  <si>
    <t>carbon out</t>
  </si>
  <si>
    <t>carbon balance</t>
  </si>
  <si>
    <t xml:space="preserve">electron in </t>
  </si>
  <si>
    <t>electron out</t>
  </si>
  <si>
    <t>electron balance</t>
  </si>
  <si>
    <t>original bioplastic weight</t>
  </si>
  <si>
    <t>PLA lids</t>
  </si>
  <si>
    <t>PHA cups</t>
  </si>
  <si>
    <t>g</t>
  </si>
  <si>
    <t>left bioplastic weight</t>
  </si>
  <si>
    <t>sampled particles for NGS</t>
  </si>
  <si>
    <t>PHA cups 1</t>
  </si>
  <si>
    <t>PHA cups 2</t>
  </si>
  <si>
    <t>PLA lids 1</t>
  </si>
  <si>
    <t>PLA lids 2</t>
  </si>
  <si>
    <t>leakage during operation</t>
  </si>
  <si>
    <t>net weight (without 50 mL bottle)</t>
  </si>
  <si>
    <t>days</t>
  </si>
  <si>
    <t>total</t>
  </si>
  <si>
    <t>PHA left</t>
  </si>
  <si>
    <t>PLA left</t>
  </si>
  <si>
    <t>consumed PHA</t>
  </si>
  <si>
    <t>PHBV</t>
  </si>
  <si>
    <t>mol</t>
  </si>
  <si>
    <t>Carbon in PHBV</t>
  </si>
  <si>
    <t>ratio</t>
  </si>
  <si>
    <t>carbon in PHBV</t>
  </si>
  <si>
    <t>solid bioplastics</t>
  </si>
  <si>
    <t>0-6</t>
  </si>
  <si>
    <t>period (days)</t>
  </si>
  <si>
    <t>3-HB</t>
  </si>
  <si>
    <t>Phase</t>
  </si>
  <si>
    <t>II</t>
  </si>
  <si>
    <t>std</t>
  </si>
  <si>
    <t>III</t>
  </si>
  <si>
    <t>IV</t>
  </si>
  <si>
    <t>V</t>
  </si>
  <si>
    <t>Acetate</t>
  </si>
  <si>
    <t>Propionate</t>
  </si>
  <si>
    <t>Crotonate</t>
  </si>
  <si>
    <t>Lactate</t>
  </si>
  <si>
    <t>steady-state period</t>
  </si>
  <si>
    <t>32-41</t>
  </si>
  <si>
    <t>53-90</t>
  </si>
  <si>
    <t>102-111</t>
  </si>
  <si>
    <t>127-200</t>
  </si>
  <si>
    <t>solid biplastics</t>
  </si>
  <si>
    <t>yeast extract</t>
  </si>
  <si>
    <t>mmol C/L/day</t>
  </si>
  <si>
    <t>I</t>
  </si>
  <si>
    <t>no</t>
  </si>
  <si>
    <t>time 0</t>
  </si>
  <si>
    <t>after fermentation</t>
  </si>
  <si>
    <t>consumption</t>
  </si>
  <si>
    <t>MW</t>
  </si>
  <si>
    <t>mmol C</t>
  </si>
  <si>
    <t>Total consumption</t>
  </si>
  <si>
    <t>compare Phase II with Phase III</t>
  </si>
  <si>
    <t>Phase II</t>
  </si>
  <si>
    <t>Phase III</t>
  </si>
  <si>
    <t>net increase</t>
  </si>
  <si>
    <t>g/L/d</t>
  </si>
  <si>
    <t>mmol C/L/d</t>
  </si>
  <si>
    <t>total produced rate</t>
  </si>
  <si>
    <t>the total amount of PHA cups</t>
  </si>
  <si>
    <t>the needed time for the whole conversion of PHA cups to acetate and n-butyrate</t>
  </si>
  <si>
    <t>(since the volume is regarded as 1 L)</t>
  </si>
  <si>
    <t>Phase IV</t>
  </si>
  <si>
    <t>mmol C/d</t>
  </si>
  <si>
    <t>d</t>
  </si>
  <si>
    <t>solid bioplastic consumption rate</t>
  </si>
  <si>
    <t>mol C</t>
  </si>
  <si>
    <t>percentage</t>
  </si>
  <si>
    <t>total provided PHA cups</t>
  </si>
  <si>
    <t>ideal days for fully consumed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</si>
</sst>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_);[Red]\(0.000\)"/>
    <numFmt numFmtId="165" formatCode="0.0"/>
    <numFmt numFmtId="166" formatCode="0.00_);[Red]\(0.00\)"/>
    <numFmt numFmtId="167" formatCode="0.00_ "/>
    <numFmt numFmtId="168" formatCode="0.0_);[Red]\(0.0\)"/>
    <numFmt numFmtId="169" formatCode="#,##0.00000"/>
  </numFmts>
  <fonts count="23">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2"/>
      <color theme="1"/>
      <name val="Times New Roman"/>
      <family val="1"/>
    </font>
    <font>
      <sz val="12"/>
      <color theme="1"/>
      <name val="Times New Roman"/>
      <family val="1"/>
    </font>
    <font>
      <b/>
      <sz val="20"/>
      <color theme="1"/>
      <name val="Calibri"/>
      <family val="2"/>
      <scheme val="minor"/>
    </font>
    <font>
      <b/>
      <sz val="14"/>
      <color theme="1"/>
      <name val="Calibri"/>
      <family val="2"/>
      <scheme val="minor"/>
    </font>
    <font>
      <b/>
      <sz val="11"/>
      <name val="Calibri"/>
      <family val="2"/>
      <scheme val="minor"/>
    </font>
    <font>
      <sz val="11"/>
      <name val="等线"/>
    </font>
    <font>
      <b/>
      <sz val="11"/>
      <color rgb="FFFF0000"/>
      <name val="Calibri"/>
      <family val="2"/>
      <scheme val="minor"/>
    </font>
    <font>
      <sz val="10"/>
      <color theme="1"/>
      <name val="Times New Roman"/>
      <family val="1"/>
    </font>
    <font>
      <b/>
      <sz val="10"/>
      <color theme="1"/>
      <name val="Times New Roman"/>
      <family val="1"/>
    </font>
    <font>
      <b/>
      <sz val="10"/>
      <name val="Times New Roman"/>
      <family val="1"/>
    </font>
    <font>
      <b/>
      <sz val="10"/>
      <name val="FangSong"/>
      <family val="3"/>
      <charset val="134"/>
    </font>
    <font>
      <sz val="10"/>
      <name val="Times New Roman"/>
      <family val="1"/>
    </font>
    <font>
      <sz val="10"/>
      <color rgb="FFFF0000"/>
      <name val="Times New Roman"/>
      <family val="1"/>
    </font>
    <font>
      <b/>
      <sz val="12"/>
      <color theme="1"/>
      <name val="Calibri"/>
      <family val="2"/>
      <scheme val="minor"/>
    </font>
    <font>
      <b/>
      <sz val="16"/>
      <color theme="1"/>
      <name val="Calibri"/>
      <family val="2"/>
      <scheme val="minor"/>
    </font>
    <font>
      <vertAlign val="superscript"/>
      <sz val="11"/>
      <color theme="1"/>
      <name val="Calibri"/>
      <family val="2"/>
      <scheme val="minor"/>
    </font>
    <font>
      <sz val="12"/>
      <color theme="1"/>
      <name val="Calibri"/>
      <family val="2"/>
      <scheme val="minor"/>
    </font>
    <font>
      <u/>
      <sz val="11"/>
      <color theme="10"/>
      <name val="Calibri"/>
      <family val="2"/>
      <scheme val="minor"/>
    </font>
    <font>
      <sz val="11"/>
      <name val="Calibri"/>
      <family val="2"/>
      <scheme val="minor"/>
    </font>
  </fonts>
  <fills count="22">
    <fill>
      <patternFill patternType="none"/>
    </fill>
    <fill>
      <patternFill patternType="gray125"/>
    </fill>
    <fill>
      <patternFill patternType="solid">
        <fgColor theme="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2" tint="-9.9978637043366805E-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4"/>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21" fillId="0" borderId="0" applyNumberFormat="0" applyFill="0" applyBorder="0" applyAlignment="0" applyProtection="0"/>
  </cellStyleXfs>
  <cellXfs count="267">
    <xf numFmtId="0" fontId="0" fillId="0" borderId="0" xfId="0"/>
    <xf numFmtId="0" fontId="4" fillId="0" borderId="0" xfId="0" applyFont="1" applyAlignment="1">
      <alignment horizontal="center" vertical="center"/>
    </xf>
    <xf numFmtId="0" fontId="4" fillId="0" borderId="0" xfId="0" applyFont="1" applyAlignment="1">
      <alignment horizontal="center" vertical="center" wrapText="1"/>
    </xf>
    <xf numFmtId="164" fontId="4" fillId="0" borderId="0" xfId="0" applyNumberFormat="1" applyFont="1" applyAlignment="1">
      <alignment horizontal="center" vertical="center"/>
    </xf>
    <xf numFmtId="0" fontId="5" fillId="0" borderId="0" xfId="0" applyFont="1"/>
    <xf numFmtId="2" fontId="4" fillId="0" borderId="0" xfId="0" applyNumberFormat="1" applyFont="1" applyAlignment="1">
      <alignment horizontal="center" vertical="center"/>
    </xf>
    <xf numFmtId="165" fontId="4" fillId="0" borderId="0" xfId="0" applyNumberFormat="1" applyFont="1" applyAlignment="1">
      <alignment horizontal="center" vertical="center"/>
    </xf>
    <xf numFmtId="11" fontId="4" fillId="0" borderId="0" xfId="0" applyNumberFormat="1" applyFont="1" applyAlignment="1">
      <alignment horizontal="center" vertical="center"/>
    </xf>
    <xf numFmtId="0" fontId="0" fillId="0" borderId="0" xfId="0" applyAlignment="1">
      <alignment horizontal="center" vertical="center" wrapText="1"/>
    </xf>
    <xf numFmtId="0" fontId="3" fillId="3" borderId="1" xfId="0" applyFont="1" applyFill="1" applyBorder="1" applyAlignment="1">
      <alignment horizontal="center" vertical="center" wrapText="1"/>
    </xf>
    <xf numFmtId="166" fontId="3" fillId="3" borderId="1" xfId="0" applyNumberFormat="1" applyFont="1" applyFill="1" applyBorder="1" applyAlignment="1">
      <alignment horizontal="center" vertical="center" wrapText="1"/>
    </xf>
    <xf numFmtId="14" fontId="3" fillId="0" borderId="0" xfId="0" applyNumberFormat="1" applyFont="1"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3" fillId="4"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0" fillId="4" borderId="1" xfId="0" applyFill="1" applyBorder="1" applyAlignment="1">
      <alignment horizontal="center" vertical="center" wrapText="1"/>
    </xf>
    <xf numFmtId="0" fontId="8" fillId="4" borderId="1" xfId="0" applyFont="1" applyFill="1" applyBorder="1" applyAlignment="1">
      <alignment horizontal="center" vertical="center" wrapText="1"/>
    </xf>
    <xf numFmtId="166" fontId="0" fillId="4" borderId="1" xfId="0" quotePrefix="1" applyNumberFormat="1" applyFill="1" applyBorder="1" applyAlignment="1">
      <alignment horizontal="center" vertical="center" wrapText="1"/>
    </xf>
    <xf numFmtId="14" fontId="0" fillId="0" borderId="0" xfId="0" applyNumberFormat="1" applyAlignment="1">
      <alignment horizontal="center" vertical="center" wrapText="1"/>
    </xf>
    <xf numFmtId="49" fontId="0" fillId="0" borderId="0" xfId="0" applyNumberFormat="1" applyAlignment="1">
      <alignment horizontal="center" vertical="center" wrapText="1"/>
    </xf>
    <xf numFmtId="49" fontId="0" fillId="0" borderId="0" xfId="0" quotePrefix="1" applyNumberFormat="1" applyAlignment="1">
      <alignment horizontal="center" vertical="center" wrapText="1"/>
    </xf>
    <xf numFmtId="0" fontId="3"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1" fillId="6"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166" fontId="0" fillId="6" borderId="1" xfId="0" quotePrefix="1" applyNumberFormat="1" applyFill="1" applyBorder="1" applyAlignment="1">
      <alignment horizontal="center" vertical="center" wrapText="1"/>
    </xf>
    <xf numFmtId="1" fontId="0" fillId="0" borderId="0" xfId="0" applyNumberFormat="1" applyAlignment="1">
      <alignment horizontal="center" vertical="center" wrapText="1"/>
    </xf>
    <xf numFmtId="14" fontId="0" fillId="0" borderId="0" xfId="0" quotePrefix="1" applyNumberFormat="1" applyAlignment="1">
      <alignment horizontal="center" vertical="center" wrapText="1"/>
    </xf>
    <xf numFmtId="0" fontId="0" fillId="0" borderId="0" xfId="0" applyFill="1" applyBorder="1" applyAlignment="1">
      <alignment horizontal="center" vertical="center"/>
    </xf>
    <xf numFmtId="0" fontId="0" fillId="0" borderId="0" xfId="0" applyFill="1" applyBorder="1" applyAlignment="1"/>
    <xf numFmtId="14" fontId="0" fillId="0" borderId="0" xfId="0" applyNumberFormat="1" applyFill="1" applyBorder="1" applyAlignment="1">
      <alignment horizontal="center" vertical="center"/>
    </xf>
    <xf numFmtId="49" fontId="0" fillId="0" borderId="0" xfId="0" applyNumberFormat="1" applyFill="1" applyBorder="1" applyAlignment="1">
      <alignment horizontal="center" vertical="center"/>
    </xf>
    <xf numFmtId="0" fontId="7" fillId="0" borderId="0" xfId="0" applyFont="1" applyFill="1" applyBorder="1" applyAlignment="1">
      <alignment vertical="center"/>
    </xf>
    <xf numFmtId="0" fontId="3"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11" fillId="0" borderId="1" xfId="0" applyFont="1" applyBorder="1" applyAlignment="1">
      <alignment horizontal="center" vertical="center"/>
    </xf>
    <xf numFmtId="14" fontId="11" fillId="7" borderId="1" xfId="0" applyNumberFormat="1" applyFont="1" applyFill="1" applyBorder="1" applyAlignment="1">
      <alignment horizontal="center" vertical="center"/>
    </xf>
    <xf numFmtId="166" fontId="11" fillId="7" borderId="1" xfId="0" applyNumberFormat="1" applyFont="1" applyFill="1" applyBorder="1" applyAlignment="1">
      <alignment horizontal="center" vertical="center"/>
    </xf>
    <xf numFmtId="166" fontId="11" fillId="0" borderId="1" xfId="0" applyNumberFormat="1" applyFont="1" applyBorder="1" applyAlignment="1">
      <alignment horizontal="center" vertical="center"/>
    </xf>
    <xf numFmtId="0" fontId="11" fillId="7" borderId="1" xfId="0" applyFont="1" applyFill="1" applyBorder="1" applyAlignment="1">
      <alignment horizontal="center" vertical="center"/>
    </xf>
    <xf numFmtId="167" fontId="11" fillId="7" borderId="1" xfId="0" applyNumberFormat="1" applyFont="1" applyFill="1" applyBorder="1" applyAlignment="1">
      <alignment horizontal="center" vertical="center"/>
    </xf>
    <xf numFmtId="164" fontId="11" fillId="7" borderId="1" xfId="0" applyNumberFormat="1" applyFont="1" applyFill="1" applyBorder="1" applyAlignment="1">
      <alignment horizontal="center" vertical="center"/>
    </xf>
    <xf numFmtId="168" fontId="11" fillId="0" borderId="1" xfId="0" applyNumberFormat="1" applyFont="1" applyBorder="1" applyAlignment="1">
      <alignment horizontal="center" vertical="center"/>
    </xf>
    <xf numFmtId="168" fontId="11" fillId="7" borderId="1" xfId="0" applyNumberFormat="1" applyFont="1" applyFill="1" applyBorder="1" applyAlignment="1">
      <alignment horizontal="center" vertical="center"/>
    </xf>
    <xf numFmtId="22" fontId="11" fillId="0" borderId="1" xfId="0" applyNumberFormat="1" applyFont="1" applyBorder="1" applyAlignment="1">
      <alignment horizontal="center" vertical="center"/>
    </xf>
    <xf numFmtId="0" fontId="12" fillId="0" borderId="2" xfId="0" applyFont="1" applyBorder="1" applyAlignment="1">
      <alignment horizontal="center" vertical="center" wrapText="1"/>
    </xf>
    <xf numFmtId="0" fontId="13" fillId="0" borderId="3" xfId="0" applyFont="1" applyBorder="1" applyAlignment="1">
      <alignment horizontal="center" vertical="center" wrapText="1"/>
    </xf>
    <xf numFmtId="14" fontId="13" fillId="7" borderId="4" xfId="0" applyNumberFormat="1" applyFont="1" applyFill="1" applyBorder="1" applyAlignment="1">
      <alignment horizontal="center" vertical="center" wrapText="1"/>
    </xf>
    <xf numFmtId="0" fontId="13" fillId="7" borderId="4" xfId="0" applyFont="1" applyFill="1" applyBorder="1" applyAlignment="1">
      <alignment horizontal="center" vertical="center" wrapText="1"/>
    </xf>
    <xf numFmtId="168" fontId="13" fillId="0" borderId="4" xfId="0" applyNumberFormat="1" applyFont="1" applyBorder="1" applyAlignment="1">
      <alignment horizontal="center" vertical="center" wrapText="1"/>
    </xf>
    <xf numFmtId="0" fontId="13" fillId="8" borderId="4" xfId="0" applyFont="1" applyFill="1" applyBorder="1" applyAlignment="1">
      <alignment horizontal="center" vertical="center" wrapText="1"/>
    </xf>
    <xf numFmtId="22" fontId="12" fillId="0" borderId="2" xfId="0" applyNumberFormat="1" applyFont="1" applyBorder="1" applyAlignment="1">
      <alignment horizontal="center" vertical="center" wrapText="1"/>
    </xf>
    <xf numFmtId="0" fontId="11" fillId="5" borderId="0" xfId="0" applyFont="1" applyFill="1" applyAlignment="1">
      <alignment horizontal="center" vertical="center"/>
    </xf>
    <xf numFmtId="0" fontId="15" fillId="5" borderId="5" xfId="0" applyFont="1" applyFill="1" applyBorder="1" applyAlignment="1">
      <alignment horizontal="center" vertical="center"/>
    </xf>
    <xf numFmtId="14" fontId="15" fillId="5" borderId="5" xfId="0" applyNumberFormat="1" applyFont="1" applyFill="1" applyBorder="1" applyAlignment="1">
      <alignment horizontal="center" vertical="center"/>
    </xf>
    <xf numFmtId="166" fontId="15" fillId="7" borderId="5" xfId="0" applyNumberFormat="1" applyFont="1" applyFill="1" applyBorder="1" applyAlignment="1">
      <alignment horizontal="center" vertical="center"/>
    </xf>
    <xf numFmtId="166" fontId="15" fillId="0" borderId="5" xfId="0" applyNumberFormat="1" applyFont="1" applyBorder="1" applyAlignment="1">
      <alignment horizontal="center" vertical="center"/>
    </xf>
    <xf numFmtId="0" fontId="15" fillId="7" borderId="5" xfId="0" applyFont="1" applyFill="1" applyBorder="1" applyAlignment="1">
      <alignment horizontal="center" vertical="center"/>
    </xf>
    <xf numFmtId="0" fontId="15" fillId="0" borderId="5" xfId="0" applyFont="1" applyBorder="1" applyAlignment="1">
      <alignment horizontal="center" vertical="center"/>
    </xf>
    <xf numFmtId="167" fontId="15" fillId="7" borderId="5" xfId="0" applyNumberFormat="1" applyFont="1" applyFill="1" applyBorder="1" applyAlignment="1">
      <alignment horizontal="center" vertical="center"/>
    </xf>
    <xf numFmtId="164" fontId="15" fillId="7" borderId="5" xfId="0" applyNumberFormat="1" applyFont="1" applyFill="1" applyBorder="1" applyAlignment="1">
      <alignment horizontal="center" vertical="center"/>
    </xf>
    <xf numFmtId="168" fontId="15" fillId="0" borderId="5" xfId="0" applyNumberFormat="1" applyFont="1" applyBorder="1" applyAlignment="1">
      <alignment horizontal="center" vertical="center"/>
    </xf>
    <xf numFmtId="168" fontId="15" fillId="7" borderId="5" xfId="0" applyNumberFormat="1" applyFont="1" applyFill="1" applyBorder="1" applyAlignment="1">
      <alignment horizontal="center" vertical="center"/>
    </xf>
    <xf numFmtId="0" fontId="15" fillId="8" borderId="5" xfId="0" applyFont="1" applyFill="1" applyBorder="1" applyAlignment="1">
      <alignment horizontal="center" vertical="center" wrapText="1"/>
    </xf>
    <xf numFmtId="22" fontId="11" fillId="0" borderId="5" xfId="0" applyNumberFormat="1" applyFont="1" applyBorder="1" applyAlignment="1">
      <alignment horizontal="center" vertical="center"/>
    </xf>
    <xf numFmtId="0" fontId="11" fillId="0" borderId="0" xfId="0" applyFont="1" applyAlignment="1">
      <alignment horizontal="center" vertical="center"/>
    </xf>
    <xf numFmtId="0" fontId="15" fillId="0" borderId="1" xfId="0" applyFont="1" applyBorder="1" applyAlignment="1">
      <alignment horizontal="center" vertical="center"/>
    </xf>
    <xf numFmtId="14" fontId="15" fillId="7" borderId="1" xfId="0" applyNumberFormat="1" applyFont="1" applyFill="1" applyBorder="1" applyAlignment="1">
      <alignment horizontal="center" vertical="center"/>
    </xf>
    <xf numFmtId="20" fontId="15" fillId="0" borderId="1" xfId="0" applyNumberFormat="1" applyFont="1" applyBorder="1" applyAlignment="1">
      <alignment horizontal="center" vertical="center"/>
    </xf>
    <xf numFmtId="166" fontId="15" fillId="7" borderId="1" xfId="0" applyNumberFormat="1" applyFont="1" applyFill="1" applyBorder="1" applyAlignment="1">
      <alignment horizontal="center" vertical="center"/>
    </xf>
    <xf numFmtId="166" fontId="15" fillId="0" borderId="1" xfId="0" applyNumberFormat="1" applyFont="1" applyBorder="1" applyAlignment="1">
      <alignment horizontal="center" vertical="center"/>
    </xf>
    <xf numFmtId="0" fontId="15" fillId="7" borderId="1" xfId="0" applyFont="1" applyFill="1" applyBorder="1" applyAlignment="1">
      <alignment horizontal="center" vertical="center"/>
    </xf>
    <xf numFmtId="167" fontId="15" fillId="7" borderId="1" xfId="0" applyNumberFormat="1" applyFont="1" applyFill="1" applyBorder="1" applyAlignment="1">
      <alignment horizontal="center" vertical="center"/>
    </xf>
    <xf numFmtId="164" fontId="15" fillId="7" borderId="1" xfId="0" applyNumberFormat="1" applyFont="1" applyFill="1" applyBorder="1" applyAlignment="1">
      <alignment horizontal="center" vertical="center"/>
    </xf>
    <xf numFmtId="168" fontId="15" fillId="0" borderId="1" xfId="0" applyNumberFormat="1" applyFont="1" applyBorder="1" applyAlignment="1">
      <alignment horizontal="center" vertical="center"/>
    </xf>
    <xf numFmtId="168" fontId="15" fillId="7" borderId="1" xfId="0" applyNumberFormat="1" applyFont="1" applyFill="1" applyBorder="1" applyAlignment="1">
      <alignment horizontal="center" vertical="center"/>
    </xf>
    <xf numFmtId="0" fontId="15" fillId="8" borderId="1" xfId="0" applyFont="1" applyFill="1" applyBorder="1" applyAlignment="1">
      <alignment horizontal="center" vertical="center" wrapText="1"/>
    </xf>
    <xf numFmtId="0" fontId="11" fillId="4" borderId="0" xfId="0" applyFont="1" applyFill="1" applyAlignment="1">
      <alignment horizontal="center" vertical="center"/>
    </xf>
    <xf numFmtId="0" fontId="11" fillId="4" borderId="0" xfId="0" applyFont="1" applyFill="1" applyAlignment="1">
      <alignment horizontal="center" vertical="center" wrapText="1"/>
    </xf>
    <xf numFmtId="20" fontId="11" fillId="5" borderId="0" xfId="0" applyNumberFormat="1" applyFont="1" applyFill="1" applyAlignment="1">
      <alignment horizontal="center" vertical="center"/>
    </xf>
    <xf numFmtId="0" fontId="15" fillId="5" borderId="1" xfId="0" applyFont="1" applyFill="1" applyBorder="1" applyAlignment="1">
      <alignment horizontal="center" vertical="center"/>
    </xf>
    <xf numFmtId="14" fontId="15" fillId="5" borderId="1" xfId="0" applyNumberFormat="1" applyFont="1" applyFill="1" applyBorder="1" applyAlignment="1">
      <alignment horizontal="center" vertical="center"/>
    </xf>
    <xf numFmtId="0" fontId="16" fillId="5"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20" fontId="11" fillId="0" borderId="1" xfId="0" applyNumberFormat="1" applyFont="1" applyBorder="1" applyAlignment="1">
      <alignment horizontal="center" vertical="center"/>
    </xf>
    <xf numFmtId="0" fontId="11" fillId="8" borderId="1" xfId="0" applyFont="1" applyFill="1" applyBorder="1" applyAlignment="1">
      <alignment horizontal="center" vertical="center" wrapText="1"/>
    </xf>
    <xf numFmtId="14" fontId="11" fillId="5" borderId="1" xfId="0" applyNumberFormat="1" applyFont="1" applyFill="1" applyBorder="1" applyAlignment="1">
      <alignment horizontal="center" vertical="center"/>
    </xf>
    <xf numFmtId="0" fontId="11" fillId="5" borderId="1" xfId="0" applyFont="1" applyFill="1" applyBorder="1" applyAlignment="1">
      <alignment horizontal="center" vertical="center" wrapText="1"/>
    </xf>
    <xf numFmtId="166" fontId="11" fillId="0" borderId="6" xfId="0" applyNumberFormat="1" applyFont="1" applyBorder="1" applyAlignment="1">
      <alignment horizontal="center" vertical="center"/>
    </xf>
    <xf numFmtId="166" fontId="12" fillId="0" borderId="7" xfId="0" applyNumberFormat="1" applyFont="1" applyBorder="1" applyAlignment="1">
      <alignment horizontal="center" vertical="center" wrapText="1"/>
    </xf>
    <xf numFmtId="166" fontId="11" fillId="0" borderId="8" xfId="0" applyNumberFormat="1" applyFont="1" applyBorder="1" applyAlignment="1">
      <alignment horizontal="center" vertical="center"/>
    </xf>
    <xf numFmtId="0" fontId="11" fillId="0" borderId="0" xfId="0" applyFont="1" applyBorder="1" applyAlignment="1">
      <alignment horizontal="center" vertical="center"/>
    </xf>
    <xf numFmtId="0" fontId="12" fillId="0" borderId="0" xfId="0" applyFont="1" applyBorder="1" applyAlignment="1">
      <alignment horizontal="center" vertical="center" wrapText="1"/>
    </xf>
    <xf numFmtId="168" fontId="15" fillId="0" borderId="0" xfId="0" applyNumberFormat="1" applyFont="1" applyBorder="1" applyAlignment="1">
      <alignment horizontal="center" vertical="center"/>
    </xf>
    <xf numFmtId="0" fontId="15" fillId="0" borderId="0" xfId="0" applyFont="1" applyBorder="1" applyAlignment="1">
      <alignment horizontal="center" vertical="center"/>
    </xf>
    <xf numFmtId="166" fontId="15" fillId="7" borderId="0" xfId="0" applyNumberFormat="1" applyFont="1" applyFill="1" applyBorder="1" applyAlignment="1">
      <alignment horizontal="center" vertical="center"/>
    </xf>
    <xf numFmtId="166" fontId="11" fillId="0" borderId="0" xfId="0" applyNumberFormat="1" applyFont="1" applyFill="1" applyBorder="1" applyAlignment="1">
      <alignment horizontal="center" vertical="center"/>
    </xf>
    <xf numFmtId="166" fontId="12" fillId="0" borderId="0" xfId="0" applyNumberFormat="1" applyFont="1" applyFill="1" applyBorder="1" applyAlignment="1">
      <alignment horizontal="center" vertical="center" wrapText="1"/>
    </xf>
    <xf numFmtId="20" fontId="15" fillId="0" borderId="8" xfId="0" applyNumberFormat="1" applyFont="1" applyBorder="1" applyAlignment="1">
      <alignment horizontal="center" vertical="center"/>
    </xf>
    <xf numFmtId="0" fontId="13" fillId="0" borderId="7" xfId="0" applyFont="1" applyBorder="1" applyAlignment="1">
      <alignment horizontal="center" vertical="center" wrapText="1"/>
    </xf>
    <xf numFmtId="166" fontId="15" fillId="0" borderId="0" xfId="0" applyNumberFormat="1" applyFont="1" applyBorder="1" applyAlignment="1">
      <alignment horizontal="center" vertical="center"/>
    </xf>
    <xf numFmtId="0" fontId="15" fillId="7" borderId="0" xfId="0" applyFont="1" applyFill="1" applyBorder="1" applyAlignment="1">
      <alignment horizontal="center" vertical="center"/>
    </xf>
    <xf numFmtId="167" fontId="15" fillId="7" borderId="0" xfId="0" applyNumberFormat="1" applyFont="1" applyFill="1" applyBorder="1" applyAlignment="1">
      <alignment horizontal="center" vertical="center"/>
    </xf>
    <xf numFmtId="164" fontId="15" fillId="7" borderId="0" xfId="0" applyNumberFormat="1" applyFont="1" applyFill="1" applyBorder="1" applyAlignment="1">
      <alignment horizontal="center" vertical="center"/>
    </xf>
    <xf numFmtId="168" fontId="15" fillId="7" borderId="0" xfId="0" applyNumberFormat="1" applyFont="1" applyFill="1" applyBorder="1" applyAlignment="1">
      <alignment horizontal="center" vertical="center"/>
    </xf>
    <xf numFmtId="166" fontId="13" fillId="0" borderId="0" xfId="0" applyNumberFormat="1" applyFont="1" applyBorder="1" applyAlignment="1">
      <alignment horizontal="center" vertical="center" wrapText="1"/>
    </xf>
    <xf numFmtId="0" fontId="13" fillId="7" borderId="0" xfId="0" applyFont="1" applyFill="1" applyBorder="1" applyAlignment="1">
      <alignment horizontal="center" vertical="center" wrapText="1"/>
    </xf>
    <xf numFmtId="0" fontId="13" fillId="0" borderId="0" xfId="0" applyFont="1" applyBorder="1" applyAlignment="1">
      <alignment horizontal="center" vertical="center" wrapText="1"/>
    </xf>
    <xf numFmtId="167" fontId="13" fillId="7" borderId="0" xfId="0" applyNumberFormat="1" applyFont="1" applyFill="1" applyBorder="1" applyAlignment="1">
      <alignment horizontal="center" vertical="center" wrapText="1"/>
    </xf>
    <xf numFmtId="164" fontId="13" fillId="7" borderId="0" xfId="0" applyNumberFormat="1" applyFont="1" applyFill="1" applyBorder="1" applyAlignment="1">
      <alignment horizontal="center" vertical="center" wrapText="1"/>
    </xf>
    <xf numFmtId="168" fontId="13" fillId="0" borderId="0" xfId="0" applyNumberFormat="1" applyFont="1" applyBorder="1" applyAlignment="1">
      <alignment horizontal="center" vertical="center" wrapText="1"/>
    </xf>
    <xf numFmtId="168" fontId="13" fillId="7" borderId="0" xfId="0" applyNumberFormat="1" applyFont="1" applyFill="1" applyBorder="1" applyAlignment="1">
      <alignment horizontal="center" vertical="center" wrapText="1"/>
    </xf>
    <xf numFmtId="2" fontId="0" fillId="0" borderId="0" xfId="0" applyNumberFormat="1"/>
    <xf numFmtId="1" fontId="0" fillId="0" borderId="0" xfId="0" applyNumberFormat="1"/>
    <xf numFmtId="0" fontId="0" fillId="6" borderId="9" xfId="0" applyFill="1" applyBorder="1"/>
    <xf numFmtId="2" fontId="0" fillId="0" borderId="0" xfId="0" applyNumberFormat="1" applyFill="1"/>
    <xf numFmtId="0" fontId="17" fillId="3" borderId="0" xfId="0" applyFont="1" applyFill="1" applyAlignment="1">
      <alignment horizontal="center" vertical="center" wrapText="1"/>
    </xf>
    <xf numFmtId="0" fontId="17" fillId="10" borderId="0" xfId="0" applyFont="1" applyFill="1" applyAlignment="1">
      <alignment horizontal="center" vertical="center" wrapText="1"/>
    </xf>
    <xf numFmtId="0" fontId="0" fillId="0" borderId="0" xfId="0" applyAlignment="1">
      <alignment horizontal="center" vertical="center"/>
    </xf>
    <xf numFmtId="2" fontId="0" fillId="0" borderId="0" xfId="0" applyNumberFormat="1" applyAlignment="1">
      <alignment horizontal="center" vertical="center"/>
    </xf>
    <xf numFmtId="2" fontId="0" fillId="11" borderId="0" xfId="0" applyNumberFormat="1" applyFill="1" applyAlignment="1">
      <alignment horizontal="center" vertical="center"/>
    </xf>
    <xf numFmtId="166" fontId="11" fillId="5" borderId="6" xfId="0" applyNumberFormat="1" applyFont="1" applyFill="1" applyBorder="1" applyAlignment="1">
      <alignment horizontal="center" vertical="center"/>
    </xf>
    <xf numFmtId="0" fontId="0" fillId="0" borderId="0" xfId="0" applyFill="1"/>
    <xf numFmtId="20" fontId="11" fillId="5" borderId="1" xfId="0" applyNumberFormat="1" applyFont="1" applyFill="1" applyBorder="1" applyAlignment="1">
      <alignment horizontal="center" vertical="center"/>
    </xf>
    <xf numFmtId="166" fontId="11" fillId="5" borderId="1" xfId="0" applyNumberFormat="1" applyFont="1" applyFill="1" applyBorder="1" applyAlignment="1">
      <alignment horizontal="center" vertical="center"/>
    </xf>
    <xf numFmtId="0" fontId="11" fillId="5" borderId="1" xfId="0" applyFont="1" applyFill="1" applyBorder="1" applyAlignment="1">
      <alignment horizontal="center" vertical="center"/>
    </xf>
    <xf numFmtId="167" fontId="11" fillId="5" borderId="1" xfId="0" applyNumberFormat="1" applyFont="1" applyFill="1" applyBorder="1" applyAlignment="1">
      <alignment horizontal="center" vertical="center"/>
    </xf>
    <xf numFmtId="164" fontId="11" fillId="5" borderId="1" xfId="0" applyNumberFormat="1" applyFont="1" applyFill="1" applyBorder="1" applyAlignment="1">
      <alignment horizontal="center" vertical="center"/>
    </xf>
    <xf numFmtId="168" fontId="11" fillId="5" borderId="1" xfId="0" applyNumberFormat="1" applyFont="1" applyFill="1" applyBorder="1" applyAlignment="1">
      <alignment horizontal="center" vertical="center"/>
    </xf>
    <xf numFmtId="22" fontId="11" fillId="5" borderId="1" xfId="0" applyNumberFormat="1" applyFont="1" applyFill="1" applyBorder="1" applyAlignment="1">
      <alignment horizontal="center" vertical="center"/>
    </xf>
    <xf numFmtId="20" fontId="15" fillId="5" borderId="1" xfId="0" applyNumberFormat="1" applyFont="1" applyFill="1" applyBorder="1" applyAlignment="1">
      <alignment horizontal="center" vertical="center"/>
    </xf>
    <xf numFmtId="166" fontId="15" fillId="5" borderId="1" xfId="0" applyNumberFormat="1" applyFont="1" applyFill="1" applyBorder="1" applyAlignment="1">
      <alignment horizontal="center" vertical="center"/>
    </xf>
    <xf numFmtId="167" fontId="15" fillId="5" borderId="1" xfId="0" applyNumberFormat="1" applyFont="1" applyFill="1" applyBorder="1" applyAlignment="1">
      <alignment horizontal="center" vertical="center"/>
    </xf>
    <xf numFmtId="164" fontId="15" fillId="5" borderId="1" xfId="0" applyNumberFormat="1" applyFont="1" applyFill="1" applyBorder="1" applyAlignment="1">
      <alignment horizontal="center" vertical="center"/>
    </xf>
    <xf numFmtId="168" fontId="15" fillId="5" borderId="1" xfId="0" applyNumberFormat="1" applyFont="1" applyFill="1" applyBorder="1" applyAlignment="1">
      <alignment horizontal="center" vertical="center"/>
    </xf>
    <xf numFmtId="168" fontId="16" fillId="5" borderId="1" xfId="0" applyNumberFormat="1" applyFont="1" applyFill="1" applyBorder="1" applyAlignment="1">
      <alignment horizontal="center" vertical="center"/>
    </xf>
    <xf numFmtId="0" fontId="15" fillId="5" borderId="1" xfId="0" applyFont="1" applyFill="1" applyBorder="1" applyAlignment="1">
      <alignment horizontal="center" vertical="center" wrapText="1"/>
    </xf>
    <xf numFmtId="22" fontId="11" fillId="5" borderId="5" xfId="0" applyNumberFormat="1" applyFont="1" applyFill="1" applyBorder="1" applyAlignment="1">
      <alignment horizontal="center" vertical="center"/>
    </xf>
    <xf numFmtId="0" fontId="0" fillId="0" borderId="0" xfId="0" applyFill="1" applyAlignment="1">
      <alignment horizontal="center" vertical="center"/>
    </xf>
    <xf numFmtId="166" fontId="13" fillId="7" borderId="0" xfId="0" applyNumberFormat="1" applyFont="1" applyFill="1" applyBorder="1" applyAlignment="1">
      <alignment horizontal="center" vertical="center" wrapText="1" readingOrder="1"/>
    </xf>
    <xf numFmtId="0" fontId="11" fillId="0" borderId="0" xfId="0" applyFont="1" applyFill="1" applyAlignment="1">
      <alignment horizontal="center" vertical="center"/>
    </xf>
    <xf numFmtId="0" fontId="11" fillId="0" borderId="0" xfId="0" applyFont="1" applyFill="1" applyBorder="1" applyAlignment="1">
      <alignment horizontal="center" vertical="center"/>
    </xf>
    <xf numFmtId="0" fontId="15" fillId="0" borderId="0" xfId="0" applyFont="1" applyFill="1" applyBorder="1" applyAlignment="1">
      <alignment horizontal="center" vertical="center"/>
    </xf>
    <xf numFmtId="14" fontId="11" fillId="0" borderId="0" xfId="0" applyNumberFormat="1" applyFont="1" applyFill="1" applyBorder="1" applyAlignment="1">
      <alignment horizontal="center" vertical="center"/>
    </xf>
    <xf numFmtId="167" fontId="11"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168" fontId="11" fillId="0" borderId="0" xfId="0" applyNumberFormat="1" applyFont="1" applyFill="1" applyBorder="1" applyAlignment="1">
      <alignment horizontal="center" vertical="center"/>
    </xf>
    <xf numFmtId="0" fontId="11" fillId="0" borderId="0" xfId="0" applyFont="1" applyFill="1" applyBorder="1" applyAlignment="1">
      <alignment horizontal="center" vertical="center" wrapText="1"/>
    </xf>
    <xf numFmtId="22" fontId="11" fillId="0" borderId="0" xfId="0" applyNumberFormat="1" applyFont="1" applyFill="1" applyBorder="1" applyAlignment="1">
      <alignment horizontal="center" vertical="center"/>
    </xf>
    <xf numFmtId="0" fontId="17" fillId="0" borderId="0" xfId="0" applyFont="1" applyAlignment="1">
      <alignment horizontal="center" vertical="center" wrapText="1"/>
    </xf>
    <xf numFmtId="0" fontId="17" fillId="13" borderId="0" xfId="0" applyFont="1" applyFill="1" applyAlignment="1">
      <alignment horizontal="center" vertical="center" wrapText="1"/>
    </xf>
    <xf numFmtId="0" fontId="20" fillId="0" borderId="0" xfId="0" applyFont="1" applyAlignment="1">
      <alignment vertical="center"/>
    </xf>
    <xf numFmtId="0" fontId="18" fillId="0" borderId="0" xfId="0" applyFont="1" applyAlignment="1">
      <alignment horizontal="left" vertical="center"/>
    </xf>
    <xf numFmtId="0" fontId="18" fillId="0" borderId="0" xfId="0" applyFont="1" applyFill="1" applyBorder="1" applyAlignment="1">
      <alignment horizontal="left" vertical="center"/>
    </xf>
    <xf numFmtId="0" fontId="20" fillId="0" borderId="0" xfId="0" applyFont="1" applyFill="1" applyBorder="1" applyAlignment="1">
      <alignment vertical="center"/>
    </xf>
    <xf numFmtId="0" fontId="0" fillId="0" borderId="0" xfId="0" applyFill="1" applyBorder="1"/>
    <xf numFmtId="0" fontId="17" fillId="6" borderId="0" xfId="0" applyFont="1" applyFill="1" applyAlignment="1">
      <alignment horizontal="center" vertical="center" wrapText="1"/>
    </xf>
    <xf numFmtId="0" fontId="17" fillId="9" borderId="0" xfId="0" applyFont="1" applyFill="1" applyAlignment="1">
      <alignment horizontal="center" vertical="center" wrapText="1"/>
    </xf>
    <xf numFmtId="0" fontId="15" fillId="13" borderId="10" xfId="0" applyFont="1" applyFill="1" applyBorder="1" applyAlignment="1">
      <alignment horizontal="center" vertical="center"/>
    </xf>
    <xf numFmtId="14" fontId="11" fillId="13" borderId="10" xfId="0" applyNumberFormat="1" applyFont="1" applyFill="1" applyBorder="1" applyAlignment="1">
      <alignment horizontal="center" vertical="center"/>
    </xf>
    <xf numFmtId="20" fontId="11" fillId="13" borderId="10" xfId="0" applyNumberFormat="1" applyFont="1" applyFill="1" applyBorder="1" applyAlignment="1">
      <alignment horizontal="center" vertical="center"/>
    </xf>
    <xf numFmtId="166" fontId="11" fillId="13" borderId="10" xfId="0" applyNumberFormat="1" applyFont="1" applyFill="1" applyBorder="1" applyAlignment="1">
      <alignment horizontal="center" vertical="center"/>
    </xf>
    <xf numFmtId="0" fontId="11" fillId="13" borderId="10" xfId="0" applyFont="1" applyFill="1" applyBorder="1" applyAlignment="1">
      <alignment horizontal="center" vertical="center"/>
    </xf>
    <xf numFmtId="167" fontId="11" fillId="13" borderId="10" xfId="0" applyNumberFormat="1" applyFont="1" applyFill="1" applyBorder="1" applyAlignment="1">
      <alignment horizontal="center" vertical="center"/>
    </xf>
    <xf numFmtId="164" fontId="11" fillId="13" borderId="10" xfId="0" applyNumberFormat="1" applyFont="1" applyFill="1" applyBorder="1" applyAlignment="1">
      <alignment horizontal="center" vertical="center"/>
    </xf>
    <xf numFmtId="168" fontId="11" fillId="13" borderId="10" xfId="0" applyNumberFormat="1" applyFont="1" applyFill="1" applyBorder="1" applyAlignment="1">
      <alignment horizontal="center" vertical="center"/>
    </xf>
    <xf numFmtId="0" fontId="11" fillId="13" borderId="10" xfId="0" applyFont="1" applyFill="1" applyBorder="1" applyAlignment="1">
      <alignment horizontal="center" vertical="center" wrapText="1"/>
    </xf>
    <xf numFmtId="22" fontId="11" fillId="13" borderId="10" xfId="0" applyNumberFormat="1" applyFont="1" applyFill="1" applyBorder="1" applyAlignment="1">
      <alignment horizontal="center" vertical="center"/>
    </xf>
    <xf numFmtId="166" fontId="11" fillId="13" borderId="11" xfId="0" applyNumberFormat="1" applyFont="1" applyFill="1" applyBorder="1" applyAlignment="1">
      <alignment horizontal="center" vertical="center"/>
    </xf>
    <xf numFmtId="0" fontId="18" fillId="6" borderId="0" xfId="0" applyFont="1" applyFill="1" applyAlignment="1">
      <alignment horizontal="left" vertical="center"/>
    </xf>
    <xf numFmtId="0" fontId="18" fillId="3" borderId="0" xfId="0" applyFont="1" applyFill="1" applyAlignment="1">
      <alignment horizontal="left" vertical="center"/>
    </xf>
    <xf numFmtId="0" fontId="18" fillId="9" borderId="0" xfId="0" applyFont="1" applyFill="1" applyAlignment="1">
      <alignment horizontal="left" vertical="center"/>
    </xf>
    <xf numFmtId="0" fontId="18" fillId="12" borderId="0" xfId="0" applyFont="1" applyFill="1" applyAlignment="1">
      <alignment horizontal="left" vertical="center"/>
    </xf>
    <xf numFmtId="0" fontId="20" fillId="0" borderId="0" xfId="0" applyFont="1"/>
    <xf numFmtId="0" fontId="20" fillId="6" borderId="0" xfId="0" applyFont="1" applyFill="1"/>
    <xf numFmtId="0" fontId="20" fillId="3" borderId="0" xfId="0" applyFont="1" applyFill="1"/>
    <xf numFmtId="0" fontId="20" fillId="9" borderId="0" xfId="0" applyFont="1" applyFill="1"/>
    <xf numFmtId="0" fontId="20" fillId="12" borderId="0" xfId="0" applyFont="1" applyFill="1"/>
    <xf numFmtId="2" fontId="0" fillId="13" borderId="0" xfId="0" applyNumberFormat="1" applyFill="1"/>
    <xf numFmtId="0" fontId="20" fillId="9" borderId="0" xfId="0" applyFont="1" applyFill="1" applyAlignment="1">
      <alignment horizontal="center" vertical="center"/>
    </xf>
    <xf numFmtId="0" fontId="0" fillId="7" borderId="0" xfId="0" applyFill="1"/>
    <xf numFmtId="2" fontId="0" fillId="7" borderId="0" xfId="0" applyNumberFormat="1" applyFill="1"/>
    <xf numFmtId="0" fontId="20" fillId="15" borderId="0" xfId="0" applyFont="1" applyFill="1"/>
    <xf numFmtId="0" fontId="18" fillId="15" borderId="0" xfId="0" applyFont="1" applyFill="1" applyAlignment="1">
      <alignment horizontal="left" vertical="center"/>
    </xf>
    <xf numFmtId="9" fontId="0" fillId="0" borderId="0" xfId="1" applyFont="1"/>
    <xf numFmtId="2" fontId="0" fillId="2" borderId="0" xfId="0" applyNumberFormat="1" applyFill="1"/>
    <xf numFmtId="0" fontId="0" fillId="2" borderId="0" xfId="0" applyFill="1"/>
    <xf numFmtId="9" fontId="0" fillId="2" borderId="0" xfId="1" applyFont="1" applyFill="1"/>
    <xf numFmtId="0" fontId="18" fillId="0" borderId="0" xfId="0" applyFont="1" applyBorder="1" applyAlignment="1">
      <alignment vertical="center"/>
    </xf>
    <xf numFmtId="0" fontId="18" fillId="14" borderId="0" xfId="0" applyFont="1" applyFill="1" applyBorder="1" applyAlignment="1">
      <alignment vertical="center"/>
    </xf>
    <xf numFmtId="0" fontId="17" fillId="0" borderId="0" xfId="0" applyFont="1" applyBorder="1" applyAlignment="1">
      <alignment horizontal="center" vertical="center"/>
    </xf>
    <xf numFmtId="0" fontId="17" fillId="0" borderId="0" xfId="0" applyFont="1" applyBorder="1" applyAlignment="1">
      <alignment horizontal="center" vertical="center" wrapText="1"/>
    </xf>
    <xf numFmtId="0" fontId="17" fillId="13" borderId="0" xfId="0" applyFont="1" applyFill="1" applyBorder="1" applyAlignment="1">
      <alignment horizontal="center" vertical="center" wrapText="1"/>
    </xf>
    <xf numFmtId="0" fontId="17" fillId="15" borderId="0" xfId="0" applyFont="1" applyFill="1" applyBorder="1" applyAlignment="1">
      <alignment horizontal="left" vertical="center"/>
    </xf>
    <xf numFmtId="0" fontId="17" fillId="3" borderId="0" xfId="0" applyFont="1" applyFill="1" applyBorder="1" applyAlignment="1">
      <alignment horizontal="center" vertical="center"/>
    </xf>
    <xf numFmtId="0" fontId="17" fillId="9" borderId="0" xfId="0" applyFont="1" applyFill="1" applyBorder="1" applyAlignment="1">
      <alignment horizontal="center" vertical="center"/>
    </xf>
    <xf numFmtId="0" fontId="17" fillId="10" borderId="0" xfId="0" applyFont="1" applyFill="1" applyBorder="1" applyAlignment="1">
      <alignment horizontal="center" vertical="center"/>
    </xf>
    <xf numFmtId="0" fontId="0" fillId="0" borderId="0" xfId="0" applyBorder="1" applyAlignment="1">
      <alignment horizontal="center" vertical="center"/>
    </xf>
    <xf numFmtId="2" fontId="0" fillId="0" borderId="0" xfId="0" applyNumberFormat="1" applyBorder="1" applyAlignment="1">
      <alignment horizontal="right" vertical="center"/>
    </xf>
    <xf numFmtId="0" fontId="0" fillId="0" borderId="0" xfId="0" applyBorder="1" applyAlignment="1">
      <alignment horizontal="right" vertical="center"/>
    </xf>
    <xf numFmtId="0" fontId="0" fillId="0" borderId="0" xfId="0" applyFill="1" applyBorder="1" applyAlignment="1">
      <alignment horizontal="right" vertical="center"/>
    </xf>
    <xf numFmtId="0" fontId="0" fillId="3" borderId="0" xfId="0" applyFill="1"/>
    <xf numFmtId="9" fontId="0" fillId="3" borderId="0" xfId="1" applyFont="1" applyFill="1"/>
    <xf numFmtId="2" fontId="0" fillId="3" borderId="0" xfId="0" applyNumberFormat="1" applyFill="1"/>
    <xf numFmtId="0" fontId="0" fillId="0" borderId="0" xfId="0" applyAlignment="1">
      <alignment vertical="center"/>
    </xf>
    <xf numFmtId="0" fontId="0" fillId="0" borderId="0" xfId="0" applyAlignment="1">
      <alignment horizontal="left" vertical="center"/>
    </xf>
    <xf numFmtId="14" fontId="0" fillId="0" borderId="0" xfId="0" applyNumberFormat="1" applyAlignment="1">
      <alignment vertical="center"/>
    </xf>
    <xf numFmtId="0" fontId="0" fillId="0" borderId="0" xfId="0" applyAlignment="1">
      <alignment horizontal="left" vertical="center" wrapText="1"/>
    </xf>
    <xf numFmtId="0" fontId="0" fillId="11" borderId="1" xfId="0" applyFill="1" applyBorder="1"/>
    <xf numFmtId="169" fontId="0" fillId="11" borderId="1" xfId="0" applyNumberFormat="1" applyFill="1" applyBorder="1"/>
    <xf numFmtId="0" fontId="0" fillId="6" borderId="0" xfId="0" applyFill="1"/>
    <xf numFmtId="0" fontId="0" fillId="15" borderId="0" xfId="0" applyFill="1" applyBorder="1"/>
    <xf numFmtId="2" fontId="0" fillId="15" borderId="0" xfId="0" applyNumberFormat="1" applyFill="1" applyBorder="1" applyAlignment="1">
      <alignment horizontal="right" vertical="center"/>
    </xf>
    <xf numFmtId="2" fontId="0" fillId="6" borderId="0" xfId="0" applyNumberFormat="1" applyFill="1" applyBorder="1" applyAlignment="1">
      <alignment horizontal="right" vertical="center"/>
    </xf>
    <xf numFmtId="49" fontId="0" fillId="4" borderId="1" xfId="0" quotePrefix="1" applyNumberFormat="1" applyFill="1" applyBorder="1" applyAlignment="1">
      <alignment horizontal="center" vertical="center" wrapText="1"/>
    </xf>
    <xf numFmtId="2" fontId="0" fillId="3" borderId="0" xfId="0" applyNumberFormat="1" applyFill="1" applyBorder="1" applyAlignment="1">
      <alignment horizontal="right" vertical="center"/>
    </xf>
    <xf numFmtId="0" fontId="20" fillId="3" borderId="0" xfId="0" applyFont="1" applyFill="1" applyAlignment="1">
      <alignment vertical="center"/>
    </xf>
    <xf numFmtId="0" fontId="18" fillId="0" borderId="0" xfId="0" applyFont="1" applyFill="1" applyAlignment="1">
      <alignment horizontal="left" vertical="center"/>
    </xf>
    <xf numFmtId="0" fontId="20" fillId="0" borderId="0" xfId="0" applyFont="1" applyFill="1"/>
    <xf numFmtId="2" fontId="0" fillId="18" borderId="0" xfId="0" applyNumberFormat="1" applyFill="1"/>
    <xf numFmtId="2" fontId="0" fillId="19" borderId="0" xfId="0" applyNumberFormat="1" applyFill="1"/>
    <xf numFmtId="2" fontId="0" fillId="20" borderId="0" xfId="0" applyNumberFormat="1" applyFill="1"/>
    <xf numFmtId="2" fontId="0" fillId="12" borderId="0" xfId="0" applyNumberFormat="1" applyFill="1"/>
    <xf numFmtId="2" fontId="0" fillId="19" borderId="12" xfId="0" applyNumberFormat="1" applyFill="1" applyBorder="1"/>
    <xf numFmtId="2" fontId="0" fillId="0" borderId="12" xfId="0" applyNumberFormat="1" applyBorder="1"/>
    <xf numFmtId="0" fontId="0" fillId="0" borderId="12" xfId="0" applyBorder="1"/>
    <xf numFmtId="2" fontId="0" fillId="18" borderId="12" xfId="0" applyNumberFormat="1" applyFill="1" applyBorder="1"/>
    <xf numFmtId="2" fontId="0" fillId="13" borderId="12" xfId="0" applyNumberFormat="1" applyFill="1" applyBorder="1"/>
    <xf numFmtId="2" fontId="0" fillId="7" borderId="12" xfId="0" applyNumberFormat="1" applyFill="1" applyBorder="1"/>
    <xf numFmtId="2" fontId="0" fillId="17" borderId="0" xfId="0" applyNumberFormat="1" applyFill="1"/>
    <xf numFmtId="2" fontId="0" fillId="16" borderId="0" xfId="0" applyNumberFormat="1" applyFill="1"/>
    <xf numFmtId="2" fontId="0" fillId="21" borderId="0" xfId="0" applyNumberFormat="1" applyFill="1"/>
    <xf numFmtId="165" fontId="0" fillId="0" borderId="0" xfId="0" applyNumberFormat="1"/>
    <xf numFmtId="165" fontId="0" fillId="0" borderId="12" xfId="0" applyNumberFormat="1" applyBorder="1"/>
    <xf numFmtId="0" fontId="0" fillId="0" borderId="12" xfId="0" applyFill="1" applyBorder="1" applyAlignment="1">
      <alignment horizontal="center" vertical="center"/>
    </xf>
    <xf numFmtId="0" fontId="0" fillId="0" borderId="12" xfId="0" applyBorder="1" applyAlignment="1">
      <alignment horizontal="center" vertical="center"/>
    </xf>
    <xf numFmtId="2" fontId="0" fillId="0" borderId="12" xfId="0" applyNumberFormat="1" applyBorder="1" applyAlignment="1">
      <alignment horizontal="center" vertical="center"/>
    </xf>
    <xf numFmtId="2" fontId="0" fillId="0" borderId="12" xfId="0" applyNumberFormat="1" applyFill="1" applyBorder="1"/>
    <xf numFmtId="0" fontId="0" fillId="7" borderId="12" xfId="0" applyFill="1" applyBorder="1"/>
    <xf numFmtId="0" fontId="0" fillId="0" borderId="12" xfId="0" applyFill="1" applyBorder="1"/>
    <xf numFmtId="165" fontId="0" fillId="0" borderId="0" xfId="0" applyNumberFormat="1" applyFill="1"/>
    <xf numFmtId="0" fontId="22" fillId="0" borderId="0" xfId="2" applyFont="1" applyFill="1"/>
    <xf numFmtId="2" fontId="0" fillId="0" borderId="12" xfId="0" applyNumberFormat="1" applyBorder="1" applyAlignment="1">
      <alignment horizontal="right" vertical="center"/>
    </xf>
    <xf numFmtId="0" fontId="0" fillId="0" borderId="12" xfId="0" applyFill="1" applyBorder="1" applyAlignment="1">
      <alignment horizontal="right" vertical="center"/>
    </xf>
    <xf numFmtId="0" fontId="0" fillId="0" borderId="12" xfId="0" applyBorder="1" applyAlignment="1">
      <alignment horizontal="right" vertical="center"/>
    </xf>
    <xf numFmtId="2" fontId="0" fillId="3" borderId="12" xfId="0" applyNumberFormat="1" applyFill="1" applyBorder="1" applyAlignment="1">
      <alignment horizontal="right" vertical="center"/>
    </xf>
    <xf numFmtId="2" fontId="0" fillId="15" borderId="12" xfId="0" applyNumberFormat="1" applyFill="1" applyBorder="1" applyAlignment="1">
      <alignment horizontal="right" vertical="center"/>
    </xf>
    <xf numFmtId="2" fontId="0" fillId="6" borderId="12" xfId="0" applyNumberFormat="1" applyFill="1" applyBorder="1" applyAlignment="1">
      <alignment horizontal="right" vertical="center"/>
    </xf>
    <xf numFmtId="0" fontId="0" fillId="6" borderId="13" xfId="0" applyFill="1" applyBorder="1"/>
    <xf numFmtId="1" fontId="0" fillId="0" borderId="12" xfId="0" applyNumberFormat="1" applyBorder="1"/>
    <xf numFmtId="0" fontId="0" fillId="6" borderId="14" xfId="0" applyFill="1" applyBorder="1"/>
    <xf numFmtId="0" fontId="0" fillId="3" borderId="12" xfId="0" applyFill="1" applyBorder="1"/>
    <xf numFmtId="165" fontId="0" fillId="2" borderId="0" xfId="0" applyNumberFormat="1" applyFill="1"/>
    <xf numFmtId="9" fontId="0" fillId="0" borderId="0" xfId="0" applyNumberFormat="1"/>
    <xf numFmtId="0" fontId="0" fillId="0" borderId="11" xfId="0" applyFill="1" applyBorder="1"/>
    <xf numFmtId="0" fontId="0" fillId="0" borderId="15" xfId="0" applyFill="1" applyBorder="1"/>
    <xf numFmtId="2" fontId="0" fillId="0" borderId="16" xfId="0" applyNumberFormat="1" applyFill="1" applyBorder="1"/>
    <xf numFmtId="0" fontId="0" fillId="0" borderId="17" xfId="0" applyFill="1" applyBorder="1"/>
    <xf numFmtId="2" fontId="0" fillId="0" borderId="18" xfId="0" applyNumberFormat="1" applyFill="1" applyBorder="1"/>
    <xf numFmtId="9" fontId="0" fillId="0" borderId="0" xfId="1" applyFont="1" applyFill="1" applyBorder="1"/>
    <xf numFmtId="0" fontId="0" fillId="0" borderId="8" xfId="0" applyFill="1" applyBorder="1"/>
    <xf numFmtId="2" fontId="0" fillId="0" borderId="19" xfId="0" applyNumberFormat="1" applyFill="1" applyBorder="1"/>
    <xf numFmtId="0" fontId="6" fillId="0" borderId="0" xfId="0" applyFont="1" applyAlignment="1">
      <alignment horizontal="center" vertical="center"/>
    </xf>
    <xf numFmtId="0" fontId="7" fillId="2" borderId="0" xfId="0" applyFont="1" applyFill="1" applyAlignment="1">
      <alignment horizontal="center" vertical="center" wrapText="1"/>
    </xf>
    <xf numFmtId="0" fontId="0" fillId="0" borderId="0" xfId="0" applyAlignment="1">
      <alignment horizontal="center"/>
    </xf>
    <xf numFmtId="2" fontId="0" fillId="0" borderId="0" xfId="0" applyNumberFormat="1" applyFill="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a:solidFill>
                  <a:sysClr val="windowText" lastClr="000000"/>
                </a:solidFill>
                <a:latin typeface="Times New Roman" panose="02020603050405020304" pitchFamily="18" charset="0"/>
                <a:cs typeface="Times New Roman" panose="02020603050405020304" pitchFamily="18" charset="0"/>
              </a:rPr>
              <a:t>KOH consumption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HRT!$A$8:$A$93</c:f>
              <c:numCache>
                <c:formatCode>0.00</c:formatCode>
                <c:ptCount val="86"/>
                <c:pt idx="0">
                  <c:v>6.7687500000029104</c:v>
                </c:pt>
                <c:pt idx="1">
                  <c:v>7.7881944444452529</c:v>
                </c:pt>
                <c:pt idx="2">
                  <c:v>10.788194444445253</c:v>
                </c:pt>
                <c:pt idx="3">
                  <c:v>12.790972222224809</c:v>
                </c:pt>
                <c:pt idx="4">
                  <c:v>14.790277777778101</c:v>
                </c:pt>
                <c:pt idx="5">
                  <c:v>17.790277777778101</c:v>
                </c:pt>
                <c:pt idx="6">
                  <c:v>19.788194444445253</c:v>
                </c:pt>
                <c:pt idx="7">
                  <c:v>21.788194444445253</c:v>
                </c:pt>
                <c:pt idx="8">
                  <c:v>24.75</c:v>
                </c:pt>
                <c:pt idx="9">
                  <c:v>26.75</c:v>
                </c:pt>
                <c:pt idx="10">
                  <c:v>28.75</c:v>
                </c:pt>
                <c:pt idx="11">
                  <c:v>31.75</c:v>
                </c:pt>
                <c:pt idx="12">
                  <c:v>33.761111111110949</c:v>
                </c:pt>
                <c:pt idx="13">
                  <c:v>35.759722222224809</c:v>
                </c:pt>
                <c:pt idx="14">
                  <c:v>38.75</c:v>
                </c:pt>
                <c:pt idx="15">
                  <c:v>40.759722222224809</c:v>
                </c:pt>
                <c:pt idx="16">
                  <c:v>42.725694444445253</c:v>
                </c:pt>
                <c:pt idx="17">
                  <c:v>42.944444444445253</c:v>
                </c:pt>
                <c:pt idx="18">
                  <c:v>45.740277777782467</c:v>
                </c:pt>
                <c:pt idx="19">
                  <c:v>47.751388888893416</c:v>
                </c:pt>
                <c:pt idx="20">
                  <c:v>48.746527777781012</c:v>
                </c:pt>
                <c:pt idx="21">
                  <c:v>49.74861111111386</c:v>
                </c:pt>
                <c:pt idx="22">
                  <c:v>52.738194444449618</c:v>
                </c:pt>
                <c:pt idx="23">
                  <c:v>54.743055555554747</c:v>
                </c:pt>
                <c:pt idx="24">
                  <c:v>56.75</c:v>
                </c:pt>
                <c:pt idx="25">
                  <c:v>59.74722222222772</c:v>
                </c:pt>
                <c:pt idx="26">
                  <c:v>61.711111111115315</c:v>
                </c:pt>
                <c:pt idx="27">
                  <c:v>63.732638888890506</c:v>
                </c:pt>
                <c:pt idx="28">
                  <c:v>66.740972222221899</c:v>
                </c:pt>
                <c:pt idx="29">
                  <c:v>68.715277777781012</c:v>
                </c:pt>
                <c:pt idx="30">
                  <c:v>70.715277777781012</c:v>
                </c:pt>
                <c:pt idx="31">
                  <c:v>73.722916666665697</c:v>
                </c:pt>
                <c:pt idx="32">
                  <c:v>75.719444444446708</c:v>
                </c:pt>
                <c:pt idx="33">
                  <c:v>77.722222222226264</c:v>
                </c:pt>
                <c:pt idx="34">
                  <c:v>80.712500000001455</c:v>
                </c:pt>
                <c:pt idx="35">
                  <c:v>82.766666666670062</c:v>
                </c:pt>
                <c:pt idx="36">
                  <c:v>84.759722222224809</c:v>
                </c:pt>
                <c:pt idx="37">
                  <c:v>87.712500000001455</c:v>
                </c:pt>
                <c:pt idx="38">
                  <c:v>89.76736111111677</c:v>
                </c:pt>
                <c:pt idx="39">
                  <c:v>91.739583333335759</c:v>
                </c:pt>
                <c:pt idx="40">
                  <c:v>94.725694444445253</c:v>
                </c:pt>
                <c:pt idx="41">
                  <c:v>96.754166666665697</c:v>
                </c:pt>
                <c:pt idx="42">
                  <c:v>98.71736111111386</c:v>
                </c:pt>
                <c:pt idx="43">
                  <c:v>101.71527777778101</c:v>
                </c:pt>
                <c:pt idx="44">
                  <c:v>103.72847222222481</c:v>
                </c:pt>
                <c:pt idx="45">
                  <c:v>105.74375000000146</c:v>
                </c:pt>
                <c:pt idx="46">
                  <c:v>108.73541666667006</c:v>
                </c:pt>
                <c:pt idx="47">
                  <c:v>110.75069444444671</c:v>
                </c:pt>
                <c:pt idx="48">
                  <c:v>112.74791666666715</c:v>
                </c:pt>
                <c:pt idx="49">
                  <c:v>115.7229166666657</c:v>
                </c:pt>
                <c:pt idx="50">
                  <c:v>117.72152777777956</c:v>
                </c:pt>
                <c:pt idx="51">
                  <c:v>119.69305555555911</c:v>
                </c:pt>
                <c:pt idx="52">
                  <c:v>122.70694444444962</c:v>
                </c:pt>
                <c:pt idx="53">
                  <c:v>124.74305555555475</c:v>
                </c:pt>
                <c:pt idx="54">
                  <c:v>126.72083333333285</c:v>
                </c:pt>
                <c:pt idx="55">
                  <c:v>129.72638888889196</c:v>
                </c:pt>
                <c:pt idx="56">
                  <c:v>131.7236111111124</c:v>
                </c:pt>
                <c:pt idx="57">
                  <c:v>133.7993055555562</c:v>
                </c:pt>
                <c:pt idx="58">
                  <c:v>136.7097222222219</c:v>
                </c:pt>
                <c:pt idx="59">
                  <c:v>138.89444444444962</c:v>
                </c:pt>
                <c:pt idx="60">
                  <c:v>140.88333333333867</c:v>
                </c:pt>
                <c:pt idx="61">
                  <c:v>143.87291666666715</c:v>
                </c:pt>
                <c:pt idx="62">
                  <c:v>145.82013888889196</c:v>
                </c:pt>
                <c:pt idx="63">
                  <c:v>147.87291666666715</c:v>
                </c:pt>
                <c:pt idx="64">
                  <c:v>150.87013888889487</c:v>
                </c:pt>
                <c:pt idx="65">
                  <c:v>152.88333333333867</c:v>
                </c:pt>
                <c:pt idx="66">
                  <c:v>155.00763888889196</c:v>
                </c:pt>
                <c:pt idx="67">
                  <c:v>157.87638888889342</c:v>
                </c:pt>
                <c:pt idx="68">
                  <c:v>159.9152777777781</c:v>
                </c:pt>
                <c:pt idx="69">
                  <c:v>161.89444444444962</c:v>
                </c:pt>
                <c:pt idx="70">
                  <c:v>164.87708333333285</c:v>
                </c:pt>
                <c:pt idx="71">
                  <c:v>166.88680555555766</c:v>
                </c:pt>
                <c:pt idx="72">
                  <c:v>168.87638888889342</c:v>
                </c:pt>
                <c:pt idx="73">
                  <c:v>171.86458333333576</c:v>
                </c:pt>
                <c:pt idx="74">
                  <c:v>173.86805555555475</c:v>
                </c:pt>
                <c:pt idx="75">
                  <c:v>175.80694444444816</c:v>
                </c:pt>
                <c:pt idx="76">
                  <c:v>179.02430555555475</c:v>
                </c:pt>
                <c:pt idx="77">
                  <c:v>180.88125000000582</c:v>
                </c:pt>
                <c:pt idx="78">
                  <c:v>183.0048611111124</c:v>
                </c:pt>
                <c:pt idx="79">
                  <c:v>186.01666666667006</c:v>
                </c:pt>
                <c:pt idx="80">
                  <c:v>187.90763888889342</c:v>
                </c:pt>
                <c:pt idx="81">
                  <c:v>189.92916666666861</c:v>
                </c:pt>
                <c:pt idx="82">
                  <c:v>192.90347222222772</c:v>
                </c:pt>
                <c:pt idx="83">
                  <c:v>194.88958333333721</c:v>
                </c:pt>
                <c:pt idx="84">
                  <c:v>196.91250000000582</c:v>
                </c:pt>
                <c:pt idx="85">
                  <c:v>199.89861111111531</c:v>
                </c:pt>
              </c:numCache>
            </c:numRef>
          </c:xVal>
          <c:yVal>
            <c:numRef>
              <c:f>HRT!$F$8:$F$93</c:f>
              <c:numCache>
                <c:formatCode>0.00</c:formatCode>
                <c:ptCount val="86"/>
                <c:pt idx="0">
                  <c:v>813.23564236582592</c:v>
                </c:pt>
                <c:pt idx="1">
                  <c:v>834.84067646219421</c:v>
                </c:pt>
                <c:pt idx="2">
                  <c:v>475.53185421776084</c:v>
                </c:pt>
                <c:pt idx="3">
                  <c:v>457.96343775868957</c:v>
                </c:pt>
                <c:pt idx="4">
                  <c:v>478.37148534350825</c:v>
                </c:pt>
                <c:pt idx="5">
                  <c:v>487.47362117150504</c:v>
                </c:pt>
                <c:pt idx="6">
                  <c:v>470.40744915564744</c:v>
                </c:pt>
                <c:pt idx="7">
                  <c:v>777.10602863172335</c:v>
                </c:pt>
                <c:pt idx="8">
                  <c:v>1695.8140699883313</c:v>
                </c:pt>
                <c:pt idx="9">
                  <c:v>1138.0325671590708</c:v>
                </c:pt>
                <c:pt idx="10">
                  <c:v>515.10009696001885</c:v>
                </c:pt>
                <c:pt idx="11">
                  <c:v>540.64716059240675</c:v>
                </c:pt>
                <c:pt idx="12">
                  <c:v>474.41123652229595</c:v>
                </c:pt>
                <c:pt idx="13">
                  <c:v>488.43663692664796</c:v>
                </c:pt>
                <c:pt idx="14">
                  <c:v>519.03981792828472</c:v>
                </c:pt>
                <c:pt idx="15">
                  <c:v>710.37925482001754</c:v>
                </c:pt>
                <c:pt idx="16">
                  <c:v>572.97211940686088</c:v>
                </c:pt>
                <c:pt idx="17">
                  <c:v>431.83873674947284</c:v>
                </c:pt>
                <c:pt idx="18">
                  <c:v>598.61569960008342</c:v>
                </c:pt>
                <c:pt idx="19">
                  <c:v>589.9786290918978</c:v>
                </c:pt>
                <c:pt idx="20">
                  <c:v>812.96205114504801</c:v>
                </c:pt>
                <c:pt idx="21">
                  <c:v>735.64871374751294</c:v>
                </c:pt>
                <c:pt idx="22">
                  <c:v>579.55421444154456</c:v>
                </c:pt>
                <c:pt idx="23">
                  <c:v>769.97661552730767</c:v>
                </c:pt>
                <c:pt idx="24">
                  <c:v>635.87457521993679</c:v>
                </c:pt>
                <c:pt idx="25">
                  <c:v>642.24184798075805</c:v>
                </c:pt>
                <c:pt idx="26">
                  <c:v>722.42030405270134</c:v>
                </c:pt>
                <c:pt idx="27">
                  <c:v>703.05662798629191</c:v>
                </c:pt>
                <c:pt idx="28">
                  <c:v>581.98524886942539</c:v>
                </c:pt>
                <c:pt idx="29">
                  <c:v>483.3456207660293</c:v>
                </c:pt>
                <c:pt idx="30">
                  <c:v>622.04129356071473</c:v>
                </c:pt>
                <c:pt idx="31">
                  <c:v>589.64575729119963</c:v>
                </c:pt>
                <c:pt idx="32">
                  <c:v>573.13041990290458</c:v>
                </c:pt>
                <c:pt idx="33">
                  <c:v>555.58992264428718</c:v>
                </c:pt>
                <c:pt idx="34">
                  <c:v>584.78406680000035</c:v>
                </c:pt>
                <c:pt idx="35">
                  <c:v>514.44572384983883</c:v>
                </c:pt>
                <c:pt idx="36">
                  <c:v>564.2918053385348</c:v>
                </c:pt>
                <c:pt idx="37">
                  <c:v>644.06165629154907</c:v>
                </c:pt>
                <c:pt idx="38">
                  <c:v>600.22960227804117</c:v>
                </c:pt>
                <c:pt idx="39">
                  <c:v>619.9576974777267</c:v>
                </c:pt>
                <c:pt idx="40">
                  <c:v>606.55057108289827</c:v>
                </c:pt>
                <c:pt idx="41">
                  <c:v>270.01462279018864</c:v>
                </c:pt>
                <c:pt idx="42">
                  <c:v>187.0241513947079</c:v>
                </c:pt>
                <c:pt idx="43">
                  <c:v>250.89192475600424</c:v>
                </c:pt>
                <c:pt idx="44">
                  <c:v>263.83009247617247</c:v>
                </c:pt>
                <c:pt idx="45">
                  <c:v>238.79357476667749</c:v>
                </c:pt>
                <c:pt idx="46">
                  <c:v>304.4398410190538</c:v>
                </c:pt>
                <c:pt idx="47">
                  <c:v>302.47186137112425</c:v>
                </c:pt>
                <c:pt idx="48">
                  <c:v>285.57315364884403</c:v>
                </c:pt>
                <c:pt idx="49">
                  <c:v>215.08061389170061</c:v>
                </c:pt>
                <c:pt idx="50">
                  <c:v>194.94659271894349</c:v>
                </c:pt>
                <c:pt idx="51">
                  <c:v>217.96567101433899</c:v>
                </c:pt>
                <c:pt idx="52">
                  <c:v>153.04911528246208</c:v>
                </c:pt>
                <c:pt idx="53">
                  <c:v>116.15367761011585</c:v>
                </c:pt>
                <c:pt idx="54">
                  <c:v>173.9296427859353</c:v>
                </c:pt>
                <c:pt idx="55">
                  <c:v>134.14102775073255</c:v>
                </c:pt>
                <c:pt idx="56">
                  <c:v>156.79750967531837</c:v>
                </c:pt>
                <c:pt idx="57">
                  <c:v>104.67285539481202</c:v>
                </c:pt>
                <c:pt idx="58">
                  <c:v>69.079266866499538</c:v>
                </c:pt>
                <c:pt idx="59">
                  <c:v>148.48033908158459</c:v>
                </c:pt>
                <c:pt idx="60">
                  <c:v>103.05785705932139</c:v>
                </c:pt>
                <c:pt idx="61">
                  <c:v>143.68127320311868</c:v>
                </c:pt>
                <c:pt idx="62">
                  <c:v>107.09375180255209</c:v>
                </c:pt>
                <c:pt idx="63">
                  <c:v>82.48509074759599</c:v>
                </c:pt>
                <c:pt idx="64">
                  <c:v>123.09635419631222</c:v>
                </c:pt>
                <c:pt idx="65">
                  <c:v>18.59205349664218</c:v>
                </c:pt>
                <c:pt idx="66">
                  <c:v>121.65915795057798</c:v>
                </c:pt>
                <c:pt idx="67">
                  <c:v>58.402164011389438</c:v>
                </c:pt>
                <c:pt idx="68">
                  <c:v>110.14651856988033</c:v>
                </c:pt>
                <c:pt idx="69">
                  <c:v>78.348497719897111</c:v>
                </c:pt>
                <c:pt idx="70">
                  <c:v>74.696994133340198</c:v>
                </c:pt>
                <c:pt idx="71">
                  <c:v>69.175507960001283</c:v>
                </c:pt>
                <c:pt idx="72">
                  <c:v>69.875713799741803</c:v>
                </c:pt>
                <c:pt idx="73">
                  <c:v>59.050030937353341</c:v>
                </c:pt>
                <c:pt idx="74">
                  <c:v>84.515053119577132</c:v>
                </c:pt>
                <c:pt idx="75">
                  <c:v>41.366938513066543</c:v>
                </c:pt>
                <c:pt idx="76">
                  <c:v>66.477583900375009</c:v>
                </c:pt>
                <c:pt idx="77">
                  <c:v>74.866836213832002</c:v>
                </c:pt>
                <c:pt idx="78">
                  <c:v>65.46563768375772</c:v>
                </c:pt>
                <c:pt idx="79">
                  <c:v>52.077428457576843</c:v>
                </c:pt>
                <c:pt idx="80">
                  <c:v>83.887769349595658</c:v>
                </c:pt>
                <c:pt idx="81">
                  <c:v>74.061646289000691</c:v>
                </c:pt>
                <c:pt idx="82">
                  <c:v>71.310776906659228</c:v>
                </c:pt>
                <c:pt idx="83">
                  <c:v>48.460066711403513</c:v>
                </c:pt>
                <c:pt idx="84">
                  <c:v>99.562143900036986</c:v>
                </c:pt>
                <c:pt idx="85">
                  <c:v>77.117037772004437</c:v>
                </c:pt>
              </c:numCache>
            </c:numRef>
          </c:yVal>
          <c:smooth val="0"/>
          <c:extLst>
            <c:ext xmlns:c16="http://schemas.microsoft.com/office/drawing/2014/chart" uri="{C3380CC4-5D6E-409C-BE32-E72D297353CC}">
              <c16:uniqueId val="{00000000-44B7-4813-B24D-4D78950E2CE6}"/>
            </c:ext>
          </c:extLst>
        </c:ser>
        <c:dLbls>
          <c:showLegendKey val="0"/>
          <c:showVal val="0"/>
          <c:showCatName val="0"/>
          <c:showSerName val="0"/>
          <c:showPercent val="0"/>
          <c:showBubbleSize val="0"/>
        </c:dLbls>
        <c:axId val="760895616"/>
        <c:axId val="760896336"/>
      </c:scatterChart>
      <c:valAx>
        <c:axId val="760895616"/>
        <c:scaling>
          <c:orientation val="minMax"/>
          <c:max val="210"/>
          <c:min val="0"/>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solidFill>
                      <a:sysClr val="windowText" lastClr="000000"/>
                    </a:solidFill>
                    <a:latin typeface="Times New Roman" panose="02020603050405020304" pitchFamily="18" charset="0"/>
                    <a:cs typeface="Times New Roman" panose="02020603050405020304" pitchFamily="18" charset="0"/>
                  </a:rPr>
                  <a:t>Time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0896336"/>
        <c:crosses val="autoZero"/>
        <c:crossBetween val="midCat"/>
        <c:majorUnit val="14"/>
      </c:valAx>
      <c:valAx>
        <c:axId val="760896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solidFill>
                      <a:sysClr val="windowText" lastClr="000000"/>
                    </a:solidFill>
                    <a:latin typeface="Times New Roman" panose="02020603050405020304" pitchFamily="18" charset="0"/>
                    <a:cs typeface="Times New Roman" panose="02020603050405020304" pitchFamily="18" charset="0"/>
                  </a:rPr>
                  <a:t>mmol OH/d</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0895616"/>
        <c:crosses val="autoZero"/>
        <c:crossBetween val="midCat"/>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r>
              <a:rPr lang="en-US">
                <a:solidFill>
                  <a:sysClr val="windowText" lastClr="000000"/>
                </a:solidFill>
                <a:latin typeface="Times New Roman" panose="02020603050405020304" pitchFamily="18" charset="0"/>
                <a:cs typeface="Times New Roman" panose="02020603050405020304" pitchFamily="18" charset="0"/>
              </a:rPr>
              <a:t>HRT</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scatterChart>
        <c:scatterStyle val="lineMarker"/>
        <c:varyColors val="0"/>
        <c:ser>
          <c:idx val="0"/>
          <c:order val="0"/>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HRT!$A$8:$A$93</c:f>
              <c:numCache>
                <c:formatCode>0.00</c:formatCode>
                <c:ptCount val="86"/>
                <c:pt idx="0">
                  <c:v>6.7687500000029104</c:v>
                </c:pt>
                <c:pt idx="1">
                  <c:v>7.7881944444452529</c:v>
                </c:pt>
                <c:pt idx="2">
                  <c:v>10.788194444445253</c:v>
                </c:pt>
                <c:pt idx="3">
                  <c:v>12.790972222224809</c:v>
                </c:pt>
                <c:pt idx="4">
                  <c:v>14.790277777778101</c:v>
                </c:pt>
                <c:pt idx="5">
                  <c:v>17.790277777778101</c:v>
                </c:pt>
                <c:pt idx="6">
                  <c:v>19.788194444445253</c:v>
                </c:pt>
                <c:pt idx="7">
                  <c:v>21.788194444445253</c:v>
                </c:pt>
                <c:pt idx="8">
                  <c:v>24.75</c:v>
                </c:pt>
                <c:pt idx="9">
                  <c:v>26.75</c:v>
                </c:pt>
                <c:pt idx="10">
                  <c:v>28.75</c:v>
                </c:pt>
                <c:pt idx="11">
                  <c:v>31.75</c:v>
                </c:pt>
                <c:pt idx="12">
                  <c:v>33.761111111110949</c:v>
                </c:pt>
                <c:pt idx="13">
                  <c:v>35.759722222224809</c:v>
                </c:pt>
                <c:pt idx="14">
                  <c:v>38.75</c:v>
                </c:pt>
                <c:pt idx="15">
                  <c:v>40.759722222224809</c:v>
                </c:pt>
                <c:pt idx="16">
                  <c:v>42.725694444445253</c:v>
                </c:pt>
                <c:pt idx="17">
                  <c:v>42.944444444445253</c:v>
                </c:pt>
                <c:pt idx="18">
                  <c:v>45.740277777782467</c:v>
                </c:pt>
                <c:pt idx="19">
                  <c:v>47.751388888893416</c:v>
                </c:pt>
                <c:pt idx="20">
                  <c:v>48.746527777781012</c:v>
                </c:pt>
                <c:pt idx="21">
                  <c:v>49.74861111111386</c:v>
                </c:pt>
                <c:pt idx="22">
                  <c:v>52.738194444449618</c:v>
                </c:pt>
                <c:pt idx="23">
                  <c:v>54.743055555554747</c:v>
                </c:pt>
                <c:pt idx="24">
                  <c:v>56.75</c:v>
                </c:pt>
                <c:pt idx="25">
                  <c:v>59.74722222222772</c:v>
                </c:pt>
                <c:pt idx="26">
                  <c:v>61.711111111115315</c:v>
                </c:pt>
                <c:pt idx="27">
                  <c:v>63.732638888890506</c:v>
                </c:pt>
                <c:pt idx="28">
                  <c:v>66.740972222221899</c:v>
                </c:pt>
                <c:pt idx="29">
                  <c:v>68.715277777781012</c:v>
                </c:pt>
                <c:pt idx="30">
                  <c:v>70.715277777781012</c:v>
                </c:pt>
                <c:pt idx="31">
                  <c:v>73.722916666665697</c:v>
                </c:pt>
                <c:pt idx="32">
                  <c:v>75.719444444446708</c:v>
                </c:pt>
                <c:pt idx="33">
                  <c:v>77.722222222226264</c:v>
                </c:pt>
                <c:pt idx="34">
                  <c:v>80.712500000001455</c:v>
                </c:pt>
                <c:pt idx="35">
                  <c:v>82.766666666670062</c:v>
                </c:pt>
                <c:pt idx="36">
                  <c:v>84.759722222224809</c:v>
                </c:pt>
                <c:pt idx="37">
                  <c:v>87.712500000001455</c:v>
                </c:pt>
                <c:pt idx="38">
                  <c:v>89.76736111111677</c:v>
                </c:pt>
                <c:pt idx="39">
                  <c:v>91.739583333335759</c:v>
                </c:pt>
                <c:pt idx="40">
                  <c:v>94.725694444445253</c:v>
                </c:pt>
                <c:pt idx="41">
                  <c:v>96.754166666665697</c:v>
                </c:pt>
                <c:pt idx="42">
                  <c:v>98.71736111111386</c:v>
                </c:pt>
                <c:pt idx="43">
                  <c:v>101.71527777778101</c:v>
                </c:pt>
                <c:pt idx="44">
                  <c:v>103.72847222222481</c:v>
                </c:pt>
                <c:pt idx="45">
                  <c:v>105.74375000000146</c:v>
                </c:pt>
                <c:pt idx="46">
                  <c:v>108.73541666667006</c:v>
                </c:pt>
                <c:pt idx="47">
                  <c:v>110.75069444444671</c:v>
                </c:pt>
                <c:pt idx="48">
                  <c:v>112.74791666666715</c:v>
                </c:pt>
                <c:pt idx="49">
                  <c:v>115.7229166666657</c:v>
                </c:pt>
                <c:pt idx="50">
                  <c:v>117.72152777777956</c:v>
                </c:pt>
                <c:pt idx="51">
                  <c:v>119.69305555555911</c:v>
                </c:pt>
                <c:pt idx="52">
                  <c:v>122.70694444444962</c:v>
                </c:pt>
                <c:pt idx="53">
                  <c:v>124.74305555555475</c:v>
                </c:pt>
                <c:pt idx="54">
                  <c:v>126.72083333333285</c:v>
                </c:pt>
                <c:pt idx="55">
                  <c:v>129.72638888889196</c:v>
                </c:pt>
                <c:pt idx="56">
                  <c:v>131.7236111111124</c:v>
                </c:pt>
                <c:pt idx="57">
                  <c:v>133.7993055555562</c:v>
                </c:pt>
                <c:pt idx="58">
                  <c:v>136.7097222222219</c:v>
                </c:pt>
                <c:pt idx="59">
                  <c:v>138.89444444444962</c:v>
                </c:pt>
                <c:pt idx="60">
                  <c:v>140.88333333333867</c:v>
                </c:pt>
                <c:pt idx="61">
                  <c:v>143.87291666666715</c:v>
                </c:pt>
                <c:pt idx="62">
                  <c:v>145.82013888889196</c:v>
                </c:pt>
                <c:pt idx="63">
                  <c:v>147.87291666666715</c:v>
                </c:pt>
                <c:pt idx="64">
                  <c:v>150.87013888889487</c:v>
                </c:pt>
                <c:pt idx="65">
                  <c:v>152.88333333333867</c:v>
                </c:pt>
                <c:pt idx="66">
                  <c:v>155.00763888889196</c:v>
                </c:pt>
                <c:pt idx="67">
                  <c:v>157.87638888889342</c:v>
                </c:pt>
                <c:pt idx="68">
                  <c:v>159.9152777777781</c:v>
                </c:pt>
                <c:pt idx="69">
                  <c:v>161.89444444444962</c:v>
                </c:pt>
                <c:pt idx="70">
                  <c:v>164.87708333333285</c:v>
                </c:pt>
                <c:pt idx="71">
                  <c:v>166.88680555555766</c:v>
                </c:pt>
                <c:pt idx="72">
                  <c:v>168.87638888889342</c:v>
                </c:pt>
                <c:pt idx="73">
                  <c:v>171.86458333333576</c:v>
                </c:pt>
                <c:pt idx="74">
                  <c:v>173.86805555555475</c:v>
                </c:pt>
                <c:pt idx="75">
                  <c:v>175.80694444444816</c:v>
                </c:pt>
                <c:pt idx="76">
                  <c:v>179.02430555555475</c:v>
                </c:pt>
                <c:pt idx="77">
                  <c:v>180.88125000000582</c:v>
                </c:pt>
                <c:pt idx="78">
                  <c:v>183.0048611111124</c:v>
                </c:pt>
                <c:pt idx="79">
                  <c:v>186.01666666667006</c:v>
                </c:pt>
                <c:pt idx="80">
                  <c:v>187.90763888889342</c:v>
                </c:pt>
                <c:pt idx="81">
                  <c:v>189.92916666666861</c:v>
                </c:pt>
                <c:pt idx="82">
                  <c:v>192.90347222222772</c:v>
                </c:pt>
                <c:pt idx="83">
                  <c:v>194.88958333333721</c:v>
                </c:pt>
                <c:pt idx="84">
                  <c:v>196.91250000000582</c:v>
                </c:pt>
                <c:pt idx="85">
                  <c:v>199.89861111111531</c:v>
                </c:pt>
              </c:numCache>
            </c:numRef>
          </c:xVal>
          <c:yVal>
            <c:numRef>
              <c:f>HRT!$E$8:$E$93</c:f>
              <c:numCache>
                <c:formatCode>0.00</c:formatCode>
                <c:ptCount val="86"/>
                <c:pt idx="0">
                  <c:v>2.0796843925539408</c:v>
                </c:pt>
                <c:pt idx="1">
                  <c:v>2.0981948166428861</c:v>
                </c:pt>
                <c:pt idx="2">
                  <c:v>2.1512597505153011</c:v>
                </c:pt>
                <c:pt idx="3">
                  <c:v>2.1634457893961985</c:v>
                </c:pt>
                <c:pt idx="4">
                  <c:v>2.0873691666640726</c:v>
                </c:pt>
                <c:pt idx="5">
                  <c:v>2.2321560088516081</c:v>
                </c:pt>
                <c:pt idx="6">
                  <c:v>2.2358354439832646</c:v>
                </c:pt>
                <c:pt idx="7">
                  <c:v>2.1715083754625004</c:v>
                </c:pt>
                <c:pt idx="8">
                  <c:v>2.1334266135049726</c:v>
                </c:pt>
                <c:pt idx="9">
                  <c:v>1.916286427977915</c:v>
                </c:pt>
                <c:pt idx="10">
                  <c:v>2.2105692528582295</c:v>
                </c:pt>
                <c:pt idx="11">
                  <c:v>2.1690289992705605</c:v>
                </c:pt>
                <c:pt idx="12">
                  <c:v>2.2138644451336469</c:v>
                </c:pt>
                <c:pt idx="13">
                  <c:v>2.1601671650438763</c:v>
                </c:pt>
                <c:pt idx="14">
                  <c:v>2.2638371459346796</c:v>
                </c:pt>
                <c:pt idx="15">
                  <c:v>2.2253233733330466</c:v>
                </c:pt>
                <c:pt idx="16">
                  <c:v>2.2596805901410999</c:v>
                </c:pt>
                <c:pt idx="17">
                  <c:v>1.6700867177364875</c:v>
                </c:pt>
                <c:pt idx="18">
                  <c:v>2.3718572931799642</c:v>
                </c:pt>
                <c:pt idx="19">
                  <c:v>2.3503899540730298</c:v>
                </c:pt>
                <c:pt idx="20">
                  <c:v>1.7389744715448419</c:v>
                </c:pt>
                <c:pt idx="21">
                  <c:v>2.9959268426469432</c:v>
                </c:pt>
                <c:pt idx="22">
                  <c:v>2.3515020685075556</c:v>
                </c:pt>
                <c:pt idx="23">
                  <c:v>2.3318688939596677</c:v>
                </c:pt>
                <c:pt idx="24">
                  <c:v>2.3364548259636475</c:v>
                </c:pt>
                <c:pt idx="25">
                  <c:v>2.4319478481489516</c:v>
                </c:pt>
                <c:pt idx="26">
                  <c:v>2.3680826567987037</c:v>
                </c:pt>
                <c:pt idx="27">
                  <c:v>3.0138772500195161</c:v>
                </c:pt>
                <c:pt idx="28">
                  <c:v>2.9119546878887985</c:v>
                </c:pt>
                <c:pt idx="29">
                  <c:v>2.1906929409624225</c:v>
                </c:pt>
                <c:pt idx="30">
                  <c:v>2.1075704308522174</c:v>
                </c:pt>
                <c:pt idx="31">
                  <c:v>2.1183669670247149</c:v>
                </c:pt>
                <c:pt idx="32">
                  <c:v>2.1564083330919583</c:v>
                </c:pt>
                <c:pt idx="33">
                  <c:v>2.2031431252545266</c:v>
                </c:pt>
                <c:pt idx="34">
                  <c:v>2.1602899118203833</c:v>
                </c:pt>
                <c:pt idx="35">
                  <c:v>2.1525837824507397</c:v>
                </c:pt>
                <c:pt idx="36">
                  <c:v>2.1660895832224285</c:v>
                </c:pt>
                <c:pt idx="37">
                  <c:v>2.2931704387655447</c:v>
                </c:pt>
                <c:pt idx="38">
                  <c:v>2.2719538718951982</c:v>
                </c:pt>
                <c:pt idx="39">
                  <c:v>2.0642894892901253</c:v>
                </c:pt>
                <c:pt idx="40">
                  <c:v>2.2235653874833718</c:v>
                </c:pt>
                <c:pt idx="41">
                  <c:v>1.6828189436759158</c:v>
                </c:pt>
                <c:pt idx="42">
                  <c:v>1.9886012443739305</c:v>
                </c:pt>
                <c:pt idx="43">
                  <c:v>1.9809836123475799</c:v>
                </c:pt>
                <c:pt idx="44">
                  <c:v>1.9790986655472314</c:v>
                </c:pt>
                <c:pt idx="45">
                  <c:v>1.9682385806225027</c:v>
                </c:pt>
                <c:pt idx="46">
                  <c:v>1.9565517977440818</c:v>
                </c:pt>
                <c:pt idx="47">
                  <c:v>1.9649467315674269</c:v>
                </c:pt>
                <c:pt idx="48">
                  <c:v>1.9824221718808421</c:v>
                </c:pt>
                <c:pt idx="49">
                  <c:v>1.9733322466216492</c:v>
                </c:pt>
                <c:pt idx="50">
                  <c:v>1.9854814119400965</c:v>
                </c:pt>
                <c:pt idx="51">
                  <c:v>1.984395471481702</c:v>
                </c:pt>
                <c:pt idx="52">
                  <c:v>1.9862964180012721</c:v>
                </c:pt>
                <c:pt idx="53">
                  <c:v>15.585144529148607</c:v>
                </c:pt>
                <c:pt idx="54">
                  <c:v>15.54036249138119</c:v>
                </c:pt>
                <c:pt idx="55">
                  <c:v>16.118772711441775</c:v>
                </c:pt>
                <c:pt idx="56">
                  <c:v>16.025013437090841</c:v>
                </c:pt>
                <c:pt idx="57">
                  <c:v>16.771639808168974</c:v>
                </c:pt>
                <c:pt idx="58">
                  <c:v>17.173383309634925</c:v>
                </c:pt>
                <c:pt idx="59">
                  <c:v>16.296671175360295</c:v>
                </c:pt>
                <c:pt idx="60">
                  <c:v>16.890829050254716</c:v>
                </c:pt>
                <c:pt idx="61">
                  <c:v>16.279556915426742</c:v>
                </c:pt>
                <c:pt idx="62">
                  <c:v>16.973585546600972</c:v>
                </c:pt>
                <c:pt idx="63">
                  <c:v>17.164534847099752</c:v>
                </c:pt>
                <c:pt idx="64">
                  <c:v>16.942137095147757</c:v>
                </c:pt>
                <c:pt idx="65">
                  <c:v>18.729918600869112</c:v>
                </c:pt>
                <c:pt idx="66">
                  <c:v>16.970863512987737</c:v>
                </c:pt>
                <c:pt idx="67">
                  <c:v>17.62454644413085</c:v>
                </c:pt>
                <c:pt idx="68">
                  <c:v>16.948748260618842</c:v>
                </c:pt>
                <c:pt idx="69">
                  <c:v>17.546732028975292</c:v>
                </c:pt>
                <c:pt idx="70">
                  <c:v>17.411711874498906</c:v>
                </c:pt>
                <c:pt idx="71">
                  <c:v>17.784119631116148</c:v>
                </c:pt>
                <c:pt idx="72">
                  <c:v>17.299737461442302</c:v>
                </c:pt>
                <c:pt idx="73">
                  <c:v>17.537438388035746</c:v>
                </c:pt>
                <c:pt idx="74">
                  <c:v>17.251923164474107</c:v>
                </c:pt>
                <c:pt idx="75">
                  <c:v>17.978236743962299</c:v>
                </c:pt>
                <c:pt idx="76">
                  <c:v>17.464124283653696</c:v>
                </c:pt>
                <c:pt idx="77">
                  <c:v>17.547355873461534</c:v>
                </c:pt>
                <c:pt idx="78">
                  <c:v>17.575962005261186</c:v>
                </c:pt>
                <c:pt idx="79">
                  <c:v>17.795518951512943</c:v>
                </c:pt>
                <c:pt idx="80">
                  <c:v>17.514024988930718</c:v>
                </c:pt>
                <c:pt idx="81">
                  <c:v>17.664423171816949</c:v>
                </c:pt>
                <c:pt idx="82">
                  <c:v>17.584938029131123</c:v>
                </c:pt>
                <c:pt idx="83">
                  <c:v>18.100836803201172</c:v>
                </c:pt>
                <c:pt idx="84">
                  <c:v>17.30658182768925</c:v>
                </c:pt>
                <c:pt idx="85">
                  <c:v>17.562069295160864</c:v>
                </c:pt>
              </c:numCache>
            </c:numRef>
          </c:yVal>
          <c:smooth val="0"/>
          <c:extLst>
            <c:ext xmlns:c16="http://schemas.microsoft.com/office/drawing/2014/chart" uri="{C3380CC4-5D6E-409C-BE32-E72D297353CC}">
              <c16:uniqueId val="{00000000-E725-4EA8-B6D4-CD1F02EB99B0}"/>
            </c:ext>
          </c:extLst>
        </c:ser>
        <c:dLbls>
          <c:showLegendKey val="0"/>
          <c:showVal val="0"/>
          <c:showCatName val="0"/>
          <c:showSerName val="0"/>
          <c:showPercent val="0"/>
          <c:showBubbleSize val="0"/>
        </c:dLbls>
        <c:axId val="763088144"/>
        <c:axId val="763087784"/>
      </c:scatterChart>
      <c:valAx>
        <c:axId val="763088144"/>
        <c:scaling>
          <c:orientation val="minMax"/>
          <c:max val="210"/>
          <c:min val="0"/>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r>
                  <a:rPr lang="en-US">
                    <a:solidFill>
                      <a:sysClr val="windowText" lastClr="000000"/>
                    </a:solidFill>
                    <a:latin typeface="Times New Roman" panose="02020603050405020304" pitchFamily="18" charset="0"/>
                    <a:cs typeface="Times New Roman" panose="02020603050405020304" pitchFamily="18" charset="0"/>
                  </a:rPr>
                  <a:t>Time (day)</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087784"/>
        <c:crosses val="autoZero"/>
        <c:crossBetween val="midCat"/>
        <c:majorUnit val="14"/>
      </c:valAx>
      <c:valAx>
        <c:axId val="763087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solidFill>
                      <a:sysClr val="windowText" lastClr="000000"/>
                    </a:solidFill>
                    <a:latin typeface="Times New Roman" panose="02020603050405020304" pitchFamily="18" charset="0"/>
                    <a:cs typeface="Times New Roman" panose="02020603050405020304" pitchFamily="18" charset="0"/>
                  </a:rPr>
                  <a:t>day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Times New Roman" panose="02020603050405020304" pitchFamily="18" charset="0"/>
                <a:ea typeface="+mn-ea"/>
                <a:cs typeface="Times New Roman" panose="02020603050405020304" pitchFamily="18" charset="0"/>
              </a:defRPr>
            </a:pPr>
            <a:endParaRPr lang="en-US"/>
          </a:p>
        </c:txPr>
        <c:crossAx val="763088144"/>
        <c:crosses val="autoZero"/>
        <c:crossBetween val="midCat"/>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Balances!$D$3</c:f>
              <c:strCache>
                <c:ptCount val="1"/>
                <c:pt idx="0">
                  <c:v>carbon balance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Balances!$A$4:$A$93</c:f>
              <c:numCache>
                <c:formatCode>0.00</c:formatCode>
                <c:ptCount val="90"/>
                <c:pt idx="0">
                  <c:v>0</c:v>
                </c:pt>
                <c:pt idx="1">
                  <c:v>0.95138888889050577</c:v>
                </c:pt>
                <c:pt idx="2">
                  <c:v>4.0208333333357587</c:v>
                </c:pt>
                <c:pt idx="3">
                  <c:v>5.7222222222262644</c:v>
                </c:pt>
                <c:pt idx="4">
                  <c:v>6.7687500000029104</c:v>
                </c:pt>
                <c:pt idx="5">
                  <c:v>7.7881944444452529</c:v>
                </c:pt>
                <c:pt idx="6">
                  <c:v>10.788194444445253</c:v>
                </c:pt>
                <c:pt idx="7">
                  <c:v>12.790972222224809</c:v>
                </c:pt>
                <c:pt idx="8">
                  <c:v>14.790277777778101</c:v>
                </c:pt>
                <c:pt idx="9">
                  <c:v>17.790277777778101</c:v>
                </c:pt>
                <c:pt idx="10">
                  <c:v>19.788194444445253</c:v>
                </c:pt>
                <c:pt idx="11">
                  <c:v>21.788194444445253</c:v>
                </c:pt>
                <c:pt idx="12">
                  <c:v>24.75</c:v>
                </c:pt>
                <c:pt idx="13">
                  <c:v>26.75</c:v>
                </c:pt>
                <c:pt idx="14">
                  <c:v>28.75</c:v>
                </c:pt>
                <c:pt idx="15">
                  <c:v>31.75</c:v>
                </c:pt>
                <c:pt idx="16">
                  <c:v>33.761111111110949</c:v>
                </c:pt>
                <c:pt idx="17">
                  <c:v>35.759722222224809</c:v>
                </c:pt>
                <c:pt idx="18">
                  <c:v>38.75</c:v>
                </c:pt>
                <c:pt idx="19">
                  <c:v>40.759722222224809</c:v>
                </c:pt>
                <c:pt idx="20">
                  <c:v>42.725694444445253</c:v>
                </c:pt>
                <c:pt idx="21">
                  <c:v>42.944444444445253</c:v>
                </c:pt>
                <c:pt idx="22">
                  <c:v>45.740277777782467</c:v>
                </c:pt>
                <c:pt idx="23">
                  <c:v>47.751388888893416</c:v>
                </c:pt>
                <c:pt idx="24">
                  <c:v>48.746527777781012</c:v>
                </c:pt>
                <c:pt idx="25">
                  <c:v>49.74861111111386</c:v>
                </c:pt>
                <c:pt idx="26">
                  <c:v>52.738194444449618</c:v>
                </c:pt>
                <c:pt idx="27">
                  <c:v>54.743055555554747</c:v>
                </c:pt>
                <c:pt idx="28">
                  <c:v>56.75</c:v>
                </c:pt>
                <c:pt idx="29">
                  <c:v>59.74722222222772</c:v>
                </c:pt>
                <c:pt idx="30">
                  <c:v>61.711111111115315</c:v>
                </c:pt>
                <c:pt idx="31">
                  <c:v>63.732638888890506</c:v>
                </c:pt>
                <c:pt idx="32">
                  <c:v>66.740972222221899</c:v>
                </c:pt>
                <c:pt idx="33">
                  <c:v>68.715277777781012</c:v>
                </c:pt>
                <c:pt idx="34">
                  <c:v>70.715277777781012</c:v>
                </c:pt>
                <c:pt idx="35">
                  <c:v>73.722916666665697</c:v>
                </c:pt>
                <c:pt idx="36">
                  <c:v>75.719444444446708</c:v>
                </c:pt>
                <c:pt idx="37">
                  <c:v>77.722222222226264</c:v>
                </c:pt>
                <c:pt idx="38">
                  <c:v>80.712500000001455</c:v>
                </c:pt>
                <c:pt idx="39">
                  <c:v>82.766666666670062</c:v>
                </c:pt>
                <c:pt idx="40">
                  <c:v>84.759722222224809</c:v>
                </c:pt>
                <c:pt idx="41">
                  <c:v>87.712500000001455</c:v>
                </c:pt>
                <c:pt idx="42">
                  <c:v>89.76736111111677</c:v>
                </c:pt>
                <c:pt idx="43">
                  <c:v>91.739583333335759</c:v>
                </c:pt>
                <c:pt idx="44">
                  <c:v>94.725694444445253</c:v>
                </c:pt>
                <c:pt idx="45">
                  <c:v>96.754166666665697</c:v>
                </c:pt>
                <c:pt idx="46">
                  <c:v>98.71736111111386</c:v>
                </c:pt>
                <c:pt idx="47">
                  <c:v>101.71527777778101</c:v>
                </c:pt>
                <c:pt idx="48">
                  <c:v>103.72847222222481</c:v>
                </c:pt>
                <c:pt idx="49">
                  <c:v>105.74375000000146</c:v>
                </c:pt>
                <c:pt idx="50">
                  <c:v>108.73541666667006</c:v>
                </c:pt>
                <c:pt idx="51">
                  <c:v>110.75069444444671</c:v>
                </c:pt>
                <c:pt idx="52">
                  <c:v>112.74791666666715</c:v>
                </c:pt>
                <c:pt idx="53">
                  <c:v>115.7229166666657</c:v>
                </c:pt>
                <c:pt idx="54">
                  <c:v>117.72152777777956</c:v>
                </c:pt>
                <c:pt idx="55">
                  <c:v>119.69305555555911</c:v>
                </c:pt>
                <c:pt idx="56">
                  <c:v>122.70694444444962</c:v>
                </c:pt>
                <c:pt idx="57">
                  <c:v>124.74305555555475</c:v>
                </c:pt>
                <c:pt idx="58">
                  <c:v>126.72083333333285</c:v>
                </c:pt>
                <c:pt idx="59">
                  <c:v>129.72638888889196</c:v>
                </c:pt>
                <c:pt idx="60">
                  <c:v>131.7236111111124</c:v>
                </c:pt>
                <c:pt idx="61">
                  <c:v>133.7993055555562</c:v>
                </c:pt>
                <c:pt idx="62">
                  <c:v>136.7097222222219</c:v>
                </c:pt>
                <c:pt idx="63">
                  <c:v>138.89444444444962</c:v>
                </c:pt>
                <c:pt idx="64">
                  <c:v>140.88333333333867</c:v>
                </c:pt>
                <c:pt idx="65">
                  <c:v>143.87291666666715</c:v>
                </c:pt>
                <c:pt idx="66">
                  <c:v>145.82013888889196</c:v>
                </c:pt>
                <c:pt idx="67">
                  <c:v>147.87291666666715</c:v>
                </c:pt>
                <c:pt idx="68">
                  <c:v>150.87013888889487</c:v>
                </c:pt>
                <c:pt idx="69">
                  <c:v>152.88333333333867</c:v>
                </c:pt>
                <c:pt idx="70">
                  <c:v>155.00763888889196</c:v>
                </c:pt>
                <c:pt idx="71">
                  <c:v>157.87638888889342</c:v>
                </c:pt>
                <c:pt idx="72">
                  <c:v>159.9152777777781</c:v>
                </c:pt>
                <c:pt idx="73">
                  <c:v>161.89444444444962</c:v>
                </c:pt>
                <c:pt idx="74">
                  <c:v>164.87708333333285</c:v>
                </c:pt>
                <c:pt idx="75">
                  <c:v>166.88680555555766</c:v>
                </c:pt>
                <c:pt idx="76">
                  <c:v>168.87638888889342</c:v>
                </c:pt>
                <c:pt idx="77">
                  <c:v>171.86458333333576</c:v>
                </c:pt>
                <c:pt idx="78">
                  <c:v>173.86805555555475</c:v>
                </c:pt>
                <c:pt idx="79">
                  <c:v>175.80694444444816</c:v>
                </c:pt>
                <c:pt idx="80">
                  <c:v>179.02430555555475</c:v>
                </c:pt>
                <c:pt idx="81">
                  <c:v>180.88125000000582</c:v>
                </c:pt>
                <c:pt idx="82">
                  <c:v>183.0048611111124</c:v>
                </c:pt>
                <c:pt idx="83">
                  <c:v>186.01666666667006</c:v>
                </c:pt>
                <c:pt idx="84">
                  <c:v>187.90763888889342</c:v>
                </c:pt>
                <c:pt idx="85">
                  <c:v>189.92916666666861</c:v>
                </c:pt>
                <c:pt idx="86">
                  <c:v>192.90347222222772</c:v>
                </c:pt>
                <c:pt idx="87">
                  <c:v>194.88958333333721</c:v>
                </c:pt>
                <c:pt idx="88">
                  <c:v>196.91250000000582</c:v>
                </c:pt>
                <c:pt idx="89">
                  <c:v>199.89861111111531</c:v>
                </c:pt>
              </c:numCache>
            </c:numRef>
          </c:xVal>
          <c:yVal>
            <c:numRef>
              <c:f>Balances!$D$4:$D$93</c:f>
              <c:numCache>
                <c:formatCode>0%</c:formatCode>
                <c:ptCount val="90"/>
                <c:pt idx="0">
                  <c:v>0.4279000120335717</c:v>
                </c:pt>
                <c:pt idx="1">
                  <c:v>0.64505661526985381</c:v>
                </c:pt>
                <c:pt idx="2">
                  <c:v>0.62393710012869297</c:v>
                </c:pt>
                <c:pt idx="3">
                  <c:v>0.71663190125495191</c:v>
                </c:pt>
                <c:pt idx="4">
                  <c:v>0.52186951853272712</c:v>
                </c:pt>
                <c:pt idx="5">
                  <c:v>0.83351453331840808</c:v>
                </c:pt>
                <c:pt idx="6">
                  <c:v>0.87456390672918072</c:v>
                </c:pt>
                <c:pt idx="7">
                  <c:v>0.88933497879446322</c:v>
                </c:pt>
                <c:pt idx="8">
                  <c:v>1.0417191408460369</c:v>
                </c:pt>
                <c:pt idx="9">
                  <c:v>1.0543600486989821</c:v>
                </c:pt>
                <c:pt idx="10">
                  <c:v>1.0487775421014927</c:v>
                </c:pt>
                <c:pt idx="11">
                  <c:v>1.0595665386199968</c:v>
                </c:pt>
                <c:pt idx="12">
                  <c:v>1.1653873524548661</c:v>
                </c:pt>
                <c:pt idx="13">
                  <c:v>1.1100257364412354</c:v>
                </c:pt>
                <c:pt idx="14">
                  <c:v>1.0721538373190236</c:v>
                </c:pt>
                <c:pt idx="15">
                  <c:v>1.098270571471111</c:v>
                </c:pt>
                <c:pt idx="16">
                  <c:v>1.0167603754416981</c:v>
                </c:pt>
                <c:pt idx="17">
                  <c:v>1.0213449615098122</c:v>
                </c:pt>
                <c:pt idx="18">
                  <c:v>1.0500973265777684</c:v>
                </c:pt>
                <c:pt idx="19">
                  <c:v>0.95168447895487818</c:v>
                </c:pt>
                <c:pt idx="20">
                  <c:v>0.89635668774574739</c:v>
                </c:pt>
                <c:pt idx="21">
                  <c:v>0.90237888855920889</c:v>
                </c:pt>
                <c:pt idx="22">
                  <c:v>0.93479144176479123</c:v>
                </c:pt>
                <c:pt idx="23">
                  <c:v>0.99944768587578081</c:v>
                </c:pt>
                <c:pt idx="24">
                  <c:v>1.030588897670172</c:v>
                </c:pt>
                <c:pt idx="25">
                  <c:v>1.1104175666472784</c:v>
                </c:pt>
                <c:pt idx="26">
                  <c:v>1.0901394779438895</c:v>
                </c:pt>
                <c:pt idx="27">
                  <c:v>1.0886627104182127</c:v>
                </c:pt>
                <c:pt idx="28">
                  <c:v>1.0957561735832926</c:v>
                </c:pt>
                <c:pt idx="29">
                  <c:v>1.1034124806980832</c:v>
                </c:pt>
                <c:pt idx="30">
                  <c:v>1.1481231364746278</c:v>
                </c:pt>
                <c:pt idx="31">
                  <c:v>1.0829286383086301</c:v>
                </c:pt>
                <c:pt idx="32">
                  <c:v>1.1256093592758494</c:v>
                </c:pt>
                <c:pt idx="33">
                  <c:v>1.0962351738533302</c:v>
                </c:pt>
                <c:pt idx="34">
                  <c:v>1.1012249152546694</c:v>
                </c:pt>
                <c:pt idx="35">
                  <c:v>1.1258824148707216</c:v>
                </c:pt>
                <c:pt idx="36">
                  <c:v>1.0345779165067079</c:v>
                </c:pt>
                <c:pt idx="37">
                  <c:v>1.0727006724149335</c:v>
                </c:pt>
                <c:pt idx="38">
                  <c:v>1.0505457279888648</c:v>
                </c:pt>
                <c:pt idx="39">
                  <c:v>1.0323603433903024</c:v>
                </c:pt>
                <c:pt idx="40">
                  <c:v>1.3288793077261567</c:v>
                </c:pt>
                <c:pt idx="41">
                  <c:v>1.3035546713892558</c:v>
                </c:pt>
                <c:pt idx="42">
                  <c:v>1.2812404585524655</c:v>
                </c:pt>
                <c:pt idx="43">
                  <c:v>1.3644245965688508</c:v>
                </c:pt>
                <c:pt idx="44">
                  <c:v>7.2095270017585822</c:v>
                </c:pt>
                <c:pt idx="45">
                  <c:v>3.5970081584982374</c:v>
                </c:pt>
                <c:pt idx="46">
                  <c:v>2.115986832242569</c:v>
                </c:pt>
                <c:pt idx="47">
                  <c:v>1.9226052525757344</c:v>
                </c:pt>
                <c:pt idx="48">
                  <c:v>2.079646133424653</c:v>
                </c:pt>
                <c:pt idx="49">
                  <c:v>2.1586011941661534</c:v>
                </c:pt>
                <c:pt idx="50">
                  <c:v>2.0749897642900987</c:v>
                </c:pt>
                <c:pt idx="51">
                  <c:v>1.9974938858181475</c:v>
                </c:pt>
                <c:pt idx="52">
                  <c:v>1.7836314697683715</c:v>
                </c:pt>
                <c:pt idx="53">
                  <c:v>1.6504685965140447</c:v>
                </c:pt>
                <c:pt idx="54">
                  <c:v>1.6579878743630048</c:v>
                </c:pt>
                <c:pt idx="55">
                  <c:v>1.6088622995801494</c:v>
                </c:pt>
                <c:pt idx="56">
                  <c:v>1.6084194799445661</c:v>
                </c:pt>
                <c:pt idx="57">
                  <c:v>1.0905071617848614</c:v>
                </c:pt>
                <c:pt idx="58">
                  <c:v>1.203472078785371</c:v>
                </c:pt>
                <c:pt idx="59">
                  <c:v>1.2832845802454007</c:v>
                </c:pt>
                <c:pt idx="60">
                  <c:v>1.2386209895628348</c:v>
                </c:pt>
                <c:pt idx="61">
                  <c:v>1.1904362220544631</c:v>
                </c:pt>
                <c:pt idx="62">
                  <c:v>1.2811987469074342</c:v>
                </c:pt>
                <c:pt idx="63">
                  <c:v>1.4077749586557249</c:v>
                </c:pt>
                <c:pt idx="64">
                  <c:v>1.4576396821356541</c:v>
                </c:pt>
                <c:pt idx="65">
                  <c:v>1.5334222938135469</c:v>
                </c:pt>
                <c:pt idx="66">
                  <c:v>1.5931394936096752</c:v>
                </c:pt>
                <c:pt idx="67">
                  <c:v>1.62595557693919</c:v>
                </c:pt>
                <c:pt idx="68">
                  <c:v>1.5534049508293342</c:v>
                </c:pt>
                <c:pt idx="69">
                  <c:v>1.4454438348946537</c:v>
                </c:pt>
                <c:pt idx="70">
                  <c:v>1.5017347947584401</c:v>
                </c:pt>
                <c:pt idx="71">
                  <c:v>1.5052464850401266</c:v>
                </c:pt>
                <c:pt idx="72">
                  <c:v>1.4253794326002391</c:v>
                </c:pt>
                <c:pt idx="73">
                  <c:v>1.4665214505263009</c:v>
                </c:pt>
                <c:pt idx="74">
                  <c:v>1.5157250411745009</c:v>
                </c:pt>
                <c:pt idx="75">
                  <c:v>1.4212820025346193</c:v>
                </c:pt>
                <c:pt idx="76">
                  <c:v>1.4067830242186294</c:v>
                </c:pt>
                <c:pt idx="77">
                  <c:v>1.4044287478694266</c:v>
                </c:pt>
                <c:pt idx="78">
                  <c:v>1.4492484628450557</c:v>
                </c:pt>
                <c:pt idx="79">
                  <c:v>1.3987679734299852</c:v>
                </c:pt>
                <c:pt idx="80">
                  <c:v>1.3866940268548791</c:v>
                </c:pt>
                <c:pt idx="81">
                  <c:v>1.3891279135784922</c:v>
                </c:pt>
                <c:pt idx="82">
                  <c:v>1.3493244440018377</c:v>
                </c:pt>
                <c:pt idx="83">
                  <c:v>1.3486023360008845</c:v>
                </c:pt>
                <c:pt idx="84">
                  <c:v>1.3456627202130289</c:v>
                </c:pt>
                <c:pt idx="85">
                  <c:v>1.3025524305635137</c:v>
                </c:pt>
                <c:pt idx="86">
                  <c:v>1.2760819518354951</c:v>
                </c:pt>
                <c:pt idx="87">
                  <c:v>1.2499019411179739</c:v>
                </c:pt>
                <c:pt idx="88">
                  <c:v>1.2639428356366187</c:v>
                </c:pt>
                <c:pt idx="89">
                  <c:v>1.2559474687900252</c:v>
                </c:pt>
              </c:numCache>
            </c:numRef>
          </c:yVal>
          <c:smooth val="0"/>
          <c:extLst>
            <c:ext xmlns:c16="http://schemas.microsoft.com/office/drawing/2014/chart" uri="{C3380CC4-5D6E-409C-BE32-E72D297353CC}">
              <c16:uniqueId val="{00000000-C6E9-4544-A360-639556FA5024}"/>
            </c:ext>
          </c:extLst>
        </c:ser>
        <c:dLbls>
          <c:showLegendKey val="0"/>
          <c:showVal val="0"/>
          <c:showCatName val="0"/>
          <c:showSerName val="0"/>
          <c:showPercent val="0"/>
          <c:showBubbleSize val="0"/>
        </c:dLbls>
        <c:axId val="903111264"/>
        <c:axId val="903108024"/>
      </c:scatterChart>
      <c:valAx>
        <c:axId val="903111264"/>
        <c:scaling>
          <c:orientation val="minMax"/>
          <c:max val="210"/>
          <c:min val="0"/>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3108024"/>
        <c:crosses val="autoZero"/>
        <c:crossBetween val="midCat"/>
        <c:majorUnit val="14"/>
      </c:valAx>
      <c:valAx>
        <c:axId val="90310802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0311126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Balances!$I$3</c:f>
              <c:strCache>
                <c:ptCount val="1"/>
                <c:pt idx="0">
                  <c:v>electron balance</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Balances!$A$4:$A$93</c:f>
              <c:numCache>
                <c:formatCode>0.00</c:formatCode>
                <c:ptCount val="90"/>
                <c:pt idx="0">
                  <c:v>0</c:v>
                </c:pt>
                <c:pt idx="1">
                  <c:v>0.95138888889050577</c:v>
                </c:pt>
                <c:pt idx="2">
                  <c:v>4.0208333333357587</c:v>
                </c:pt>
                <c:pt idx="3">
                  <c:v>5.7222222222262644</c:v>
                </c:pt>
                <c:pt idx="4">
                  <c:v>6.7687500000029104</c:v>
                </c:pt>
                <c:pt idx="5">
                  <c:v>7.7881944444452529</c:v>
                </c:pt>
                <c:pt idx="6">
                  <c:v>10.788194444445253</c:v>
                </c:pt>
                <c:pt idx="7">
                  <c:v>12.790972222224809</c:v>
                </c:pt>
                <c:pt idx="8">
                  <c:v>14.790277777778101</c:v>
                </c:pt>
                <c:pt idx="9">
                  <c:v>17.790277777778101</c:v>
                </c:pt>
                <c:pt idx="10">
                  <c:v>19.788194444445253</c:v>
                </c:pt>
                <c:pt idx="11">
                  <c:v>21.788194444445253</c:v>
                </c:pt>
                <c:pt idx="12">
                  <c:v>24.75</c:v>
                </c:pt>
                <c:pt idx="13">
                  <c:v>26.75</c:v>
                </c:pt>
                <c:pt idx="14">
                  <c:v>28.75</c:v>
                </c:pt>
                <c:pt idx="15">
                  <c:v>31.75</c:v>
                </c:pt>
                <c:pt idx="16">
                  <c:v>33.761111111110949</c:v>
                </c:pt>
                <c:pt idx="17">
                  <c:v>35.759722222224809</c:v>
                </c:pt>
                <c:pt idx="18">
                  <c:v>38.75</c:v>
                </c:pt>
                <c:pt idx="19">
                  <c:v>40.759722222224809</c:v>
                </c:pt>
                <c:pt idx="20">
                  <c:v>42.725694444445253</c:v>
                </c:pt>
                <c:pt idx="21">
                  <c:v>42.944444444445253</c:v>
                </c:pt>
                <c:pt idx="22">
                  <c:v>45.740277777782467</c:v>
                </c:pt>
                <c:pt idx="23">
                  <c:v>47.751388888893416</c:v>
                </c:pt>
                <c:pt idx="24">
                  <c:v>48.746527777781012</c:v>
                </c:pt>
                <c:pt idx="25">
                  <c:v>49.74861111111386</c:v>
                </c:pt>
                <c:pt idx="26">
                  <c:v>52.738194444449618</c:v>
                </c:pt>
                <c:pt idx="27">
                  <c:v>54.743055555554747</c:v>
                </c:pt>
                <c:pt idx="28">
                  <c:v>56.75</c:v>
                </c:pt>
                <c:pt idx="29">
                  <c:v>59.74722222222772</c:v>
                </c:pt>
                <c:pt idx="30">
                  <c:v>61.711111111115315</c:v>
                </c:pt>
                <c:pt idx="31">
                  <c:v>63.732638888890506</c:v>
                </c:pt>
                <c:pt idx="32">
                  <c:v>66.740972222221899</c:v>
                </c:pt>
                <c:pt idx="33">
                  <c:v>68.715277777781012</c:v>
                </c:pt>
                <c:pt idx="34">
                  <c:v>70.715277777781012</c:v>
                </c:pt>
                <c:pt idx="35">
                  <c:v>73.722916666665697</c:v>
                </c:pt>
                <c:pt idx="36">
                  <c:v>75.719444444446708</c:v>
                </c:pt>
                <c:pt idx="37">
                  <c:v>77.722222222226264</c:v>
                </c:pt>
                <c:pt idx="38">
                  <c:v>80.712500000001455</c:v>
                </c:pt>
                <c:pt idx="39">
                  <c:v>82.766666666670062</c:v>
                </c:pt>
                <c:pt idx="40">
                  <c:v>84.759722222224809</c:v>
                </c:pt>
                <c:pt idx="41">
                  <c:v>87.712500000001455</c:v>
                </c:pt>
                <c:pt idx="42">
                  <c:v>89.76736111111677</c:v>
                </c:pt>
                <c:pt idx="43">
                  <c:v>91.739583333335759</c:v>
                </c:pt>
                <c:pt idx="44">
                  <c:v>94.725694444445253</c:v>
                </c:pt>
                <c:pt idx="45">
                  <c:v>96.754166666665697</c:v>
                </c:pt>
                <c:pt idx="46">
                  <c:v>98.71736111111386</c:v>
                </c:pt>
                <c:pt idx="47">
                  <c:v>101.71527777778101</c:v>
                </c:pt>
                <c:pt idx="48">
                  <c:v>103.72847222222481</c:v>
                </c:pt>
                <c:pt idx="49">
                  <c:v>105.74375000000146</c:v>
                </c:pt>
                <c:pt idx="50">
                  <c:v>108.73541666667006</c:v>
                </c:pt>
                <c:pt idx="51">
                  <c:v>110.75069444444671</c:v>
                </c:pt>
                <c:pt idx="52">
                  <c:v>112.74791666666715</c:v>
                </c:pt>
                <c:pt idx="53">
                  <c:v>115.7229166666657</c:v>
                </c:pt>
                <c:pt idx="54">
                  <c:v>117.72152777777956</c:v>
                </c:pt>
                <c:pt idx="55">
                  <c:v>119.69305555555911</c:v>
                </c:pt>
                <c:pt idx="56">
                  <c:v>122.70694444444962</c:v>
                </c:pt>
                <c:pt idx="57">
                  <c:v>124.74305555555475</c:v>
                </c:pt>
                <c:pt idx="58">
                  <c:v>126.72083333333285</c:v>
                </c:pt>
                <c:pt idx="59">
                  <c:v>129.72638888889196</c:v>
                </c:pt>
                <c:pt idx="60">
                  <c:v>131.7236111111124</c:v>
                </c:pt>
                <c:pt idx="61">
                  <c:v>133.7993055555562</c:v>
                </c:pt>
                <c:pt idx="62">
                  <c:v>136.7097222222219</c:v>
                </c:pt>
                <c:pt idx="63">
                  <c:v>138.89444444444962</c:v>
                </c:pt>
                <c:pt idx="64">
                  <c:v>140.88333333333867</c:v>
                </c:pt>
                <c:pt idx="65">
                  <c:v>143.87291666666715</c:v>
                </c:pt>
                <c:pt idx="66">
                  <c:v>145.82013888889196</c:v>
                </c:pt>
                <c:pt idx="67">
                  <c:v>147.87291666666715</c:v>
                </c:pt>
                <c:pt idx="68">
                  <c:v>150.87013888889487</c:v>
                </c:pt>
                <c:pt idx="69">
                  <c:v>152.88333333333867</c:v>
                </c:pt>
                <c:pt idx="70">
                  <c:v>155.00763888889196</c:v>
                </c:pt>
                <c:pt idx="71">
                  <c:v>157.87638888889342</c:v>
                </c:pt>
                <c:pt idx="72">
                  <c:v>159.9152777777781</c:v>
                </c:pt>
                <c:pt idx="73">
                  <c:v>161.89444444444962</c:v>
                </c:pt>
                <c:pt idx="74">
                  <c:v>164.87708333333285</c:v>
                </c:pt>
                <c:pt idx="75">
                  <c:v>166.88680555555766</c:v>
                </c:pt>
                <c:pt idx="76">
                  <c:v>168.87638888889342</c:v>
                </c:pt>
                <c:pt idx="77">
                  <c:v>171.86458333333576</c:v>
                </c:pt>
                <c:pt idx="78">
                  <c:v>173.86805555555475</c:v>
                </c:pt>
                <c:pt idx="79">
                  <c:v>175.80694444444816</c:v>
                </c:pt>
                <c:pt idx="80">
                  <c:v>179.02430555555475</c:v>
                </c:pt>
                <c:pt idx="81">
                  <c:v>180.88125000000582</c:v>
                </c:pt>
                <c:pt idx="82">
                  <c:v>183.0048611111124</c:v>
                </c:pt>
                <c:pt idx="83">
                  <c:v>186.01666666667006</c:v>
                </c:pt>
                <c:pt idx="84">
                  <c:v>187.90763888889342</c:v>
                </c:pt>
                <c:pt idx="85">
                  <c:v>189.92916666666861</c:v>
                </c:pt>
                <c:pt idx="86">
                  <c:v>192.90347222222772</c:v>
                </c:pt>
                <c:pt idx="87">
                  <c:v>194.88958333333721</c:v>
                </c:pt>
                <c:pt idx="88">
                  <c:v>196.91250000000582</c:v>
                </c:pt>
                <c:pt idx="89">
                  <c:v>199.89861111111531</c:v>
                </c:pt>
              </c:numCache>
            </c:numRef>
          </c:xVal>
          <c:yVal>
            <c:numRef>
              <c:f>Balances!$I$4:$I$93</c:f>
              <c:numCache>
                <c:formatCode>0%</c:formatCode>
                <c:ptCount val="90"/>
                <c:pt idx="0">
                  <c:v>0.43617040557880676</c:v>
                </c:pt>
                <c:pt idx="1">
                  <c:v>0.65101799096781821</c:v>
                </c:pt>
                <c:pt idx="2">
                  <c:v>0.64007684098636319</c:v>
                </c:pt>
                <c:pt idx="3">
                  <c:v>0.7294070876399753</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numCache>
            </c:numRef>
          </c:yVal>
          <c:smooth val="0"/>
          <c:extLst>
            <c:ext xmlns:c16="http://schemas.microsoft.com/office/drawing/2014/chart" uri="{C3380CC4-5D6E-409C-BE32-E72D297353CC}">
              <c16:uniqueId val="{00000000-A0A8-400B-B7F8-960CDC9C0CDA}"/>
            </c:ext>
          </c:extLst>
        </c:ser>
        <c:dLbls>
          <c:showLegendKey val="0"/>
          <c:showVal val="0"/>
          <c:showCatName val="0"/>
          <c:showSerName val="0"/>
          <c:showPercent val="0"/>
          <c:showBubbleSize val="0"/>
        </c:dLbls>
        <c:axId val="812504936"/>
        <c:axId val="875135696"/>
      </c:scatterChart>
      <c:valAx>
        <c:axId val="812504936"/>
        <c:scaling>
          <c:orientation val="minMax"/>
          <c:max val="210"/>
          <c:min val="0"/>
        </c:scaling>
        <c:delete val="0"/>
        <c:axPos val="b"/>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75135696"/>
        <c:crosses val="autoZero"/>
        <c:crossBetween val="midCat"/>
        <c:majorUnit val="14"/>
      </c:valAx>
      <c:valAx>
        <c:axId val="8751356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125049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9</xdr:col>
      <xdr:colOff>514350</xdr:colOff>
      <xdr:row>7</xdr:row>
      <xdr:rowOff>4762</xdr:rowOff>
    </xdr:from>
    <xdr:to>
      <xdr:col>16</xdr:col>
      <xdr:colOff>361950</xdr:colOff>
      <xdr:row>21</xdr:row>
      <xdr:rowOff>80962</xdr:rowOff>
    </xdr:to>
    <xdr:graphicFrame macro="">
      <xdr:nvGraphicFramePr>
        <xdr:cNvPr id="2" name="Chart 1">
          <a:extLst>
            <a:ext uri="{FF2B5EF4-FFF2-40B4-BE49-F238E27FC236}">
              <a16:creationId xmlns:a16="http://schemas.microsoft.com/office/drawing/2014/main" id="{1B488C06-0B38-4A7C-A25D-4F0821BAC23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538162</xdr:colOff>
      <xdr:row>24</xdr:row>
      <xdr:rowOff>4762</xdr:rowOff>
    </xdr:from>
    <xdr:to>
      <xdr:col>16</xdr:col>
      <xdr:colOff>385762</xdr:colOff>
      <xdr:row>38</xdr:row>
      <xdr:rowOff>80962</xdr:rowOff>
    </xdr:to>
    <xdr:graphicFrame macro="">
      <xdr:nvGraphicFramePr>
        <xdr:cNvPr id="3" name="Chart 2">
          <a:extLst>
            <a:ext uri="{FF2B5EF4-FFF2-40B4-BE49-F238E27FC236}">
              <a16:creationId xmlns:a16="http://schemas.microsoft.com/office/drawing/2014/main" id="{13C44B60-49C5-D640-9A72-0129B293D13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16</xdr:row>
      <xdr:rowOff>71437</xdr:rowOff>
    </xdr:from>
    <xdr:to>
      <xdr:col>22</xdr:col>
      <xdr:colOff>361950</xdr:colOff>
      <xdr:row>36</xdr:row>
      <xdr:rowOff>180975</xdr:rowOff>
    </xdr:to>
    <xdr:graphicFrame macro="">
      <xdr:nvGraphicFramePr>
        <xdr:cNvPr id="2" name="Chart 1">
          <a:extLst>
            <a:ext uri="{FF2B5EF4-FFF2-40B4-BE49-F238E27FC236}">
              <a16:creationId xmlns:a16="http://schemas.microsoft.com/office/drawing/2014/main" id="{197BD7D1-0A8F-C100-7E1E-1938613EF3F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0</xdr:colOff>
      <xdr:row>40</xdr:row>
      <xdr:rowOff>90487</xdr:rowOff>
    </xdr:from>
    <xdr:to>
      <xdr:col>22</xdr:col>
      <xdr:colOff>381000</xdr:colOff>
      <xdr:row>59</xdr:row>
      <xdr:rowOff>142875</xdr:rowOff>
    </xdr:to>
    <xdr:graphicFrame macro="">
      <xdr:nvGraphicFramePr>
        <xdr:cNvPr id="3" name="Chart 2">
          <a:extLst>
            <a:ext uri="{FF2B5EF4-FFF2-40B4-BE49-F238E27FC236}">
              <a16:creationId xmlns:a16="http://schemas.microsoft.com/office/drawing/2014/main" id="{3F0379D6-2E26-C287-04E9-A7EA7AB88F2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4E5ED8-8184-4303-973C-B15686D38F6E}">
  <dimension ref="A2:Q37"/>
  <sheetViews>
    <sheetView workbookViewId="0">
      <selection activeCell="B15" sqref="B15"/>
    </sheetView>
  </sheetViews>
  <sheetFormatPr defaultRowHeight="15"/>
  <cols>
    <col min="2" max="2" width="27.42578125" customWidth="1"/>
    <col min="3" max="3" width="14" customWidth="1"/>
    <col min="4" max="4" width="13.85546875" bestFit="1" customWidth="1"/>
    <col min="5" max="5" width="19.7109375" bestFit="1" customWidth="1"/>
    <col min="6" max="6" width="22" bestFit="1" customWidth="1"/>
  </cols>
  <sheetData>
    <row r="2" spans="1:17" ht="55.5" customHeight="1">
      <c r="B2" s="1" t="s">
        <v>0</v>
      </c>
      <c r="C2" s="1" t="s">
        <v>1</v>
      </c>
      <c r="D2" s="2" t="s">
        <v>2</v>
      </c>
      <c r="E2" s="1" t="s">
        <v>3</v>
      </c>
      <c r="F2" s="1" t="s">
        <v>4</v>
      </c>
      <c r="G2" s="1" t="s">
        <v>5</v>
      </c>
      <c r="H2" s="1" t="s">
        <v>6</v>
      </c>
      <c r="I2" s="3"/>
    </row>
    <row r="3" spans="1:17" ht="33" customHeight="1">
      <c r="A3" s="4" t="s">
        <v>7</v>
      </c>
      <c r="B3" s="1" t="s">
        <v>8</v>
      </c>
      <c r="C3" s="5">
        <v>60.05</v>
      </c>
      <c r="D3" s="1">
        <v>2</v>
      </c>
      <c r="E3" s="1">
        <v>8</v>
      </c>
      <c r="F3" s="1">
        <v>4</v>
      </c>
      <c r="G3" s="5">
        <v>1.0666666666666667</v>
      </c>
      <c r="H3" s="5">
        <v>4.76</v>
      </c>
      <c r="I3" s="3"/>
    </row>
    <row r="4" spans="1:17" ht="33" customHeight="1">
      <c r="A4" s="4" t="s">
        <v>9</v>
      </c>
      <c r="B4" s="1" t="s">
        <v>10</v>
      </c>
      <c r="C4" s="5">
        <v>74.08</v>
      </c>
      <c r="D4" s="1">
        <v>3</v>
      </c>
      <c r="E4" s="1">
        <v>14</v>
      </c>
      <c r="F4" s="6">
        <v>4.666666666666667</v>
      </c>
      <c r="G4" s="5">
        <v>1.5135135135135136</v>
      </c>
      <c r="H4" s="5">
        <v>4.88</v>
      </c>
      <c r="I4" s="3"/>
      <c r="P4">
        <v>240</v>
      </c>
      <c r="Q4">
        <v>250</v>
      </c>
    </row>
    <row r="5" spans="1:17" ht="33" customHeight="1">
      <c r="A5" s="4" t="s">
        <v>11</v>
      </c>
      <c r="B5" s="1" t="s">
        <v>12</v>
      </c>
      <c r="C5" s="5">
        <v>88.11</v>
      </c>
      <c r="D5" s="1">
        <v>4</v>
      </c>
      <c r="E5" s="1">
        <v>20</v>
      </c>
      <c r="F5" s="1">
        <v>5</v>
      </c>
      <c r="G5" s="5">
        <v>1.8181818181818181</v>
      </c>
      <c r="H5" s="5">
        <v>4.82</v>
      </c>
      <c r="I5" s="3"/>
      <c r="P5">
        <f>P4/D3*C3/1000</f>
        <v>7.2060000000000004</v>
      </c>
      <c r="Q5">
        <f>Q4/D6*C6/1000</f>
        <v>5.506875</v>
      </c>
    </row>
    <row r="6" spans="1:17" ht="33" customHeight="1">
      <c r="A6" s="4" t="s">
        <v>13</v>
      </c>
      <c r="B6" s="1" t="s">
        <v>14</v>
      </c>
      <c r="C6" s="5">
        <v>88.11</v>
      </c>
      <c r="D6" s="1">
        <v>4</v>
      </c>
      <c r="E6" s="1">
        <v>20</v>
      </c>
      <c r="F6" s="1">
        <v>5</v>
      </c>
      <c r="G6" s="5">
        <v>1.8181818181818181</v>
      </c>
      <c r="H6" s="5">
        <v>4.82</v>
      </c>
      <c r="I6" s="3"/>
      <c r="K6">
        <v>370</v>
      </c>
      <c r="M6">
        <v>40</v>
      </c>
    </row>
    <row r="7" spans="1:17" ht="33" customHeight="1">
      <c r="A7" s="4" t="s">
        <v>15</v>
      </c>
      <c r="B7" s="1" t="s">
        <v>16</v>
      </c>
      <c r="C7" s="5">
        <v>102.13</v>
      </c>
      <c r="D7" s="1">
        <v>5</v>
      </c>
      <c r="E7" s="1">
        <v>26</v>
      </c>
      <c r="F7" s="1">
        <v>5.2</v>
      </c>
      <c r="G7" s="5">
        <v>2.0392156862745097</v>
      </c>
      <c r="H7" s="5">
        <v>4.82</v>
      </c>
      <c r="I7" s="3"/>
      <c r="K7">
        <f>K6/D12*C12/1000</f>
        <v>9.6296662499999996</v>
      </c>
      <c r="M7">
        <f>M6/D18*C18/1000</f>
        <v>0.94503999999999999</v>
      </c>
    </row>
    <row r="8" spans="1:17" ht="33" customHeight="1">
      <c r="A8" s="4" t="s">
        <v>17</v>
      </c>
      <c r="B8" s="1" t="s">
        <v>18</v>
      </c>
      <c r="C8" s="5">
        <v>102.13</v>
      </c>
      <c r="D8" s="1">
        <v>5</v>
      </c>
      <c r="E8" s="1">
        <v>26</v>
      </c>
      <c r="F8" s="1">
        <v>5.2</v>
      </c>
      <c r="G8" s="5">
        <v>2.0392156862745097</v>
      </c>
      <c r="H8" s="5">
        <v>4.82</v>
      </c>
      <c r="I8" s="3"/>
    </row>
    <row r="9" spans="1:17" ht="33" customHeight="1">
      <c r="A9" s="4" t="s">
        <v>19</v>
      </c>
      <c r="B9" s="1" t="s">
        <v>20</v>
      </c>
      <c r="C9" s="5">
        <v>116.16</v>
      </c>
      <c r="D9" s="1">
        <v>6</v>
      </c>
      <c r="E9" s="1">
        <v>32</v>
      </c>
      <c r="F9" s="6">
        <v>5.333333333333333</v>
      </c>
      <c r="G9" s="5">
        <v>2.2068965517241379</v>
      </c>
      <c r="H9" s="5">
        <v>4.88</v>
      </c>
      <c r="I9" s="3"/>
      <c r="K9">
        <v>45</v>
      </c>
    </row>
    <row r="10" spans="1:17" ht="33" customHeight="1">
      <c r="A10" s="4" t="s">
        <v>21</v>
      </c>
      <c r="B10" s="1" t="s">
        <v>22</v>
      </c>
      <c r="C10" s="5">
        <v>116.16</v>
      </c>
      <c r="D10" s="1">
        <v>6</v>
      </c>
      <c r="E10" s="1">
        <v>32</v>
      </c>
      <c r="F10" s="6">
        <v>5.333333333333333</v>
      </c>
      <c r="G10" s="5">
        <v>2.2068965517241379</v>
      </c>
      <c r="H10" s="5">
        <v>4.88</v>
      </c>
      <c r="I10" s="3"/>
      <c r="K10">
        <f>K9/D13*C13/1000</f>
        <v>1.3512</v>
      </c>
    </row>
    <row r="11" spans="1:17" ht="33" customHeight="1">
      <c r="B11" s="1" t="s">
        <v>23</v>
      </c>
      <c r="C11" s="5">
        <v>86.09</v>
      </c>
      <c r="D11" s="1">
        <v>4</v>
      </c>
      <c r="E11" s="1">
        <v>18</v>
      </c>
      <c r="F11" s="1">
        <v>4.5</v>
      </c>
      <c r="G11" s="5">
        <v>1.7674418604651163</v>
      </c>
      <c r="H11" s="5">
        <v>4.8170000000000002</v>
      </c>
      <c r="I11" s="3"/>
    </row>
    <row r="12" spans="1:17" ht="33" customHeight="1">
      <c r="B12" s="1" t="s">
        <v>24</v>
      </c>
      <c r="C12" s="5">
        <v>104.1045</v>
      </c>
      <c r="D12" s="1">
        <v>4</v>
      </c>
      <c r="E12" s="1">
        <v>18</v>
      </c>
      <c r="F12" s="1">
        <v>4.5</v>
      </c>
      <c r="G12" s="5">
        <v>1.3846153846153846</v>
      </c>
      <c r="H12" s="5">
        <v>4.41</v>
      </c>
      <c r="I12" s="3"/>
    </row>
    <row r="13" spans="1:17" ht="33" customHeight="1">
      <c r="B13" s="1" t="s">
        <v>25</v>
      </c>
      <c r="C13" s="5">
        <v>90.08</v>
      </c>
      <c r="D13" s="1">
        <v>3</v>
      </c>
      <c r="E13" s="1">
        <v>12</v>
      </c>
      <c r="F13" s="1">
        <v>4</v>
      </c>
      <c r="G13" s="5">
        <v>1.0666666666666667</v>
      </c>
      <c r="H13" s="5">
        <v>3.85</v>
      </c>
      <c r="I13" s="3"/>
    </row>
    <row r="14" spans="1:17" ht="33" customHeight="1">
      <c r="B14" s="1" t="s">
        <v>26</v>
      </c>
      <c r="C14" s="5">
        <v>2.02</v>
      </c>
      <c r="D14" s="1">
        <v>0</v>
      </c>
      <c r="E14" s="1">
        <v>2</v>
      </c>
      <c r="F14" s="1">
        <v>0</v>
      </c>
      <c r="G14" s="1">
        <v>8</v>
      </c>
    </row>
    <row r="15" spans="1:17" ht="33" customHeight="1">
      <c r="B15" s="1" t="s">
        <v>27</v>
      </c>
      <c r="C15" s="5">
        <v>44</v>
      </c>
      <c r="D15" s="1">
        <v>1</v>
      </c>
      <c r="E15" s="1">
        <v>0</v>
      </c>
      <c r="F15" s="1">
        <v>0</v>
      </c>
      <c r="G15" s="1">
        <v>0</v>
      </c>
    </row>
    <row r="16" spans="1:17" ht="33" customHeight="1">
      <c r="B16" s="1" t="s">
        <v>28</v>
      </c>
      <c r="C16" s="5">
        <v>16.04</v>
      </c>
      <c r="D16" s="1">
        <v>1</v>
      </c>
      <c r="E16" s="1">
        <v>8</v>
      </c>
      <c r="F16" s="1">
        <v>8</v>
      </c>
      <c r="G16" s="1">
        <v>4</v>
      </c>
    </row>
    <row r="17" spans="2:8" ht="33" customHeight="1">
      <c r="B17" s="1" t="s">
        <v>29</v>
      </c>
      <c r="C17" s="5">
        <v>274.31900000000002</v>
      </c>
      <c r="D17" s="1">
        <v>19</v>
      </c>
      <c r="E17" s="1">
        <v>86</v>
      </c>
      <c r="F17" s="6">
        <v>4.5263157894736841</v>
      </c>
      <c r="G17" s="5">
        <v>2.508</v>
      </c>
    </row>
    <row r="18" spans="2:8" ht="33" customHeight="1">
      <c r="B18" s="1" t="s">
        <v>209</v>
      </c>
      <c r="C18" s="1">
        <v>118.13</v>
      </c>
      <c r="D18" s="1">
        <v>5</v>
      </c>
      <c r="E18" s="3">
        <v>24</v>
      </c>
      <c r="F18" s="1">
        <v>4.8</v>
      </c>
      <c r="G18" s="1">
        <v>1.3846153846153846</v>
      </c>
      <c r="H18" s="1"/>
    </row>
    <row r="19" spans="2:8" ht="33" customHeight="1">
      <c r="B19" s="1"/>
      <c r="C19" s="1"/>
      <c r="D19" s="1"/>
      <c r="E19" s="3"/>
    </row>
    <row r="20" spans="2:8" ht="33" customHeight="1">
      <c r="B20" s="1" t="s">
        <v>30</v>
      </c>
      <c r="C20" s="1">
        <v>8.3144620000000007</v>
      </c>
      <c r="D20" s="1" t="s">
        <v>31</v>
      </c>
      <c r="E20" s="3"/>
    </row>
    <row r="21" spans="2:8" ht="33" customHeight="1">
      <c r="B21" s="1"/>
      <c r="C21" s="1"/>
      <c r="D21" s="1"/>
      <c r="E21" s="3"/>
    </row>
    <row r="22" spans="2:8" ht="33" customHeight="1">
      <c r="B22" s="1" t="s">
        <v>32</v>
      </c>
      <c r="C22" s="1" t="s">
        <v>33</v>
      </c>
      <c r="D22" s="7">
        <v>4.4499999999999997E-7</v>
      </c>
      <c r="E22" s="3"/>
      <c r="F22" s="1" t="s">
        <v>34</v>
      </c>
      <c r="G22" s="1">
        <v>6.35</v>
      </c>
    </row>
    <row r="23" spans="2:8" ht="33" customHeight="1">
      <c r="B23" s="1"/>
      <c r="C23" s="1" t="s">
        <v>35</v>
      </c>
      <c r="D23" s="7">
        <v>4.6900000000000001E-11</v>
      </c>
      <c r="E23" s="3"/>
      <c r="F23" s="1" t="s">
        <v>34</v>
      </c>
      <c r="G23" s="1">
        <v>10.33</v>
      </c>
    </row>
    <row r="24" spans="2:8" ht="33" customHeight="1">
      <c r="B24" s="1"/>
      <c r="C24" s="1"/>
      <c r="D24" s="1"/>
      <c r="E24" s="3"/>
    </row>
    <row r="25" spans="2:8" ht="33" customHeight="1">
      <c r="B25" s="1"/>
      <c r="C25" s="1" t="s">
        <v>36</v>
      </c>
      <c r="D25" s="1">
        <v>29.41</v>
      </c>
      <c r="E25" s="3" t="s">
        <v>37</v>
      </c>
    </row>
    <row r="26" spans="2:8" ht="33" customHeight="1">
      <c r="B26" s="1"/>
      <c r="C26" s="1"/>
      <c r="D26" s="1"/>
      <c r="E26" s="3"/>
    </row>
    <row r="27" spans="2:8" ht="33" customHeight="1">
      <c r="B27" s="1"/>
      <c r="C27" s="1"/>
      <c r="D27" s="1"/>
      <c r="E27" s="3"/>
    </row>
    <row r="28" spans="2:8" ht="33" customHeight="1">
      <c r="B28" s="1"/>
      <c r="C28" s="1"/>
      <c r="D28" s="1"/>
      <c r="E28" s="3"/>
    </row>
    <row r="29" spans="2:8" ht="33" customHeight="1">
      <c r="B29" s="1"/>
      <c r="C29" s="1"/>
      <c r="D29" s="1"/>
      <c r="E29" s="3"/>
    </row>
    <row r="30" spans="2:8" ht="33" customHeight="1">
      <c r="B30" s="1"/>
      <c r="C30" s="1"/>
      <c r="D30" s="1"/>
      <c r="E30" s="3"/>
    </row>
    <row r="31" spans="2:8" ht="33" customHeight="1">
      <c r="B31" s="1"/>
      <c r="C31" s="1"/>
      <c r="D31" s="1"/>
      <c r="E31" s="3"/>
    </row>
    <row r="32" spans="2:8" ht="33" customHeight="1">
      <c r="B32" s="1"/>
      <c r="C32" s="1"/>
      <c r="D32" s="1"/>
      <c r="E32" s="3"/>
    </row>
    <row r="33" spans="2:5" ht="33" customHeight="1">
      <c r="B33" s="1"/>
      <c r="C33" s="1"/>
      <c r="D33" s="1"/>
      <c r="E33" s="3"/>
    </row>
    <row r="34" spans="2:5" ht="33" customHeight="1">
      <c r="B34" s="1"/>
      <c r="C34" s="1"/>
      <c r="D34" s="1"/>
      <c r="E34" s="3"/>
    </row>
    <row r="35" spans="2:5" ht="33" customHeight="1">
      <c r="B35" s="1"/>
      <c r="C35" s="1"/>
      <c r="D35" s="1"/>
      <c r="E35" s="3"/>
    </row>
    <row r="36" spans="2:5" ht="33" customHeight="1">
      <c r="B36" s="1"/>
      <c r="C36" s="1"/>
      <c r="D36" s="1"/>
      <c r="E36" s="3"/>
    </row>
    <row r="37" spans="2:5" ht="33" customHeight="1">
      <c r="B37" s="1"/>
      <c r="C37" s="1"/>
      <c r="D37" s="1"/>
      <c r="E37" s="3"/>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B483A-06BC-4294-ADEE-62569BB10770}">
  <dimension ref="A2:N94"/>
  <sheetViews>
    <sheetView workbookViewId="0">
      <pane xSplit="1" ySplit="3" topLeftCell="B31" activePane="bottomRight" state="frozen"/>
      <selection pane="topRight" activeCell="B1" sqref="B1"/>
      <selection pane="bottomLeft" activeCell="A4" sqref="A4"/>
      <selection pane="bottomRight" activeCell="G7" sqref="G7"/>
    </sheetView>
  </sheetViews>
  <sheetFormatPr defaultRowHeight="15"/>
  <cols>
    <col min="2" max="3" width="11.7109375" bestFit="1" customWidth="1"/>
    <col min="4" max="4" width="14.42578125" bestFit="1" customWidth="1"/>
    <col min="7" max="7" width="11.7109375" bestFit="1" customWidth="1"/>
    <col min="8" max="8" width="11.85546875" bestFit="1" customWidth="1"/>
    <col min="9" max="9" width="15.85546875" bestFit="1" customWidth="1"/>
  </cols>
  <sheetData>
    <row r="2" spans="1:14">
      <c r="B2" t="s">
        <v>215</v>
      </c>
      <c r="C2" t="s">
        <v>215</v>
      </c>
      <c r="D2" t="s">
        <v>185</v>
      </c>
      <c r="G2" t="s">
        <v>216</v>
      </c>
      <c r="H2" t="s">
        <v>216</v>
      </c>
      <c r="I2" t="s">
        <v>185</v>
      </c>
    </row>
    <row r="3" spans="1:14">
      <c r="A3" t="s">
        <v>141</v>
      </c>
      <c r="B3" t="s">
        <v>217</v>
      </c>
      <c r="C3" t="s">
        <v>218</v>
      </c>
      <c r="D3" t="s">
        <v>219</v>
      </c>
      <c r="G3" t="s">
        <v>220</v>
      </c>
      <c r="H3" t="s">
        <v>221</v>
      </c>
      <c r="I3" t="s">
        <v>222</v>
      </c>
    </row>
    <row r="4" spans="1:14">
      <c r="A4" s="113">
        <f>Productivities!A4</f>
        <v>0</v>
      </c>
      <c r="B4" s="202">
        <f>SUM('Influent Concentration'!X4:AE4)</f>
        <v>565.92988930172976</v>
      </c>
      <c r="C4" s="204">
        <f>SUM('Effluent Concentration'!AK4:AU4)</f>
        <v>242.16140644236805</v>
      </c>
      <c r="D4" s="203">
        <f>C4/B4</f>
        <v>0.4279000120335717</v>
      </c>
      <c r="G4" s="202">
        <f>SUM('Influent Concentration'!AF4:AM4)</f>
        <v>2489.5499282663427</v>
      </c>
      <c r="H4" s="204">
        <f>SUM('Effluent Concentration'!AV4:BF4)</f>
        <v>1085.8680019206199</v>
      </c>
      <c r="I4" s="203">
        <f>H4/G4</f>
        <v>0.43617040557880676</v>
      </c>
    </row>
    <row r="5" spans="1:14">
      <c r="A5" s="113">
        <f>Productivities!A5</f>
        <v>0.95138888889050577</v>
      </c>
      <c r="B5" s="202">
        <f>SUM('Influent Concentration'!X5:AE5)</f>
        <v>529.58163483010492</v>
      </c>
      <c r="C5" s="204">
        <f>SUM('Effluent Concentration'!AK5:AU5)</f>
        <v>341.61013687258321</v>
      </c>
      <c r="D5" s="203">
        <f t="shared" ref="D5:D68" si="0">C5/B5</f>
        <v>0.64505661526985381</v>
      </c>
      <c r="G5" s="202">
        <f>SUM('Influent Concentration'!AF5:AM5)</f>
        <v>2355.989779349396</v>
      </c>
      <c r="H5" s="204">
        <f>SUM('Effluent Concentration'!AV5:BF5)</f>
        <v>1533.7917328927572</v>
      </c>
      <c r="I5" s="203">
        <f t="shared" ref="I5:I68" si="1">H5/G5</f>
        <v>0.65101799096781821</v>
      </c>
    </row>
    <row r="6" spans="1:14">
      <c r="A6" s="113">
        <f>Productivities!A6</f>
        <v>4.0208333333357587</v>
      </c>
      <c r="B6" s="202">
        <f>SUM('Influent Concentration'!X6:AE6)</f>
        <v>529.58163483010492</v>
      </c>
      <c r="C6" s="204">
        <f>SUM('Effluent Concentration'!AK6:AU6)</f>
        <v>330.4256295173081</v>
      </c>
      <c r="D6" s="203">
        <f t="shared" si="0"/>
        <v>0.62393710012869297</v>
      </c>
      <c r="G6" s="202">
        <f>SUM('Influent Concentration'!AF6:AM6)</f>
        <v>2355.989779349396</v>
      </c>
      <c r="H6" s="204">
        <f>SUM('Effluent Concentration'!AV6:BF6)</f>
        <v>1508.0144953621202</v>
      </c>
      <c r="I6" s="203">
        <f t="shared" si="1"/>
        <v>0.64007684098636319</v>
      </c>
    </row>
    <row r="7" spans="1:14">
      <c r="A7" s="113">
        <f>Productivities!A7</f>
        <v>5.7222222222262644</v>
      </c>
      <c r="B7" s="202">
        <f>SUM('Influent Concentration'!X7:AE7)</f>
        <v>529.58163483010492</v>
      </c>
      <c r="C7" s="204">
        <f>SUM('Effluent Concentration'!AK7:AU7)</f>
        <v>379.51509383800374</v>
      </c>
      <c r="D7" s="203">
        <f t="shared" si="0"/>
        <v>0.71663190125495191</v>
      </c>
      <c r="G7" s="202">
        <f>SUM('Influent Concentration'!AF7:AM7)</f>
        <v>2355.989779349396</v>
      </c>
      <c r="H7" s="204">
        <f>SUM('Effluent Concentration'!AV7:BF7)</f>
        <v>1718.4756434647909</v>
      </c>
      <c r="I7" s="203">
        <f t="shared" si="1"/>
        <v>0.7294070876399753</v>
      </c>
    </row>
    <row r="8" spans="1:14">
      <c r="A8" s="113">
        <f>Productivities!A8</f>
        <v>6.7687500000029104</v>
      </c>
      <c r="B8">
        <f>SUM(Productivities!B8:J8)</f>
        <v>285.2720973024293</v>
      </c>
      <c r="C8">
        <f>SUM(Productivities!K8:W8)</f>
        <v>148.87481207004006</v>
      </c>
      <c r="D8" s="185">
        <f t="shared" si="0"/>
        <v>0.52186951853272712</v>
      </c>
      <c r="G8">
        <f>SUM(Productivities!AY8:BF8)</f>
        <v>0</v>
      </c>
      <c r="H8">
        <f>SUM(Productivities!BG8:BS8)</f>
        <v>0</v>
      </c>
      <c r="I8" s="185" t="e">
        <f t="shared" si="1"/>
        <v>#DIV/0!</v>
      </c>
      <c r="N8" s="254"/>
    </row>
    <row r="9" spans="1:14">
      <c r="A9" s="113">
        <f>Productivities!A9</f>
        <v>7.7881944444452529</v>
      </c>
      <c r="B9">
        <f>SUM(Productivities!B9:J9)</f>
        <v>295.95096924069497</v>
      </c>
      <c r="C9">
        <f>SUM(Productivities!K9:W9)</f>
        <v>246.6794340117884</v>
      </c>
      <c r="D9" s="185">
        <f t="shared" si="0"/>
        <v>0.83351453331840808</v>
      </c>
      <c r="G9">
        <f>SUM(Productivities!AY9:BF9)</f>
        <v>0</v>
      </c>
      <c r="H9">
        <f>SUM(Productivities!BG9:BS9)</f>
        <v>0</v>
      </c>
      <c r="I9" s="185" t="e">
        <f t="shared" si="1"/>
        <v>#DIV/0!</v>
      </c>
    </row>
    <row r="10" spans="1:14">
      <c r="A10" s="113">
        <f>Productivities!A10</f>
        <v>10.788194444445253</v>
      </c>
      <c r="B10">
        <f>SUM(Productivities!B10:J10)</f>
        <v>295.95096924069497</v>
      </c>
      <c r="C10">
        <f>SUM(Productivities!K10:W10)</f>
        <v>258.8280358594298</v>
      </c>
      <c r="D10" s="185">
        <f t="shared" si="0"/>
        <v>0.87456390672918072</v>
      </c>
      <c r="G10">
        <f>SUM(Productivities!AY10:BF10)</f>
        <v>0</v>
      </c>
      <c r="H10">
        <f>SUM(Productivities!BG10:BS10)</f>
        <v>0</v>
      </c>
      <c r="I10" s="185" t="e">
        <f t="shared" si="1"/>
        <v>#DIV/0!</v>
      </c>
    </row>
    <row r="11" spans="1:14">
      <c r="A11" s="113">
        <f>Productivities!A11</f>
        <v>12.790972222224809</v>
      </c>
      <c r="B11">
        <f>SUM(Productivities!B11:J11)</f>
        <v>295.95096924069497</v>
      </c>
      <c r="C11">
        <f>SUM(Productivities!K11:W11)</f>
        <v>263.19954895387428</v>
      </c>
      <c r="D11" s="185">
        <f t="shared" si="0"/>
        <v>0.88933497879446322</v>
      </c>
      <c r="G11">
        <f>SUM(Productivities!AY11:BF11)</f>
        <v>0</v>
      </c>
      <c r="H11">
        <f>SUM(Productivities!BG11:BS11)</f>
        <v>0</v>
      </c>
      <c r="I11" s="185" t="e">
        <f t="shared" si="1"/>
        <v>#DIV/0!</v>
      </c>
    </row>
    <row r="12" spans="1:14">
      <c r="A12" s="113">
        <f>Productivities!A12</f>
        <v>14.790277777778101</v>
      </c>
      <c r="B12">
        <f>SUM(Productivities!B12:J12)</f>
        <v>280.15619305797566</v>
      </c>
      <c r="C12">
        <f>SUM(Productivities!K12:W12)</f>
        <v>291.84406873505083</v>
      </c>
      <c r="D12" s="185">
        <f t="shared" si="0"/>
        <v>1.0417191408460369</v>
      </c>
      <c r="G12">
        <f>SUM(Productivities!AY12:BF12)</f>
        <v>0</v>
      </c>
      <c r="H12">
        <f>SUM(Productivities!BG12:BS12)</f>
        <v>0</v>
      </c>
      <c r="I12" s="185" t="e">
        <f t="shared" si="1"/>
        <v>#DIV/0!</v>
      </c>
    </row>
    <row r="13" spans="1:14">
      <c r="A13" s="113">
        <f>Productivities!A13</f>
        <v>17.790277777778101</v>
      </c>
      <c r="B13">
        <f>SUM(Productivities!B13:J13)</f>
        <v>256.69977676584233</v>
      </c>
      <c r="C13">
        <f>SUM(Productivities!K13:W13)</f>
        <v>270.65398913185135</v>
      </c>
      <c r="D13" s="185">
        <f t="shared" si="0"/>
        <v>1.0543600486989821</v>
      </c>
      <c r="G13">
        <f>SUM(Productivities!AY13:BF13)</f>
        <v>0</v>
      </c>
      <c r="H13">
        <f>SUM(Productivities!BG13:BS13)</f>
        <v>0</v>
      </c>
      <c r="I13" s="185" t="e">
        <f t="shared" si="1"/>
        <v>#DIV/0!</v>
      </c>
    </row>
    <row r="14" spans="1:14">
      <c r="A14" s="113">
        <f>Productivities!A14</f>
        <v>19.788194444445253</v>
      </c>
      <c r="B14">
        <f>SUM(Productivities!B14:J14)</f>
        <v>255.16204249590774</v>
      </c>
      <c r="C14">
        <f>SUM(Productivities!K14:W14)</f>
        <v>267.60821976645474</v>
      </c>
      <c r="D14" s="185">
        <f t="shared" si="0"/>
        <v>1.0487775421014927</v>
      </c>
      <c r="G14">
        <f>SUM(Productivities!AY14:BF14)</f>
        <v>0</v>
      </c>
      <c r="H14">
        <f>SUM(Productivities!BG14:BS14)</f>
        <v>0</v>
      </c>
      <c r="I14" s="185" t="e">
        <f t="shared" si="1"/>
        <v>#DIV/0!</v>
      </c>
    </row>
    <row r="15" spans="1:14">
      <c r="A15" s="113">
        <f>Productivities!A15</f>
        <v>21.788194444445253</v>
      </c>
      <c r="B15">
        <f>SUM(Productivities!B15:J15)</f>
        <v>260.30741902768716</v>
      </c>
      <c r="C15">
        <f>SUM(Productivities!K15:W15)</f>
        <v>275.81303095627158</v>
      </c>
      <c r="D15" s="185">
        <f t="shared" si="0"/>
        <v>1.0595665386199968</v>
      </c>
      <c r="G15">
        <f>SUM(Productivities!AY15:BF15)</f>
        <v>0</v>
      </c>
      <c r="H15">
        <f>SUM(Productivities!BG15:BS15)</f>
        <v>0</v>
      </c>
      <c r="I15" s="185" t="e">
        <f t="shared" si="1"/>
        <v>#DIV/0!</v>
      </c>
    </row>
    <row r="16" spans="1:14">
      <c r="A16" s="113">
        <f>Productivities!A16</f>
        <v>24.75</v>
      </c>
      <c r="B16">
        <f>SUM(Productivities!B16:J16)</f>
        <v>235.907015561946</v>
      </c>
      <c r="C16">
        <f>SUM(Productivities!K16:W16)</f>
        <v>274.92305229126515</v>
      </c>
      <c r="D16" s="185">
        <f t="shared" si="0"/>
        <v>1.1653873524548661</v>
      </c>
      <c r="G16">
        <f>SUM(Productivities!AY16:BF16)</f>
        <v>0</v>
      </c>
      <c r="H16">
        <f>SUM(Productivities!BG16:BS16)</f>
        <v>0</v>
      </c>
      <c r="I16" s="185" t="e">
        <f t="shared" si="1"/>
        <v>#DIV/0!</v>
      </c>
    </row>
    <row r="17" spans="1:9">
      <c r="A17" s="113">
        <f>Productivities!A17</f>
        <v>26.75</v>
      </c>
      <c r="B17">
        <f>SUM(Productivities!B17:J17)</f>
        <v>272.64940823939344</v>
      </c>
      <c r="C17">
        <f>SUM(Productivities!K17:W17)</f>
        <v>302.64786017119974</v>
      </c>
      <c r="D17" s="185">
        <f t="shared" si="0"/>
        <v>1.1100257364412354</v>
      </c>
      <c r="G17">
        <f>SUM(Productivities!AY17:BF17)</f>
        <v>0</v>
      </c>
      <c r="H17">
        <f>SUM(Productivities!BG17:BS17)</f>
        <v>0</v>
      </c>
      <c r="I17" s="185" t="e">
        <f t="shared" si="1"/>
        <v>#DIV/0!</v>
      </c>
    </row>
    <row r="18" spans="1:9">
      <c r="A18" s="113">
        <f>Productivities!A18</f>
        <v>28.75</v>
      </c>
      <c r="B18">
        <f>SUM(Productivities!B18:J18)</f>
        <v>250.52933508637437</v>
      </c>
      <c r="C18">
        <f>SUM(Productivities!K18:W18)</f>
        <v>268.60598797383977</v>
      </c>
      <c r="D18" s="185">
        <f t="shared" si="0"/>
        <v>1.0721538373190236</v>
      </c>
      <c r="G18">
        <f>SUM(Productivities!AY18:BF18)</f>
        <v>0</v>
      </c>
      <c r="H18">
        <f>SUM(Productivities!BG18:BS18)</f>
        <v>0</v>
      </c>
      <c r="I18" s="185" t="e">
        <f t="shared" si="1"/>
        <v>#DIV/0!</v>
      </c>
    </row>
    <row r="19" spans="1:9">
      <c r="A19" s="113">
        <f>Productivities!A19</f>
        <v>31.75</v>
      </c>
      <c r="B19">
        <f>SUM(Productivities!B19:J19)</f>
        <v>256.61710819076785</v>
      </c>
      <c r="C19">
        <f>SUM(Productivities!K19:W19)</f>
        <v>281.83501806193851</v>
      </c>
      <c r="D19" s="185">
        <f t="shared" si="0"/>
        <v>1.098270571471111</v>
      </c>
      <c r="G19">
        <f>SUM(Productivities!AY19:BF19)</f>
        <v>0</v>
      </c>
      <c r="H19">
        <f>SUM(Productivities!BG19:BS19)</f>
        <v>0</v>
      </c>
      <c r="I19" s="185" t="e">
        <f t="shared" si="1"/>
        <v>#DIV/0!</v>
      </c>
    </row>
    <row r="20" spans="1:9">
      <c r="A20" s="113">
        <f>Productivities!A20</f>
        <v>33.761111111110949</v>
      </c>
      <c r="B20">
        <f>SUM(Productivities!B20:J20)</f>
        <v>268.24722899988217</v>
      </c>
      <c r="C20">
        <f>SUM(Productivities!K20:W20)</f>
        <v>272.74315326911534</v>
      </c>
      <c r="D20" s="185">
        <f t="shared" si="0"/>
        <v>1.0167603754416981</v>
      </c>
      <c r="G20">
        <f>SUM(Productivities!AY20:BF20)</f>
        <v>0</v>
      </c>
      <c r="H20">
        <f>SUM(Productivities!BG20:BS20)</f>
        <v>0</v>
      </c>
      <c r="I20" s="185" t="e">
        <f t="shared" si="1"/>
        <v>#DIV/0!</v>
      </c>
    </row>
    <row r="21" spans="1:9">
      <c r="A21" s="113">
        <f>Productivities!A21</f>
        <v>35.759722222224809</v>
      </c>
      <c r="B21">
        <f>SUM(Productivities!B21:J21)</f>
        <v>274.32987395127952</v>
      </c>
      <c r="C21">
        <f>SUM(Productivities!K21:W21)</f>
        <v>280.1854345517612</v>
      </c>
      <c r="D21" s="185">
        <f t="shared" si="0"/>
        <v>1.0213449615098122</v>
      </c>
      <c r="E21" s="254"/>
      <c r="G21">
        <f>SUM(Productivities!AY21:BF21)</f>
        <v>0</v>
      </c>
      <c r="H21">
        <f>SUM(Productivities!BG21:BS21)</f>
        <v>0</v>
      </c>
      <c r="I21" s="185" t="e">
        <f t="shared" si="1"/>
        <v>#DIV/0!</v>
      </c>
    </row>
    <row r="22" spans="1:9">
      <c r="A22" s="113">
        <f>Productivities!A22</f>
        <v>38.75</v>
      </c>
      <c r="B22">
        <f>SUM(Productivities!B22:J22)</f>
        <v>258.56831578856111</v>
      </c>
      <c r="C22">
        <f>SUM(Productivities!K22:W22)</f>
        <v>271.52189714728422</v>
      </c>
      <c r="D22" s="185">
        <f t="shared" si="0"/>
        <v>1.0500973265777684</v>
      </c>
      <c r="G22">
        <f>SUM(Productivities!AY22:BF22)</f>
        <v>0</v>
      </c>
      <c r="H22">
        <f>SUM(Productivities!BG22:BS22)</f>
        <v>0</v>
      </c>
      <c r="I22" s="185" t="e">
        <f t="shared" si="1"/>
        <v>#DIV/0!</v>
      </c>
    </row>
    <row r="23" spans="1:9">
      <c r="A23" s="113">
        <f>Productivities!A23</f>
        <v>40.759722222224809</v>
      </c>
      <c r="B23">
        <f>SUM(Productivities!B23:J23)</f>
        <v>287.12845101834142</v>
      </c>
      <c r="C23">
        <f>SUM(Productivities!K23:W23)</f>
        <v>273.2556903005115</v>
      </c>
      <c r="D23" s="185">
        <f t="shared" si="0"/>
        <v>0.95168447895487818</v>
      </c>
      <c r="G23">
        <f>SUM(Productivities!AY23:BF23)</f>
        <v>0</v>
      </c>
      <c r="H23">
        <f>SUM(Productivities!BG23:BS23)</f>
        <v>0</v>
      </c>
      <c r="I23" s="185" t="e">
        <f t="shared" si="1"/>
        <v>#DIV/0!</v>
      </c>
    </row>
    <row r="24" spans="1:9">
      <c r="A24" s="113">
        <f>Productivities!A24</f>
        <v>42.725694444445253</v>
      </c>
      <c r="B24">
        <f>SUM(Productivities!B24:J24)</f>
        <v>288.68976118631366</v>
      </c>
      <c r="C24">
        <f>SUM(Productivities!K24:W24)</f>
        <v>258.76899812307494</v>
      </c>
      <c r="D24" s="185">
        <f t="shared" si="0"/>
        <v>0.89635668774574739</v>
      </c>
      <c r="G24">
        <f>SUM(Productivities!AY24:BF24)</f>
        <v>0</v>
      </c>
      <c r="H24">
        <f>SUM(Productivities!BG24:BS24)</f>
        <v>0</v>
      </c>
      <c r="I24" s="185" t="e">
        <f t="shared" si="1"/>
        <v>#DIV/0!</v>
      </c>
    </row>
    <row r="25" spans="1:9">
      <c r="A25" s="113">
        <f>Productivities!A25</f>
        <v>42.944444444445253</v>
      </c>
      <c r="B25">
        <f>SUM(Productivities!B25:J25)</f>
        <v>393.14550886037694</v>
      </c>
      <c r="C25">
        <f>SUM(Productivities!K25:W25)</f>
        <v>354.76620732747153</v>
      </c>
      <c r="D25" s="185">
        <f t="shared" si="0"/>
        <v>0.90237888855920889</v>
      </c>
      <c r="G25">
        <f>SUM(Productivities!AY25:BF25)</f>
        <v>0</v>
      </c>
      <c r="H25">
        <f>SUM(Productivities!BG25:BS25)</f>
        <v>0</v>
      </c>
      <c r="I25" s="185" t="e">
        <f t="shared" si="1"/>
        <v>#DIV/0!</v>
      </c>
    </row>
    <row r="26" spans="1:9">
      <c r="A26" s="113">
        <f>Productivities!A26</f>
        <v>45.740277777782467</v>
      </c>
      <c r="B26">
        <f>SUM(Productivities!B26:J26)</f>
        <v>277.95109405688032</v>
      </c>
      <c r="C26">
        <f>SUM(Productivities!K26:W26)</f>
        <v>259.82630395353226</v>
      </c>
      <c r="D26" s="185">
        <f t="shared" si="0"/>
        <v>0.93479144176479123</v>
      </c>
      <c r="G26">
        <f>SUM(Productivities!AY26:BF26)</f>
        <v>0</v>
      </c>
      <c r="H26">
        <f>SUM(Productivities!BG26:BS26)</f>
        <v>0</v>
      </c>
      <c r="I26" s="185" t="e">
        <f t="shared" si="1"/>
        <v>#DIV/0!</v>
      </c>
    </row>
    <row r="27" spans="1:9">
      <c r="A27" s="113">
        <f>Productivities!A27</f>
        <v>47.751388888893416</v>
      </c>
      <c r="B27">
        <f>SUM(Productivities!B27:J27)</f>
        <v>269.47710089391904</v>
      </c>
      <c r="C27">
        <f>SUM(Productivities!K27:W27)</f>
        <v>269.32826488494169</v>
      </c>
      <c r="D27" s="185">
        <f t="shared" si="0"/>
        <v>0.99944768587578081</v>
      </c>
      <c r="G27">
        <f>SUM(Productivities!AY27:BF27)</f>
        <v>0</v>
      </c>
      <c r="H27">
        <f>SUM(Productivities!BG27:BS27)</f>
        <v>0</v>
      </c>
      <c r="I27" s="185" t="e">
        <f t="shared" si="1"/>
        <v>#DIV/0!</v>
      </c>
    </row>
    <row r="28" spans="1:9">
      <c r="A28" s="113">
        <f>Productivities!A28</f>
        <v>48.746527777781012</v>
      </c>
      <c r="B28">
        <f>SUM(Productivities!B28:J28)</f>
        <v>360.52167134967806</v>
      </c>
      <c r="C28">
        <f>SUM(Productivities!K28:W28)</f>
        <v>371.54963186247272</v>
      </c>
      <c r="D28" s="185">
        <f t="shared" si="0"/>
        <v>1.030588897670172</v>
      </c>
      <c r="G28">
        <f>SUM(Productivities!AY28:BF28)</f>
        <v>0</v>
      </c>
      <c r="H28">
        <f>SUM(Productivities!BG28:BS28)</f>
        <v>0</v>
      </c>
      <c r="I28" s="185" t="e">
        <f t="shared" si="1"/>
        <v>#DIV/0!</v>
      </c>
    </row>
    <row r="29" spans="1:9">
      <c r="A29" s="113">
        <f>Productivities!A29</f>
        <v>49.74861111111386</v>
      </c>
      <c r="B29">
        <f>SUM(Productivities!B29:J29)</f>
        <v>213.01933655157836</v>
      </c>
      <c r="C29">
        <f>SUM(Productivities!K29:W29)</f>
        <v>236.54041334242132</v>
      </c>
      <c r="D29" s="185">
        <f t="shared" si="0"/>
        <v>1.1104175666472784</v>
      </c>
      <c r="G29">
        <f>SUM(Productivities!AY29:BF29)</f>
        <v>0</v>
      </c>
      <c r="H29">
        <f>SUM(Productivities!BG29:BS29)</f>
        <v>0</v>
      </c>
      <c r="I29" s="185" t="e">
        <f t="shared" si="1"/>
        <v>#DIV/0!</v>
      </c>
    </row>
    <row r="30" spans="1:9">
      <c r="A30" s="113">
        <f>Productivities!A30</f>
        <v>52.738194444449618</v>
      </c>
      <c r="B30">
        <f>SUM(Productivities!B30:J30)</f>
        <v>273.57850150491549</v>
      </c>
      <c r="C30">
        <f>SUM(Productivities!K30:W30)</f>
        <v>298.23872480724015</v>
      </c>
      <c r="D30" s="185">
        <f t="shared" si="0"/>
        <v>1.0901394779438895</v>
      </c>
      <c r="G30">
        <f>SUM(Productivities!AY30:BF30)</f>
        <v>0</v>
      </c>
      <c r="H30">
        <f>SUM(Productivities!BG30:BS30)</f>
        <v>0</v>
      </c>
      <c r="I30" s="185" t="e">
        <f t="shared" si="1"/>
        <v>#DIV/0!</v>
      </c>
    </row>
    <row r="31" spans="1:9">
      <c r="A31" s="113">
        <f>Productivities!A31</f>
        <v>54.743055555554747</v>
      </c>
      <c r="B31">
        <f>SUM(Productivities!B31:J31)</f>
        <v>278.1763066199278</v>
      </c>
      <c r="C31">
        <f>SUM(Productivities!K31:W31)</f>
        <v>302.84017193897841</v>
      </c>
      <c r="D31" s="185">
        <f t="shared" si="0"/>
        <v>1.0886627104182127</v>
      </c>
      <c r="G31">
        <f>SUM(Productivities!AY31:BF31)</f>
        <v>0</v>
      </c>
      <c r="H31">
        <f>SUM(Productivities!BG31:BS31)</f>
        <v>0</v>
      </c>
      <c r="I31" s="185" t="e">
        <f t="shared" si="1"/>
        <v>#DIV/0!</v>
      </c>
    </row>
    <row r="32" spans="1:9">
      <c r="A32" s="113">
        <f>Productivities!A32</f>
        <v>56.75</v>
      </c>
      <c r="B32">
        <f>SUM(Productivities!B32:J32)</f>
        <v>276.03623407018767</v>
      </c>
      <c r="C32">
        <f>SUM(Productivities!K32:W32)</f>
        <v>302.46840761509094</v>
      </c>
      <c r="D32" s="185">
        <f t="shared" si="0"/>
        <v>1.0957561735832926</v>
      </c>
      <c r="G32">
        <f>SUM(Productivities!AY32:BF32)</f>
        <v>0</v>
      </c>
      <c r="H32">
        <f>SUM(Productivities!BG32:BS32)</f>
        <v>0</v>
      </c>
      <c r="I32" s="185" t="e">
        <f t="shared" si="1"/>
        <v>#DIV/0!</v>
      </c>
    </row>
    <row r="33" spans="1:9">
      <c r="A33" s="113">
        <f>Productivities!A33</f>
        <v>59.74722222222772</v>
      </c>
      <c r="B33">
        <f>SUM(Productivities!B33:J33)</f>
        <v>267.65831739899704</v>
      </c>
      <c r="C33">
        <f>SUM(Productivities!K33:W33)</f>
        <v>295.33752798070225</v>
      </c>
      <c r="D33" s="185">
        <f t="shared" si="0"/>
        <v>1.1034124806980832</v>
      </c>
      <c r="G33">
        <f>SUM(Productivities!AY33:BF33)</f>
        <v>0</v>
      </c>
      <c r="H33">
        <f>SUM(Productivities!BG33:BS33)</f>
        <v>0</v>
      </c>
      <c r="I33" s="185" t="e">
        <f t="shared" si="1"/>
        <v>#DIV/0!</v>
      </c>
    </row>
    <row r="34" spans="1:9">
      <c r="A34" s="113">
        <f>Productivities!A34</f>
        <v>61.711111111115315</v>
      </c>
      <c r="B34">
        <f>SUM(Productivities!B34:J34)</f>
        <v>267.02889019283265</v>
      </c>
      <c r="C34">
        <f>SUM(Productivities!K34:W34)</f>
        <v>306.58204693753402</v>
      </c>
      <c r="D34" s="185">
        <f t="shared" si="0"/>
        <v>1.1481231364746278</v>
      </c>
      <c r="G34">
        <f>SUM(Productivities!AY34:BF34)</f>
        <v>0</v>
      </c>
      <c r="H34">
        <f>SUM(Productivities!BG34:BS34)</f>
        <v>0</v>
      </c>
      <c r="I34" s="185" t="e">
        <f t="shared" si="1"/>
        <v>#DIV/0!</v>
      </c>
    </row>
    <row r="35" spans="1:9">
      <c r="A35" s="113">
        <f>Productivities!A35</f>
        <v>63.732638888890506</v>
      </c>
      <c r="B35">
        <f>SUM(Productivities!B35:J35)</f>
        <v>268.85979382113391</v>
      </c>
      <c r="C35">
        <f>SUM(Productivities!K35:W35)</f>
        <v>291.15597041865959</v>
      </c>
      <c r="D35" s="185">
        <f t="shared" si="0"/>
        <v>1.0829286383086301</v>
      </c>
      <c r="G35">
        <f>SUM(Productivities!AY35:BF35)</f>
        <v>0</v>
      </c>
      <c r="H35">
        <f>SUM(Productivities!BG35:BS35)</f>
        <v>0</v>
      </c>
      <c r="I35" s="185" t="e">
        <f t="shared" si="1"/>
        <v>#DIV/0!</v>
      </c>
    </row>
    <row r="36" spans="1:9">
      <c r="A36" s="113">
        <f>Productivities!A36</f>
        <v>66.740972222221899</v>
      </c>
      <c r="B36">
        <f>SUM(Productivities!B36:J36)</f>
        <v>268.54435209635278</v>
      </c>
      <c r="C36">
        <f>SUM(Productivities!K36:W36)</f>
        <v>302.27603610032378</v>
      </c>
      <c r="D36" s="185">
        <f t="shared" si="0"/>
        <v>1.1256093592758494</v>
      </c>
      <c r="G36">
        <f>SUM(Productivities!AY36:BF36)</f>
        <v>0</v>
      </c>
      <c r="H36">
        <f>SUM(Productivities!BG36:BS36)</f>
        <v>0</v>
      </c>
      <c r="I36" s="185" t="e">
        <f t="shared" si="1"/>
        <v>#DIV/0!</v>
      </c>
    </row>
    <row r="37" spans="1:9">
      <c r="A37" s="113">
        <f>Productivities!A37</f>
        <v>68.715277777781012</v>
      </c>
      <c r="B37">
        <f>SUM(Productivities!B37:J37)</f>
        <v>267.1607086840595</v>
      </c>
      <c r="C37">
        <f>SUM(Productivities!K37:W37)</f>
        <v>292.87096593104889</v>
      </c>
      <c r="D37" s="185">
        <f t="shared" si="0"/>
        <v>1.0962351738533302</v>
      </c>
      <c r="G37">
        <f>SUM(Productivities!AY37:BF37)</f>
        <v>0</v>
      </c>
      <c r="H37">
        <f>SUM(Productivities!BG37:BS37)</f>
        <v>0</v>
      </c>
      <c r="I37" s="185" t="e">
        <f t="shared" si="1"/>
        <v>#DIV/0!</v>
      </c>
    </row>
    <row r="38" spans="1:9">
      <c r="A38" s="113">
        <f>Productivities!A38</f>
        <v>70.715277777781012</v>
      </c>
      <c r="B38">
        <f>SUM(Productivities!B38:J38)</f>
        <v>274.5833008921403</v>
      </c>
      <c r="C38">
        <f>SUM(Productivities!K38:W38)</f>
        <v>302.37797225529459</v>
      </c>
      <c r="D38" s="185">
        <f t="shared" si="0"/>
        <v>1.1012249152546694</v>
      </c>
      <c r="G38">
        <f>SUM(Productivities!AY38:BF38)</f>
        <v>0</v>
      </c>
      <c r="H38">
        <f>SUM(Productivities!BG38:BS38)</f>
        <v>0</v>
      </c>
      <c r="I38" s="185" t="e">
        <f t="shared" si="1"/>
        <v>#DIV/0!</v>
      </c>
    </row>
    <row r="39" spans="1:9">
      <c r="A39" s="113">
        <f>Productivities!A39</f>
        <v>73.722916666665697</v>
      </c>
      <c r="B39">
        <f>SUM(Productivities!B39:J39)</f>
        <v>273.02705814147498</v>
      </c>
      <c r="C39">
        <f>SUM(Productivities!K39:W39)</f>
        <v>307.39636354537276</v>
      </c>
      <c r="D39" s="185">
        <f t="shared" si="0"/>
        <v>1.1258824148707216</v>
      </c>
      <c r="G39">
        <f>SUM(Productivities!AY39:BF39)</f>
        <v>0</v>
      </c>
      <c r="H39">
        <f>SUM(Productivities!BG39:BS39)</f>
        <v>0</v>
      </c>
      <c r="I39" s="185" t="e">
        <f t="shared" si="1"/>
        <v>#DIV/0!</v>
      </c>
    </row>
    <row r="40" spans="1:9">
      <c r="A40" s="113">
        <f>Productivities!A40</f>
        <v>75.719444444446708</v>
      </c>
      <c r="B40">
        <f>SUM(Productivities!B40:J40)</f>
        <v>290.60047931036331</v>
      </c>
      <c r="C40">
        <f>SUM(Productivities!K40:W40)</f>
        <v>300.64883842076637</v>
      </c>
      <c r="D40" s="185">
        <f t="shared" si="0"/>
        <v>1.0345779165067079</v>
      </c>
      <c r="G40">
        <f>SUM(Productivities!AY40:BF40)</f>
        <v>0</v>
      </c>
      <c r="H40">
        <f>SUM(Productivities!BG40:BS40)</f>
        <v>0</v>
      </c>
      <c r="I40" s="185" t="e">
        <f t="shared" si="1"/>
        <v>#DIV/0!</v>
      </c>
    </row>
    <row r="41" spans="1:9">
      <c r="A41" s="113">
        <f>Productivities!A41</f>
        <v>77.722222222226264</v>
      </c>
      <c r="B41">
        <f>SUM(Productivities!B41:J41)</f>
        <v>285.79606566181548</v>
      </c>
      <c r="C41">
        <f>SUM(Productivities!K41:W41)</f>
        <v>306.57363180897192</v>
      </c>
      <c r="D41" s="185">
        <f t="shared" si="0"/>
        <v>1.0727006724149335</v>
      </c>
      <c r="G41">
        <f>SUM(Productivities!AY41:BF41)</f>
        <v>0</v>
      </c>
      <c r="H41">
        <f>SUM(Productivities!BG41:BS41)</f>
        <v>0</v>
      </c>
      <c r="I41" s="185" t="e">
        <f t="shared" si="1"/>
        <v>#DIV/0!</v>
      </c>
    </row>
    <row r="42" spans="1:9">
      <c r="A42" s="113">
        <f>Productivities!A42</f>
        <v>80.712500000001455</v>
      </c>
      <c r="B42">
        <f>SUM(Productivities!B42:J42)</f>
        <v>288.13936325456007</v>
      </c>
      <c r="C42">
        <f>SUM(Productivities!K42:W42)</f>
        <v>302.70357713250979</v>
      </c>
      <c r="D42" s="185">
        <f t="shared" si="0"/>
        <v>1.0505457279888648</v>
      </c>
      <c r="G42">
        <f>SUM(Productivities!AY42:BF42)</f>
        <v>0</v>
      </c>
      <c r="H42">
        <f>SUM(Productivities!BG42:BS42)</f>
        <v>0</v>
      </c>
      <c r="I42" s="185" t="e">
        <f t="shared" si="1"/>
        <v>#DIV/0!</v>
      </c>
    </row>
    <row r="43" spans="1:9">
      <c r="A43" s="113">
        <f>Productivities!A43</f>
        <v>82.766666666670062</v>
      </c>
      <c r="B43">
        <f>SUM(Productivities!B43:J43)</f>
        <v>291.80868703190265</v>
      </c>
      <c r="C43">
        <f>SUM(Productivities!K43:W43)</f>
        <v>301.2517163485283</v>
      </c>
      <c r="D43" s="185">
        <f t="shared" si="0"/>
        <v>1.0323603433903024</v>
      </c>
      <c r="G43">
        <f>SUM(Productivities!AY43:BF43)</f>
        <v>0</v>
      </c>
      <c r="H43">
        <f>SUM(Productivities!BG43:BS43)</f>
        <v>0</v>
      </c>
      <c r="I43" s="185" t="e">
        <f t="shared" si="1"/>
        <v>#DIV/0!</v>
      </c>
    </row>
    <row r="44" spans="1:9">
      <c r="A44" s="113">
        <f>Productivities!A44</f>
        <v>84.759722222224809</v>
      </c>
      <c r="B44">
        <f>SUM(Productivities!B44:J44)</f>
        <v>226.79484454831254</v>
      </c>
      <c r="C44">
        <f>SUM(Productivities!K44:W44)</f>
        <v>301.38297601922289</v>
      </c>
      <c r="D44" s="185">
        <f t="shared" si="0"/>
        <v>1.3288793077261567</v>
      </c>
      <c r="G44">
        <f>SUM(Productivities!AY44:BF44)</f>
        <v>0</v>
      </c>
      <c r="H44">
        <f>SUM(Productivities!BG44:BS44)</f>
        <v>0</v>
      </c>
      <c r="I44" s="185" t="e">
        <f t="shared" si="1"/>
        <v>#DIV/0!</v>
      </c>
    </row>
    <row r="45" spans="1:9">
      <c r="A45" s="113">
        <f>Productivities!A45</f>
        <v>87.712500000001455</v>
      </c>
      <c r="B45">
        <f>SUM(Productivities!B45:J45)</f>
        <v>216.80711342232982</v>
      </c>
      <c r="C45">
        <f>SUM(Productivities!K45:W45)</f>
        <v>282.61992549209828</v>
      </c>
      <c r="D45" s="185">
        <f t="shared" si="0"/>
        <v>1.3035546713892558</v>
      </c>
      <c r="G45">
        <f>SUM(Productivities!AY45:BF45)</f>
        <v>0</v>
      </c>
      <c r="H45">
        <f>SUM(Productivities!BG45:BS45)</f>
        <v>0</v>
      </c>
      <c r="I45" s="185" t="e">
        <f t="shared" si="1"/>
        <v>#DIV/0!</v>
      </c>
    </row>
    <row r="46" spans="1:9">
      <c r="A46" s="113">
        <f>Productivities!A46</f>
        <v>89.76736111111677</v>
      </c>
      <c r="B46">
        <f>SUM(Productivities!B46:J46)</f>
        <v>222.240570064445</v>
      </c>
      <c r="C46">
        <f>SUM(Productivities!K46:W46)</f>
        <v>284.74360989833082</v>
      </c>
      <c r="D46" s="185">
        <f t="shared" si="0"/>
        <v>1.2812404585524655</v>
      </c>
      <c r="G46">
        <f>SUM(Productivities!AY46:BF46)</f>
        <v>0</v>
      </c>
      <c r="H46">
        <f>SUM(Productivities!BG46:BS46)</f>
        <v>0</v>
      </c>
      <c r="I46" s="185" t="e">
        <f t="shared" si="1"/>
        <v>#DIV/0!</v>
      </c>
    </row>
    <row r="47" spans="1:9">
      <c r="A47" s="113">
        <f>Productivities!A47</f>
        <v>91.739583333335759</v>
      </c>
      <c r="B47">
        <f>SUM(Productivities!B47:J47)</f>
        <v>237.86433492760511</v>
      </c>
      <c r="C47">
        <f>SUM(Productivities!K47:W47)</f>
        <v>324.54794922171561</v>
      </c>
      <c r="D47" s="185">
        <f t="shared" si="0"/>
        <v>1.3644245965688508</v>
      </c>
      <c r="G47">
        <f>SUM(Productivities!AY47:BF47)</f>
        <v>0</v>
      </c>
      <c r="H47">
        <f>SUM(Productivities!BG47:BS47)</f>
        <v>0</v>
      </c>
      <c r="I47" s="185" t="e">
        <f t="shared" si="1"/>
        <v>#DIV/0!</v>
      </c>
    </row>
    <row r="48" spans="1:9">
      <c r="A48" s="186">
        <f>Productivities!A48</f>
        <v>94.725694444445253</v>
      </c>
      <c r="B48" s="187">
        <f>SUM(Productivities!B48:J48)</f>
        <v>40.913139789069291</v>
      </c>
      <c r="C48" s="187">
        <f>SUM(Productivities!K48:W48)</f>
        <v>294.96438603601848</v>
      </c>
      <c r="D48" s="188">
        <f t="shared" si="0"/>
        <v>7.2095270017585822</v>
      </c>
      <c r="E48" s="187"/>
      <c r="F48" s="187"/>
      <c r="G48" s="187">
        <f>SUM(Productivities!AY48:BF48)</f>
        <v>0</v>
      </c>
      <c r="H48" s="187">
        <f>SUM(Productivities!BG48:BS48)</f>
        <v>0</v>
      </c>
      <c r="I48" s="188" t="e">
        <f t="shared" si="1"/>
        <v>#DIV/0!</v>
      </c>
    </row>
    <row r="49" spans="1:9">
      <c r="A49" s="113">
        <f>Productivities!A49</f>
        <v>96.754166666665697</v>
      </c>
      <c r="B49">
        <f>SUM(Productivities!B49:J49)</f>
        <v>41.034106931619753</v>
      </c>
      <c r="C49">
        <f>SUM(Productivities!K49:W49)</f>
        <v>147.60001740972533</v>
      </c>
      <c r="D49" s="185">
        <f t="shared" si="0"/>
        <v>3.5970081584982374</v>
      </c>
      <c r="G49">
        <f>SUM(Productivities!AY49:BF49)</f>
        <v>0</v>
      </c>
      <c r="H49">
        <f>SUM(Productivities!BG49:BS49)</f>
        <v>0</v>
      </c>
      <c r="I49" s="185" t="e">
        <f t="shared" si="1"/>
        <v>#DIV/0!</v>
      </c>
    </row>
    <row r="50" spans="1:9">
      <c r="A50" s="113">
        <f>Productivities!A50</f>
        <v>98.71736111111386</v>
      </c>
      <c r="B50">
        <f>SUM(Productivities!B50:J50)</f>
        <v>40.796046256183459</v>
      </c>
      <c r="C50">
        <f>SUM(Productivities!K50:W50)</f>
        <v>86.32389668564295</v>
      </c>
      <c r="D50" s="185">
        <f t="shared" si="0"/>
        <v>2.115986832242569</v>
      </c>
      <c r="G50">
        <f>SUM(Productivities!AY50:BF50)</f>
        <v>0</v>
      </c>
      <c r="H50">
        <f>SUM(Productivities!BG50:BS50)</f>
        <v>0</v>
      </c>
      <c r="I50" s="185" t="e">
        <f t="shared" si="1"/>
        <v>#DIV/0!</v>
      </c>
    </row>
    <row r="51" spans="1:9">
      <c r="A51" s="113">
        <f>Productivities!A51</f>
        <v>101.71527777778101</v>
      </c>
      <c r="B51">
        <f>SUM(Productivities!B51:J51)</f>
        <v>39.307847275314899</v>
      </c>
      <c r="C51">
        <f>SUM(Productivities!K51:W51)</f>
        <v>75.573473638965197</v>
      </c>
      <c r="D51" s="185">
        <f t="shared" si="0"/>
        <v>1.9226052525757344</v>
      </c>
      <c r="G51">
        <f>SUM(Productivities!AY51:BF51)</f>
        <v>0</v>
      </c>
      <c r="H51">
        <f>SUM(Productivities!BG51:BS51)</f>
        <v>0</v>
      </c>
      <c r="I51" s="185" t="e">
        <f t="shared" si="1"/>
        <v>#DIV/0!</v>
      </c>
    </row>
    <row r="52" spans="1:9">
      <c r="A52" s="113">
        <f>Productivities!A52</f>
        <v>103.72847222222481</v>
      </c>
      <c r="B52">
        <f>SUM(Productivities!B52:J52)</f>
        <v>36.248235542183146</v>
      </c>
      <c r="C52">
        <f>SUM(Productivities!K52:W52)</f>
        <v>75.383502888767254</v>
      </c>
      <c r="D52" s="185">
        <f t="shared" si="0"/>
        <v>2.079646133424653</v>
      </c>
      <c r="G52">
        <f>SUM(Productivities!AY52:BF52)</f>
        <v>0</v>
      </c>
      <c r="H52">
        <f>SUM(Productivities!BG52:BS52)</f>
        <v>0</v>
      </c>
      <c r="I52" s="185" t="e">
        <f t="shared" si="1"/>
        <v>#DIV/0!</v>
      </c>
    </row>
    <row r="53" spans="1:9">
      <c r="A53" s="113">
        <f>Productivities!A53</f>
        <v>105.74375000000146</v>
      </c>
      <c r="B53">
        <f>SUM(Productivities!B53:J53)</f>
        <v>35.557450662877784</v>
      </c>
      <c r="C53">
        <f>SUM(Productivities!K53:W53)</f>
        <v>76.75435546239207</v>
      </c>
      <c r="D53" s="185">
        <f t="shared" si="0"/>
        <v>2.1586011941661534</v>
      </c>
      <c r="G53">
        <f>SUM(Productivities!AY53:BF53)</f>
        <v>0</v>
      </c>
      <c r="H53">
        <f>SUM(Productivities!BG53:BS53)</f>
        <v>0</v>
      </c>
      <c r="I53" s="185" t="e">
        <f t="shared" si="1"/>
        <v>#DIV/0!</v>
      </c>
    </row>
    <row r="54" spans="1:9">
      <c r="A54" s="113">
        <f>Productivities!A54</f>
        <v>108.73541666667006</v>
      </c>
      <c r="B54">
        <f>SUM(Productivities!B54:J54)</f>
        <v>37.177611471384573</v>
      </c>
      <c r="C54">
        <f>SUM(Productivities!K54:W54)</f>
        <v>77.143163263877142</v>
      </c>
      <c r="D54" s="185">
        <f t="shared" si="0"/>
        <v>2.0749897642900987</v>
      </c>
      <c r="G54">
        <f>SUM(Productivities!AY54:BF54)</f>
        <v>0</v>
      </c>
      <c r="H54">
        <f>SUM(Productivities!BG54:BS54)</f>
        <v>0</v>
      </c>
      <c r="I54" s="185" t="e">
        <f t="shared" si="1"/>
        <v>#DIV/0!</v>
      </c>
    </row>
    <row r="55" spans="1:9">
      <c r="A55" s="113">
        <f>Productivities!A55</f>
        <v>110.75069444444671</v>
      </c>
      <c r="B55">
        <f>SUM(Productivities!B55:J55)</f>
        <v>38.717749511094674</v>
      </c>
      <c r="C55">
        <f>SUM(Productivities!K55:W55)</f>
        <v>77.338467921050182</v>
      </c>
      <c r="D55" s="185">
        <f t="shared" si="0"/>
        <v>1.9974938858181475</v>
      </c>
      <c r="G55">
        <f>SUM(Productivities!AY55:BF55)</f>
        <v>0</v>
      </c>
      <c r="H55">
        <f>SUM(Productivities!BG55:BS55)</f>
        <v>0</v>
      </c>
      <c r="I55" s="185" t="e">
        <f t="shared" si="1"/>
        <v>#DIV/0!</v>
      </c>
    </row>
    <row r="56" spans="1:9">
      <c r="A56" s="113">
        <f>Productivities!A56</f>
        <v>112.74791666666715</v>
      </c>
      <c r="B56">
        <f>SUM(Productivities!B56:J56)</f>
        <v>40.069849418034771</v>
      </c>
      <c r="C56">
        <f>SUM(Productivities!K56:W56)</f>
        <v>71.469844410886679</v>
      </c>
      <c r="D56" s="185">
        <f t="shared" si="0"/>
        <v>1.7836314697683715</v>
      </c>
      <c r="G56">
        <f>SUM(Productivities!AY56:BF56)</f>
        <v>0</v>
      </c>
      <c r="H56">
        <f>SUM(Productivities!BG56:BS56)</f>
        <v>0</v>
      </c>
      <c r="I56" s="185" t="e">
        <f t="shared" si="1"/>
        <v>#DIV/0!</v>
      </c>
    </row>
    <row r="57" spans="1:9">
      <c r="A57" s="113">
        <f>Productivities!A57</f>
        <v>115.7229166666657</v>
      </c>
      <c r="B57">
        <f>SUM(Productivities!B57:J57)</f>
        <v>40.509694262545622</v>
      </c>
      <c r="C57">
        <f>SUM(Productivities!K57:W57)</f>
        <v>66.859978234716721</v>
      </c>
      <c r="D57" s="185">
        <f t="shared" si="0"/>
        <v>1.6504685965140447</v>
      </c>
      <c r="G57">
        <f>SUM(Productivities!AY57:BF57)</f>
        <v>0</v>
      </c>
      <c r="H57">
        <f>SUM(Productivities!BG57:BS57)</f>
        <v>0</v>
      </c>
      <c r="I57" s="185" t="e">
        <f t="shared" si="1"/>
        <v>#DIV/0!</v>
      </c>
    </row>
    <row r="58" spans="1:9">
      <c r="A58" s="113">
        <f>Productivities!A58</f>
        <v>117.72152777777956</v>
      </c>
      <c r="B58">
        <f>SUM(Productivities!B58:J58)</f>
        <v>39.991434964017223</v>
      </c>
      <c r="C58">
        <f>SUM(Productivities!K58:W58)</f>
        <v>66.305314248717266</v>
      </c>
      <c r="D58" s="185">
        <f t="shared" si="0"/>
        <v>1.6579878743630048</v>
      </c>
      <c r="G58">
        <f>SUM(Productivities!AY58:BF58)</f>
        <v>0</v>
      </c>
      <c r="H58">
        <f>SUM(Productivities!BG58:BS58)</f>
        <v>0</v>
      </c>
      <c r="I58" s="185" t="e">
        <f t="shared" si="1"/>
        <v>#DIV/0!</v>
      </c>
    </row>
    <row r="59" spans="1:9">
      <c r="A59" s="113">
        <f>Productivities!A59</f>
        <v>119.69305555555911</v>
      </c>
      <c r="B59">
        <f>SUM(Productivities!B59:J59)</f>
        <v>39.897048439216469</v>
      </c>
      <c r="C59">
        <f>SUM(Productivities!K59:W59)</f>
        <v>64.188857098378421</v>
      </c>
      <c r="D59" s="185">
        <f t="shared" si="0"/>
        <v>1.6088622995801494</v>
      </c>
      <c r="G59">
        <f>SUM(Productivities!AY59:BF59)</f>
        <v>0</v>
      </c>
      <c r="H59">
        <f>SUM(Productivities!BG59:BS59)</f>
        <v>0</v>
      </c>
      <c r="I59" s="185" t="e">
        <f t="shared" si="1"/>
        <v>#DIV/0!</v>
      </c>
    </row>
    <row r="60" spans="1:9">
      <c r="A60" s="113">
        <f>Productivities!A60</f>
        <v>122.70694444444962</v>
      </c>
      <c r="B60">
        <f>SUM(Productivities!B60:J60)</f>
        <v>39.579103880204904</v>
      </c>
      <c r="C60">
        <f>SUM(Productivities!K60:W60)</f>
        <v>63.659801679671133</v>
      </c>
      <c r="D60" s="185">
        <f t="shared" si="0"/>
        <v>1.6084194799445661</v>
      </c>
      <c r="G60">
        <f>SUM(Productivities!AY60:BF60)</f>
        <v>0</v>
      </c>
      <c r="H60">
        <f>SUM(Productivities!BG60:BS60)</f>
        <v>0</v>
      </c>
      <c r="I60" s="185" t="e">
        <f t="shared" si="1"/>
        <v>#DIV/0!</v>
      </c>
    </row>
    <row r="61" spans="1:9">
      <c r="A61" s="113">
        <f>Productivities!A61</f>
        <v>124.74305555555475</v>
      </c>
      <c r="B61">
        <f>SUM(Productivities!B61:J61)</f>
        <v>37.369847417797736</v>
      </c>
      <c r="C61">
        <f>SUM(Productivities!K61:W61)</f>
        <v>40.75208624391594</v>
      </c>
      <c r="D61" s="185">
        <f t="shared" si="0"/>
        <v>1.0905071617848614</v>
      </c>
      <c r="G61">
        <f>SUM(Productivities!AY61:BF61)</f>
        <v>0</v>
      </c>
      <c r="H61">
        <f>SUM(Productivities!BG61:BS61)</f>
        <v>0</v>
      </c>
      <c r="I61" s="185" t="e">
        <f t="shared" si="1"/>
        <v>#DIV/0!</v>
      </c>
    </row>
    <row r="62" spans="1:9">
      <c r="A62" s="113">
        <f>Productivities!A62</f>
        <v>126.72083333333285</v>
      </c>
      <c r="B62">
        <f>SUM(Productivities!B62:J62)</f>
        <v>36.966105920199595</v>
      </c>
      <c r="C62">
        <f>SUM(Productivities!K62:W62)</f>
        <v>44.487676336382819</v>
      </c>
      <c r="D62" s="185">
        <f t="shared" si="0"/>
        <v>1.203472078785371</v>
      </c>
      <c r="G62">
        <f>SUM(Productivities!AY62:BF62)</f>
        <v>0</v>
      </c>
      <c r="H62">
        <f>SUM(Productivities!BG62:BS62)</f>
        <v>0</v>
      </c>
      <c r="I62" s="185" t="e">
        <f t="shared" si="1"/>
        <v>#DIV/0!</v>
      </c>
    </row>
    <row r="63" spans="1:9">
      <c r="A63" s="113">
        <f>Productivities!A63</f>
        <v>129.72638888889196</v>
      </c>
      <c r="B63">
        <f>SUM(Productivities!B63:J63)</f>
        <v>36.449957941698543</v>
      </c>
      <c r="C63">
        <f>SUM(Productivities!K63:W63)</f>
        <v>46.775668977175123</v>
      </c>
      <c r="D63" s="185">
        <f t="shared" si="0"/>
        <v>1.2832845802454007</v>
      </c>
      <c r="G63">
        <f>SUM(Productivities!AY63:BF63)</f>
        <v>0</v>
      </c>
      <c r="H63">
        <f>SUM(Productivities!BG63:BS63)</f>
        <v>0</v>
      </c>
      <c r="I63" s="185" t="e">
        <f t="shared" si="1"/>
        <v>#DIV/0!</v>
      </c>
    </row>
    <row r="64" spans="1:9">
      <c r="A64" s="113">
        <f>Productivities!A64</f>
        <v>131.7236111111124</v>
      </c>
      <c r="B64">
        <f>SUM(Productivities!B64:J64)</f>
        <v>39.032474117483595</v>
      </c>
      <c r="C64">
        <f>SUM(Productivities!K64:W64)</f>
        <v>48.34644171648327</v>
      </c>
      <c r="D64" s="185">
        <f t="shared" si="0"/>
        <v>1.2386209895628348</v>
      </c>
      <c r="G64">
        <f>SUM(Productivities!AY64:BF64)</f>
        <v>0</v>
      </c>
      <c r="H64">
        <f>SUM(Productivities!BG64:BS64)</f>
        <v>0</v>
      </c>
      <c r="I64" s="185" t="e">
        <f t="shared" si="1"/>
        <v>#DIV/0!</v>
      </c>
    </row>
    <row r="65" spans="1:9">
      <c r="A65" s="113">
        <f>Productivities!A65</f>
        <v>133.7993055555562</v>
      </c>
      <c r="B65">
        <f>SUM(Productivities!B65:J65)</f>
        <v>40.701521087986571</v>
      </c>
      <c r="C65">
        <f>SUM(Productivities!K65:W65)</f>
        <v>48.452564995852796</v>
      </c>
      <c r="D65" s="185">
        <f t="shared" si="0"/>
        <v>1.1904362220544631</v>
      </c>
      <c r="G65">
        <f>SUM(Productivities!AY65:BF65)</f>
        <v>0</v>
      </c>
      <c r="H65">
        <f>SUM(Productivities!BG65:BS65)</f>
        <v>0</v>
      </c>
      <c r="I65" s="185" t="e">
        <f t="shared" si="1"/>
        <v>#DIV/0!</v>
      </c>
    </row>
    <row r="66" spans="1:9">
      <c r="A66" s="113">
        <f>Productivities!A66</f>
        <v>136.7097222222219</v>
      </c>
      <c r="B66">
        <f>SUM(Productivities!B66:J66)</f>
        <v>38.767535632633518</v>
      </c>
      <c r="C66">
        <f>SUM(Productivities!K66:W66)</f>
        <v>49.668918073219366</v>
      </c>
      <c r="D66" s="185">
        <f t="shared" si="0"/>
        <v>1.2811987469074342</v>
      </c>
      <c r="G66">
        <f>SUM(Productivities!AY66:BF66)</f>
        <v>0</v>
      </c>
      <c r="H66">
        <f>SUM(Productivities!BG66:BS66)</f>
        <v>0</v>
      </c>
      <c r="I66" s="185" t="e">
        <f t="shared" si="1"/>
        <v>#DIV/0!</v>
      </c>
    </row>
    <row r="67" spans="1:9">
      <c r="A67" s="113">
        <f>Productivities!A67</f>
        <v>138.89444444444962</v>
      </c>
      <c r="B67">
        <f>SUM(Productivities!B67:J67)</f>
        <v>36.567050148929489</v>
      </c>
      <c r="C67">
        <f>SUM(Productivities!K67:W67)</f>
        <v>51.478177511571033</v>
      </c>
      <c r="D67" s="185">
        <f t="shared" si="0"/>
        <v>1.4077749586557249</v>
      </c>
      <c r="G67">
        <f>SUM(Productivities!AY67:BF67)</f>
        <v>0</v>
      </c>
      <c r="H67">
        <f>SUM(Productivities!BG67:BS67)</f>
        <v>0</v>
      </c>
      <c r="I67" s="185" t="e">
        <f t="shared" si="1"/>
        <v>#DIV/0!</v>
      </c>
    </row>
    <row r="68" spans="1:9">
      <c r="A68" s="113">
        <f>Productivities!A68</f>
        <v>140.88333333333867</v>
      </c>
      <c r="B68">
        <f>SUM(Productivities!B68:J68)</f>
        <v>36.347292649175309</v>
      </c>
      <c r="C68">
        <f>SUM(Productivities!K68:W68)</f>
        <v>52.981256103635495</v>
      </c>
      <c r="D68" s="185">
        <f t="shared" si="0"/>
        <v>1.4576396821356541</v>
      </c>
      <c r="G68">
        <f>SUM(Productivities!AY68:BF68)</f>
        <v>0</v>
      </c>
      <c r="H68">
        <f>SUM(Productivities!BG68:BS68)</f>
        <v>0</v>
      </c>
      <c r="I68" s="185" t="e">
        <f t="shared" si="1"/>
        <v>#DIV/0!</v>
      </c>
    </row>
    <row r="69" spans="1:9">
      <c r="A69" s="113">
        <f>Productivities!A69</f>
        <v>143.87291666666715</v>
      </c>
      <c r="B69">
        <f>SUM(Productivities!B69:J69)</f>
        <v>35.202584801040636</v>
      </c>
      <c r="C69">
        <f>SUM(Productivities!K69:W69)</f>
        <v>53.980428333777638</v>
      </c>
      <c r="D69" s="185">
        <f t="shared" ref="D69:D93" si="2">C69/B69</f>
        <v>1.5334222938135469</v>
      </c>
      <c r="G69">
        <f>SUM(Productivities!AY69:BF69)</f>
        <v>0</v>
      </c>
      <c r="H69">
        <f>SUM(Productivities!BG69:BS69)</f>
        <v>0</v>
      </c>
      <c r="I69" s="185" t="e">
        <f t="shared" ref="I69:I93" si="3">H69/G69</f>
        <v>#DIV/0!</v>
      </c>
    </row>
    <row r="70" spans="1:9">
      <c r="A70" s="113">
        <f>Productivities!A70</f>
        <v>145.82013888889196</v>
      </c>
      <c r="B70">
        <f>SUM(Productivities!B70:J70)</f>
        <v>33.518576297116255</v>
      </c>
      <c r="C70">
        <f>SUM(Productivities!K70:W70)</f>
        <v>53.399767668505049</v>
      </c>
      <c r="D70" s="185">
        <f t="shared" si="2"/>
        <v>1.5931394936096752</v>
      </c>
      <c r="G70">
        <f>SUM(Productivities!AY70:BF70)</f>
        <v>0</v>
      </c>
      <c r="H70">
        <f>SUM(Productivities!BG70:BS70)</f>
        <v>0</v>
      </c>
      <c r="I70" s="185" t="e">
        <f t="shared" si="3"/>
        <v>#DIV/0!</v>
      </c>
    </row>
    <row r="71" spans="1:9">
      <c r="A71" s="113">
        <f>Productivities!A71</f>
        <v>147.87291666666715</v>
      </c>
      <c r="B71">
        <f>SUM(Productivities!B71:J71)</f>
        <v>32.297794066442783</v>
      </c>
      <c r="C71">
        <f>SUM(Productivities!K71:W71)</f>
        <v>52.514778385166125</v>
      </c>
      <c r="D71" s="185">
        <f t="shared" si="2"/>
        <v>1.62595557693919</v>
      </c>
      <c r="G71">
        <f>SUM(Productivities!AY71:BF71)</f>
        <v>0</v>
      </c>
      <c r="H71">
        <f>SUM(Productivities!BG71:BS71)</f>
        <v>0</v>
      </c>
      <c r="I71" s="185" t="e">
        <f t="shared" si="3"/>
        <v>#DIV/0!</v>
      </c>
    </row>
    <row r="72" spans="1:9">
      <c r="A72" s="113">
        <f>Productivities!A72</f>
        <v>150.87013888889487</v>
      </c>
      <c r="B72">
        <f>SUM(Productivities!B72:J72)</f>
        <v>34.008471681401268</v>
      </c>
      <c r="C72">
        <f>SUM(Productivities!K72:W72)</f>
        <v>52.828928280027938</v>
      </c>
      <c r="D72" s="185">
        <f t="shared" si="2"/>
        <v>1.5534049508293342</v>
      </c>
      <c r="G72">
        <f>SUM(Productivities!AY72:BF72)</f>
        <v>0</v>
      </c>
      <c r="H72">
        <f>SUM(Productivities!BG72:BS72)</f>
        <v>0</v>
      </c>
      <c r="I72" s="185" t="e">
        <f t="shared" si="3"/>
        <v>#DIV/0!</v>
      </c>
    </row>
    <row r="73" spans="1:9">
      <c r="A73" s="113">
        <f>Productivities!A73</f>
        <v>152.88333333333867</v>
      </c>
      <c r="B73">
        <f>SUM(Productivities!B73:J73)</f>
        <v>34.91006075610747</v>
      </c>
      <c r="C73">
        <f>SUM(Productivities!K73:W73)</f>
        <v>50.460532095713333</v>
      </c>
      <c r="D73" s="185">
        <f t="shared" si="2"/>
        <v>1.4454438348946537</v>
      </c>
      <c r="G73">
        <f>SUM(Productivities!AY73:BF73)</f>
        <v>0</v>
      </c>
      <c r="H73">
        <f>SUM(Productivities!BG73:BS73)</f>
        <v>0</v>
      </c>
      <c r="I73" s="185" t="e">
        <f t="shared" si="3"/>
        <v>#DIV/0!</v>
      </c>
    </row>
    <row r="74" spans="1:9">
      <c r="A74" s="113">
        <f>Productivities!A74</f>
        <v>155.00763888889196</v>
      </c>
      <c r="B74">
        <f>SUM(Productivities!B74:J74)</f>
        <v>33.863293891096639</v>
      </c>
      <c r="C74">
        <f>SUM(Productivities!K74:W74)</f>
        <v>50.85368670139075</v>
      </c>
      <c r="D74" s="185">
        <f t="shared" si="2"/>
        <v>1.5017347947584401</v>
      </c>
      <c r="G74">
        <f>SUM(Productivities!AY74:BF74)</f>
        <v>0</v>
      </c>
      <c r="H74">
        <f>SUM(Productivities!BG74:BS74)</f>
        <v>0</v>
      </c>
      <c r="I74" s="185" t="e">
        <f t="shared" si="3"/>
        <v>#DIV/0!</v>
      </c>
    </row>
    <row r="75" spans="1:9">
      <c r="A75" s="113">
        <f>Productivities!A75</f>
        <v>157.87638888889342</v>
      </c>
      <c r="B75">
        <f>SUM(Productivities!B75:J75)</f>
        <v>33.495582294817055</v>
      </c>
      <c r="C75">
        <f>SUM(Productivities!K75:W75)</f>
        <v>50.41910751364567</v>
      </c>
      <c r="D75" s="185">
        <f t="shared" si="2"/>
        <v>1.5052464850401266</v>
      </c>
      <c r="G75">
        <f>SUM(Productivities!AY75:BF75)</f>
        <v>0</v>
      </c>
      <c r="H75">
        <f>SUM(Productivities!BG75:BS75)</f>
        <v>0</v>
      </c>
      <c r="I75" s="185" t="e">
        <f t="shared" si="3"/>
        <v>#DIV/0!</v>
      </c>
    </row>
    <row r="76" spans="1:9">
      <c r="A76" s="113">
        <f>Productivities!A76</f>
        <v>159.9152777777781</v>
      </c>
      <c r="B76">
        <f>SUM(Productivities!B76:J76)</f>
        <v>35.495599813884382</v>
      </c>
      <c r="C76">
        <f>SUM(Productivities!K76:W76)</f>
        <v>50.594697922519678</v>
      </c>
      <c r="D76" s="185">
        <f t="shared" si="2"/>
        <v>1.4253794326002391</v>
      </c>
      <c r="G76">
        <f>SUM(Productivities!AY76:BF76)</f>
        <v>0</v>
      </c>
      <c r="H76">
        <f>SUM(Productivities!BG76:BS76)</f>
        <v>0</v>
      </c>
      <c r="I76" s="185" t="e">
        <f t="shared" si="3"/>
        <v>#DIV/0!</v>
      </c>
    </row>
    <row r="77" spans="1:9">
      <c r="A77" s="113">
        <f>Productivities!A77</f>
        <v>161.89444444444962</v>
      </c>
      <c r="B77">
        <f>SUM(Productivities!B77:J77)</f>
        <v>33.830469527469191</v>
      </c>
      <c r="C77">
        <f>SUM(Productivities!K77:W77)</f>
        <v>49.613109243409937</v>
      </c>
      <c r="D77" s="185">
        <f t="shared" si="2"/>
        <v>1.4665214505263009</v>
      </c>
      <c r="G77">
        <f>SUM(Productivities!AY77:BF77)</f>
        <v>0</v>
      </c>
      <c r="H77">
        <f>SUM(Productivities!BG77:BS77)</f>
        <v>0</v>
      </c>
      <c r="I77" s="185" t="e">
        <f t="shared" si="3"/>
        <v>#DIV/0!</v>
      </c>
    </row>
    <row r="78" spans="1:9">
      <c r="A78" s="113">
        <f>Productivities!A78</f>
        <v>164.87708333333285</v>
      </c>
      <c r="B78">
        <f>SUM(Productivities!B78:J78)</f>
        <v>33.046328938893403</v>
      </c>
      <c r="C78">
        <f>SUM(Productivities!K78:W78)</f>
        <v>50.089148291570304</v>
      </c>
      <c r="D78" s="185">
        <f t="shared" si="2"/>
        <v>1.5157250411745009</v>
      </c>
      <c r="G78">
        <f>SUM(Productivities!AY78:BF78)</f>
        <v>0</v>
      </c>
      <c r="H78">
        <f>SUM(Productivities!BG78:BS78)</f>
        <v>0</v>
      </c>
      <c r="I78" s="185" t="e">
        <f t="shared" si="3"/>
        <v>#DIV/0!</v>
      </c>
    </row>
    <row r="79" spans="1:9">
      <c r="A79" s="113">
        <f>Productivities!A79</f>
        <v>166.88680555555766</v>
      </c>
      <c r="B79">
        <f>SUM(Productivities!B79:J79)</f>
        <v>34.706095571268342</v>
      </c>
      <c r="C79">
        <f>SUM(Productivities!K79:W79)</f>
        <v>49.327149013690153</v>
      </c>
      <c r="D79" s="185">
        <f t="shared" si="2"/>
        <v>1.4212820025346193</v>
      </c>
      <c r="G79">
        <f>SUM(Productivities!AY79:BF79)</f>
        <v>0</v>
      </c>
      <c r="H79">
        <f>SUM(Productivities!BG79:BS79)</f>
        <v>0</v>
      </c>
      <c r="I79" s="185" t="e">
        <f t="shared" si="3"/>
        <v>#DIV/0!</v>
      </c>
    </row>
    <row r="80" spans="1:9">
      <c r="A80" s="113">
        <f>Productivities!A80</f>
        <v>168.87638888889342</v>
      </c>
      <c r="B80">
        <f>SUM(Productivities!B80:J80)</f>
        <v>34.889046304413441</v>
      </c>
      <c r="C80">
        <f>SUM(Productivities!K80:W80)</f>
        <v>49.081318072226537</v>
      </c>
      <c r="D80" s="185">
        <f t="shared" si="2"/>
        <v>1.4067830242186294</v>
      </c>
      <c r="G80">
        <f>SUM(Productivities!AY80:BF80)</f>
        <v>0</v>
      </c>
      <c r="H80">
        <f>SUM(Productivities!BG80:BS80)</f>
        <v>0</v>
      </c>
      <c r="I80" s="185" t="e">
        <f t="shared" si="3"/>
        <v>#DIV/0!</v>
      </c>
    </row>
    <row r="81" spans="1:9">
      <c r="A81" s="113">
        <f>Productivities!A81</f>
        <v>171.86458333333576</v>
      </c>
      <c r="B81">
        <f>SUM(Productivities!B81:J81)</f>
        <v>34.76882988956838</v>
      </c>
      <c r="C81">
        <f>SUM(Productivities!K81:W81)</f>
        <v>48.830344226691615</v>
      </c>
      <c r="D81" s="185">
        <f t="shared" si="2"/>
        <v>1.4044287478694266</v>
      </c>
      <c r="G81">
        <f>SUM(Productivities!AY81:BF81)</f>
        <v>0</v>
      </c>
      <c r="H81">
        <f>SUM(Productivities!BG81:BS81)</f>
        <v>0</v>
      </c>
      <c r="I81" s="185" t="e">
        <f t="shared" si="3"/>
        <v>#DIV/0!</v>
      </c>
    </row>
    <row r="82" spans="1:9">
      <c r="A82" s="113">
        <f>Productivities!A82</f>
        <v>173.86805555555475</v>
      </c>
      <c r="B82">
        <f>SUM(Productivities!B82:J82)</f>
        <v>33.350186706600866</v>
      </c>
      <c r="C82">
        <f>SUM(Productivities!K82:W82)</f>
        <v>48.332706820136913</v>
      </c>
      <c r="D82" s="185">
        <f t="shared" si="2"/>
        <v>1.4492484628450557</v>
      </c>
      <c r="G82">
        <f>SUM(Productivities!AY82:BF82)</f>
        <v>0</v>
      </c>
      <c r="H82">
        <f>SUM(Productivities!BG82:BS82)</f>
        <v>0</v>
      </c>
      <c r="I82" s="185" t="e">
        <f t="shared" si="3"/>
        <v>#DIV/0!</v>
      </c>
    </row>
    <row r="83" spans="1:9">
      <c r="A83" s="113">
        <f>Productivities!A83</f>
        <v>175.80694444444816</v>
      </c>
      <c r="B83">
        <f>SUM(Productivities!B83:J83)</f>
        <v>34.039143277373263</v>
      </c>
      <c r="C83">
        <f>SUM(Productivities!K83:W83)</f>
        <v>47.6128634593843</v>
      </c>
      <c r="D83" s="185">
        <f t="shared" si="2"/>
        <v>1.3987679734299852</v>
      </c>
      <c r="G83">
        <f>SUM(Productivities!AY83:BF83)</f>
        <v>0</v>
      </c>
      <c r="H83">
        <f>SUM(Productivities!BG83:BS83)</f>
        <v>0</v>
      </c>
      <c r="I83" s="185" t="e">
        <f t="shared" si="3"/>
        <v>#DIV/0!</v>
      </c>
    </row>
    <row r="84" spans="1:9">
      <c r="A84" s="113">
        <f>Productivities!A84</f>
        <v>179.02430555555475</v>
      </c>
      <c r="B84">
        <f>SUM(Productivities!B84:J84)</f>
        <v>34.660745339031642</v>
      </c>
      <c r="C84">
        <f>SUM(Productivities!K84:W84)</f>
        <v>48.063848527973271</v>
      </c>
      <c r="D84" s="185">
        <f t="shared" si="2"/>
        <v>1.3866940268548791</v>
      </c>
      <c r="G84">
        <f>SUM(Productivities!AY84:BF84)</f>
        <v>0</v>
      </c>
      <c r="H84">
        <f>SUM(Productivities!BG84:BS84)</f>
        <v>0</v>
      </c>
      <c r="I84" s="185" t="e">
        <f t="shared" si="3"/>
        <v>#DIV/0!</v>
      </c>
    </row>
    <row r="85" spans="1:9">
      <c r="A85" s="113">
        <f>Productivities!A85</f>
        <v>180.88125000000582</v>
      </c>
      <c r="B85">
        <f>SUM(Productivities!B85:J85)</f>
        <v>34.207656664602979</v>
      </c>
      <c r="C85">
        <f>SUM(Productivities!K85:W85)</f>
        <v>47.518810730909337</v>
      </c>
      <c r="D85" s="185">
        <f t="shared" si="2"/>
        <v>1.3891279135784922</v>
      </c>
      <c r="G85">
        <f>SUM(Productivities!AY85:BF85)</f>
        <v>0</v>
      </c>
      <c r="H85">
        <f>SUM(Productivities!BG85:BS85)</f>
        <v>0</v>
      </c>
      <c r="I85" s="185" t="e">
        <f t="shared" si="3"/>
        <v>#DIV/0!</v>
      </c>
    </row>
    <row r="86" spans="1:9">
      <c r="A86" s="113">
        <f>Productivities!A86</f>
        <v>183.0048611111124</v>
      </c>
      <c r="B86">
        <f>SUM(Productivities!B86:J86)</f>
        <v>34.843707573661298</v>
      </c>
      <c r="C86">
        <f>SUM(Productivities!K86:W86)</f>
        <v>47.015466348793154</v>
      </c>
      <c r="D86" s="185">
        <f t="shared" si="2"/>
        <v>1.3493244440018377</v>
      </c>
      <c r="G86">
        <f>SUM(Productivities!AY86:BF86)</f>
        <v>0</v>
      </c>
      <c r="H86">
        <f>SUM(Productivities!BG86:BS86)</f>
        <v>0</v>
      </c>
      <c r="I86" s="185" t="e">
        <f t="shared" si="3"/>
        <v>#DIV/0!</v>
      </c>
    </row>
    <row r="87" spans="1:9">
      <c r="A87" s="113">
        <f>Productivities!A87</f>
        <v>186.01666666667006</v>
      </c>
      <c r="B87">
        <f>SUM(Productivities!B87:J87)</f>
        <v>34.710340288457033</v>
      </c>
      <c r="C87">
        <f>SUM(Productivities!K87:W87)</f>
        <v>46.810445996398769</v>
      </c>
      <c r="D87" s="185">
        <f t="shared" si="2"/>
        <v>1.3486023360008845</v>
      </c>
      <c r="G87">
        <f>SUM(Productivities!AY87:BF87)</f>
        <v>0</v>
      </c>
      <c r="H87">
        <f>SUM(Productivities!BG87:BS87)</f>
        <v>0</v>
      </c>
      <c r="I87" s="185" t="e">
        <f t="shared" si="3"/>
        <v>#DIV/0!</v>
      </c>
    </row>
    <row r="88" spans="1:9">
      <c r="A88" s="113">
        <f>Productivities!A88</f>
        <v>187.90763888889342</v>
      </c>
      <c r="B88">
        <f>SUM(Productivities!B88:J88)</f>
        <v>35.085216800290965</v>
      </c>
      <c r="C88">
        <f>SUM(Productivities!K88:W88)</f>
        <v>47.2128682787434</v>
      </c>
      <c r="D88" s="185">
        <f t="shared" si="2"/>
        <v>1.3456627202130289</v>
      </c>
      <c r="G88">
        <f>SUM(Productivities!AY88:BF88)</f>
        <v>0</v>
      </c>
      <c r="H88">
        <f>SUM(Productivities!BG88:BS88)</f>
        <v>0</v>
      </c>
      <c r="I88" s="185" t="e">
        <f t="shared" si="3"/>
        <v>#DIV/0!</v>
      </c>
    </row>
    <row r="89" spans="1:9">
      <c r="A89" s="113">
        <f>Productivities!A89</f>
        <v>189.92916666666861</v>
      </c>
      <c r="B89">
        <f>SUM(Productivities!B89:J89)</f>
        <v>35.848822321592117</v>
      </c>
      <c r="C89">
        <f>SUM(Productivities!K89:W89)</f>
        <v>46.694970647829351</v>
      </c>
      <c r="D89" s="185">
        <f t="shared" si="2"/>
        <v>1.3025524305635137</v>
      </c>
      <c r="G89">
        <f>SUM(Productivities!AY89:BF89)</f>
        <v>0</v>
      </c>
      <c r="H89">
        <f>SUM(Productivities!BG89:BS89)</f>
        <v>0</v>
      </c>
      <c r="I89" s="185" t="e">
        <f t="shared" si="3"/>
        <v>#DIV/0!</v>
      </c>
    </row>
    <row r="90" spans="1:9">
      <c r="A90" s="113">
        <f>Productivities!A90</f>
        <v>192.90347222222772</v>
      </c>
      <c r="B90">
        <f>SUM(Productivities!B90:J90)</f>
        <v>36.706348153327774</v>
      </c>
      <c r="C90">
        <f>SUM(Productivities!K90:W90)</f>
        <v>46.840308396251729</v>
      </c>
      <c r="D90" s="185">
        <f t="shared" si="2"/>
        <v>1.2760819518354951</v>
      </c>
      <c r="G90">
        <f>SUM(Productivities!AY90:BF90)</f>
        <v>0</v>
      </c>
      <c r="H90">
        <f>SUM(Productivities!BG90:BS90)</f>
        <v>0</v>
      </c>
      <c r="I90" s="185" t="e">
        <f t="shared" si="3"/>
        <v>#DIV/0!</v>
      </c>
    </row>
    <row r="91" spans="1:9">
      <c r="A91" s="113">
        <f>Productivities!A91</f>
        <v>194.88958333333721</v>
      </c>
      <c r="B91">
        <f>SUM(Productivities!B91:J91)</f>
        <v>37.266522850180941</v>
      </c>
      <c r="C91">
        <f>SUM(Productivities!K91:W91)</f>
        <v>46.579499249158488</v>
      </c>
      <c r="D91" s="185">
        <f t="shared" si="2"/>
        <v>1.2499019411179739</v>
      </c>
      <c r="G91">
        <f>SUM(Productivities!AY91:BF91)</f>
        <v>0</v>
      </c>
      <c r="H91">
        <f>SUM(Productivities!BG91:BS91)</f>
        <v>0</v>
      </c>
      <c r="I91" s="185" t="e">
        <f t="shared" si="3"/>
        <v>#DIV/0!</v>
      </c>
    </row>
    <row r="92" spans="1:9">
      <c r="A92" s="113">
        <f>Productivities!A92</f>
        <v>196.91250000000582</v>
      </c>
      <c r="B92">
        <f>SUM(Productivities!B92:J92)</f>
        <v>36.393258873198484</v>
      </c>
      <c r="C92">
        <f>SUM(Productivities!K92:W92)</f>
        <v>45.998998818248026</v>
      </c>
      <c r="D92" s="185">
        <f t="shared" si="2"/>
        <v>1.2639428356366187</v>
      </c>
      <c r="G92">
        <f>SUM(Productivities!AY92:BF92)</f>
        <v>0</v>
      </c>
      <c r="H92">
        <f>SUM(Productivities!BG92:BS92)</f>
        <v>0</v>
      </c>
      <c r="I92" s="185" t="e">
        <f t="shared" si="3"/>
        <v>#DIV/0!</v>
      </c>
    </row>
    <row r="93" spans="1:9">
      <c r="A93" s="113">
        <f>Productivities!A93</f>
        <v>199.89861111111531</v>
      </c>
      <c r="B93">
        <f>SUM(Productivities!B93:J93)</f>
        <v>35.723766672508702</v>
      </c>
      <c r="C93">
        <f>SUM(Productivities!K93:W93)</f>
        <v>44.867174327982767</v>
      </c>
      <c r="D93" s="185">
        <f t="shared" si="2"/>
        <v>1.2559474687900252</v>
      </c>
      <c r="G93">
        <f>SUM(Productivities!AY93:BF93)</f>
        <v>0</v>
      </c>
      <c r="H93">
        <f>SUM(Productivities!BG93:BS93)</f>
        <v>0</v>
      </c>
      <c r="I93" s="185" t="e">
        <f t="shared" si="3"/>
        <v>#DIV/0!</v>
      </c>
    </row>
    <row r="94" spans="1:9">
      <c r="A94" s="113"/>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C30BB-7672-4AA7-8AE5-EC4B9B29131F}">
  <dimension ref="A3:T31"/>
  <sheetViews>
    <sheetView zoomScale="113" zoomScaleNormal="145" workbookViewId="0">
      <selection activeCell="D18" sqref="D18"/>
    </sheetView>
  </sheetViews>
  <sheetFormatPr defaultRowHeight="15"/>
  <cols>
    <col min="1" max="1" width="23.85546875" bestFit="1" customWidth="1"/>
    <col min="2" max="2" width="7.140625" bestFit="1" customWidth="1"/>
    <col min="4" max="4" width="20.140625" bestFit="1" customWidth="1"/>
    <col min="5" max="5" width="7.140625" bestFit="1" customWidth="1"/>
    <col min="8" max="8" width="14.5703125" bestFit="1" customWidth="1"/>
    <col min="9" max="9" width="11" bestFit="1" customWidth="1"/>
    <col min="10" max="10" width="24.140625" bestFit="1" customWidth="1"/>
    <col min="11" max="11" width="19.140625" bestFit="1" customWidth="1"/>
    <col min="12" max="12" width="6.42578125" bestFit="1" customWidth="1"/>
    <col min="14" max="14" width="10.5703125" bestFit="1" customWidth="1"/>
    <col min="15" max="15" width="9.28515625" bestFit="1" customWidth="1"/>
    <col min="18" max="18" width="9.28515625" bestFit="1" customWidth="1"/>
  </cols>
  <sheetData>
    <row r="3" spans="1:20" s="205" customFormat="1" ht="24" customHeight="1">
      <c r="A3" s="207">
        <v>45408</v>
      </c>
      <c r="D3" s="207">
        <v>45568</v>
      </c>
      <c r="J3" s="206" t="s">
        <v>228</v>
      </c>
    </row>
    <row r="4" spans="1:20" s="206" customFormat="1" ht="33" customHeight="1">
      <c r="A4" s="206" t="s">
        <v>223</v>
      </c>
      <c r="D4" s="206" t="s">
        <v>227</v>
      </c>
      <c r="G4" s="206" t="s">
        <v>233</v>
      </c>
      <c r="K4" s="208" t="s">
        <v>234</v>
      </c>
      <c r="M4" s="208"/>
    </row>
    <row r="5" spans="1:20">
      <c r="A5" t="s">
        <v>225</v>
      </c>
      <c r="B5">
        <v>230.24</v>
      </c>
      <c r="C5" t="s">
        <v>226</v>
      </c>
      <c r="D5" t="s">
        <v>225</v>
      </c>
      <c r="E5">
        <v>108.21</v>
      </c>
      <c r="F5" t="s">
        <v>226</v>
      </c>
      <c r="G5" t="s">
        <v>225</v>
      </c>
      <c r="H5">
        <v>2.15</v>
      </c>
      <c r="I5" t="s">
        <v>226</v>
      </c>
      <c r="J5" t="s">
        <v>229</v>
      </c>
      <c r="K5">
        <v>19.568000000000001</v>
      </c>
      <c r="L5" t="s">
        <v>226</v>
      </c>
    </row>
    <row r="6" spans="1:20">
      <c r="A6" t="s">
        <v>224</v>
      </c>
      <c r="B6">
        <v>32.840000000000003</v>
      </c>
      <c r="C6" t="s">
        <v>226</v>
      </c>
      <c r="D6" t="s">
        <v>224</v>
      </c>
      <c r="E6">
        <v>23.37</v>
      </c>
      <c r="F6" t="s">
        <v>226</v>
      </c>
      <c r="J6" t="s">
        <v>230</v>
      </c>
      <c r="K6">
        <v>19.277999999999999</v>
      </c>
      <c r="L6" t="s">
        <v>226</v>
      </c>
    </row>
    <row r="7" spans="1:20">
      <c r="J7" t="s">
        <v>231</v>
      </c>
      <c r="K7">
        <v>4.7610000000000001</v>
      </c>
      <c r="L7" t="s">
        <v>226</v>
      </c>
    </row>
    <row r="8" spans="1:20">
      <c r="J8" t="s">
        <v>232</v>
      </c>
      <c r="K8">
        <v>5.4530000000000003</v>
      </c>
      <c r="L8" t="s">
        <v>226</v>
      </c>
    </row>
    <row r="9" spans="1:20">
      <c r="A9" t="s">
        <v>225</v>
      </c>
      <c r="B9">
        <f>B5/I15*D12</f>
        <v>10.7163348000157</v>
      </c>
      <c r="C9" t="s">
        <v>289</v>
      </c>
    </row>
    <row r="11" spans="1:20">
      <c r="H11" t="s">
        <v>237</v>
      </c>
      <c r="I11">
        <f>E5+H5+K5+K6</f>
        <v>149.20599999999999</v>
      </c>
      <c r="J11" t="s">
        <v>226</v>
      </c>
    </row>
    <row r="12" spans="1:20">
      <c r="D12">
        <f>0.98*4+0.02*5</f>
        <v>4.0199999999999996</v>
      </c>
      <c r="H12" t="s">
        <v>239</v>
      </c>
      <c r="I12">
        <f>B5-I11</f>
        <v>81.03400000000002</v>
      </c>
      <c r="J12" t="s">
        <v>226</v>
      </c>
    </row>
    <row r="13" spans="1:20">
      <c r="H13" t="s">
        <v>238</v>
      </c>
      <c r="I13">
        <f>E6+K7+K8</f>
        <v>33.584000000000003</v>
      </c>
      <c r="J13" t="s">
        <v>226</v>
      </c>
    </row>
    <row r="15" spans="1:20">
      <c r="F15" s="209"/>
      <c r="G15" s="209"/>
      <c r="H15" s="209" t="s">
        <v>240</v>
      </c>
      <c r="I15" s="210">
        <v>86.369529999999997</v>
      </c>
      <c r="J15" s="209" t="s">
        <v>168</v>
      </c>
      <c r="K15" s="209"/>
      <c r="L15" s="209"/>
      <c r="M15" s="209"/>
      <c r="N15" s="209"/>
      <c r="O15" s="209"/>
      <c r="P15" s="209"/>
      <c r="Q15" s="209"/>
      <c r="R15" s="209"/>
      <c r="S15" s="209"/>
      <c r="T15" s="209"/>
    </row>
    <row r="16" spans="1:20">
      <c r="F16" s="209"/>
      <c r="G16" s="209"/>
      <c r="H16" s="209" t="s">
        <v>240</v>
      </c>
      <c r="I16" s="209">
        <f>I12/I15</f>
        <v>0.93822439464473206</v>
      </c>
      <c r="J16" s="209" t="s">
        <v>241</v>
      </c>
      <c r="K16" s="209"/>
      <c r="L16" s="209"/>
      <c r="M16" s="209"/>
      <c r="N16" s="209">
        <v>33</v>
      </c>
      <c r="O16" s="209" t="s">
        <v>235</v>
      </c>
      <c r="P16" s="209"/>
      <c r="Q16" s="209" t="s">
        <v>236</v>
      </c>
      <c r="R16" s="209"/>
      <c r="S16" s="209"/>
      <c r="T16" s="209"/>
    </row>
    <row r="17" spans="6:20">
      <c r="F17" s="209"/>
      <c r="G17" s="209"/>
      <c r="H17" s="209" t="s">
        <v>242</v>
      </c>
      <c r="I17" s="209">
        <v>0.55898800000000004</v>
      </c>
      <c r="J17" s="209" t="s">
        <v>243</v>
      </c>
      <c r="K17" s="209"/>
      <c r="L17" s="209"/>
      <c r="M17" s="209"/>
      <c r="N17" s="209" t="s">
        <v>147</v>
      </c>
      <c r="O17" s="209">
        <v>35</v>
      </c>
      <c r="P17" s="209" t="s">
        <v>153</v>
      </c>
      <c r="Q17" s="209" t="s">
        <v>147</v>
      </c>
      <c r="R17" s="209">
        <f>N16*O17</f>
        <v>1155</v>
      </c>
      <c r="S17" s="209" t="s">
        <v>153</v>
      </c>
      <c r="T17" s="209"/>
    </row>
    <row r="18" spans="6:20">
      <c r="F18" s="209"/>
      <c r="G18" s="209"/>
      <c r="H18" s="209" t="s">
        <v>244</v>
      </c>
      <c r="I18" s="209">
        <f>I16*I17*1000</f>
        <v>524.45617791366953</v>
      </c>
      <c r="J18" s="209" t="s">
        <v>153</v>
      </c>
      <c r="K18" s="209"/>
      <c r="L18" s="209"/>
      <c r="M18" s="209"/>
      <c r="N18" s="209" t="s">
        <v>147</v>
      </c>
      <c r="O18" s="209">
        <f>R17/2</f>
        <v>577.5</v>
      </c>
      <c r="P18" s="209" t="s">
        <v>152</v>
      </c>
      <c r="Q18" s="209"/>
      <c r="R18" s="209"/>
      <c r="S18" s="209"/>
      <c r="T18" s="209"/>
    </row>
    <row r="19" spans="6:20">
      <c r="F19" s="209"/>
      <c r="G19" s="209"/>
      <c r="H19" s="209"/>
      <c r="I19" s="209"/>
      <c r="J19" s="209"/>
      <c r="K19" s="209"/>
      <c r="L19" s="209"/>
      <c r="M19" s="209"/>
      <c r="N19" s="209" t="s">
        <v>149</v>
      </c>
      <c r="O19" s="209">
        <v>25</v>
      </c>
      <c r="P19" s="209" t="s">
        <v>153</v>
      </c>
      <c r="Q19" s="209" t="s">
        <v>149</v>
      </c>
      <c r="R19" s="209">
        <f>N16*O19</f>
        <v>825</v>
      </c>
      <c r="S19" s="209" t="s">
        <v>153</v>
      </c>
      <c r="T19" s="209"/>
    </row>
    <row r="20" spans="6:20">
      <c r="F20" s="209"/>
      <c r="G20" s="209"/>
      <c r="H20" s="209"/>
      <c r="I20" s="209"/>
      <c r="J20" s="209"/>
      <c r="K20" s="209"/>
      <c r="L20" s="209"/>
      <c r="M20" s="209"/>
      <c r="N20" s="209" t="s">
        <v>149</v>
      </c>
      <c r="O20" s="209">
        <f>R19/4</f>
        <v>206.25</v>
      </c>
      <c r="P20" s="209" t="s">
        <v>152</v>
      </c>
      <c r="Q20" s="209"/>
      <c r="R20" s="209"/>
      <c r="S20" s="209"/>
      <c r="T20" s="209"/>
    </row>
    <row r="21" spans="6:20">
      <c r="F21" s="209"/>
      <c r="G21" s="209"/>
      <c r="H21" s="209"/>
      <c r="I21" s="209"/>
      <c r="J21" s="209"/>
      <c r="K21" s="209"/>
      <c r="L21" s="209"/>
      <c r="M21" s="209"/>
      <c r="N21" s="209"/>
      <c r="O21" s="209"/>
      <c r="P21" s="209"/>
      <c r="Q21" s="209"/>
      <c r="R21" s="209"/>
      <c r="S21" s="209"/>
      <c r="T21" s="209"/>
    </row>
    <row r="22" spans="6:20">
      <c r="F22" s="209"/>
      <c r="G22" s="209"/>
      <c r="H22" s="209"/>
      <c r="I22" s="209"/>
      <c r="J22" s="209"/>
      <c r="K22" s="209"/>
      <c r="L22" s="209"/>
      <c r="M22" s="209"/>
      <c r="N22" s="209">
        <v>34</v>
      </c>
      <c r="O22" s="209" t="s">
        <v>235</v>
      </c>
      <c r="P22" s="209"/>
      <c r="Q22" s="209" t="s">
        <v>236</v>
      </c>
      <c r="R22" s="209"/>
      <c r="S22" s="209"/>
      <c r="T22" s="209"/>
    </row>
    <row r="23" spans="6:20">
      <c r="F23" s="209"/>
      <c r="G23" s="209"/>
      <c r="H23" s="209"/>
      <c r="I23" s="209"/>
      <c r="J23" s="209"/>
      <c r="K23" s="209"/>
      <c r="L23" s="209"/>
      <c r="M23" s="209"/>
      <c r="N23" s="209" t="s">
        <v>147</v>
      </c>
      <c r="O23" s="209">
        <v>110</v>
      </c>
      <c r="P23" s="209" t="s">
        <v>153</v>
      </c>
      <c r="Q23" s="209" t="s">
        <v>147</v>
      </c>
      <c r="R23" s="209">
        <f>N22*O23</f>
        <v>3740</v>
      </c>
      <c r="S23" s="209" t="s">
        <v>153</v>
      </c>
      <c r="T23" s="209"/>
    </row>
    <row r="24" spans="6:20">
      <c r="F24" s="209"/>
      <c r="G24" s="209"/>
      <c r="H24" s="209"/>
      <c r="I24" s="209"/>
      <c r="J24" s="209"/>
      <c r="K24" s="209"/>
      <c r="L24" s="209"/>
      <c r="M24" s="209"/>
      <c r="N24" s="209" t="s">
        <v>147</v>
      </c>
      <c r="O24" s="209">
        <f>R23/2</f>
        <v>1870</v>
      </c>
      <c r="P24" s="209" t="s">
        <v>152</v>
      </c>
      <c r="Q24" s="209"/>
      <c r="R24" s="209"/>
      <c r="S24" s="209"/>
      <c r="T24" s="209"/>
    </row>
    <row r="25" spans="6:20">
      <c r="F25" s="209"/>
      <c r="G25" s="209"/>
      <c r="H25" s="209"/>
      <c r="I25" s="209"/>
      <c r="J25" s="209"/>
      <c r="K25" s="209"/>
      <c r="L25" s="209"/>
      <c r="M25" s="209"/>
      <c r="N25" s="209" t="s">
        <v>149</v>
      </c>
      <c r="O25" s="209">
        <v>70</v>
      </c>
      <c r="P25" s="209" t="s">
        <v>153</v>
      </c>
      <c r="Q25" s="209" t="s">
        <v>149</v>
      </c>
      <c r="R25" s="209">
        <f>O25*N22</f>
        <v>2380</v>
      </c>
      <c r="S25" s="209" t="s">
        <v>153</v>
      </c>
      <c r="T25" s="209"/>
    </row>
    <row r="26" spans="6:20">
      <c r="F26" s="209"/>
      <c r="G26" s="209"/>
      <c r="H26" s="209"/>
      <c r="I26" s="209"/>
      <c r="J26" s="209"/>
      <c r="K26" s="209"/>
      <c r="L26" s="209"/>
      <c r="M26" s="209"/>
      <c r="N26" s="209" t="s">
        <v>149</v>
      </c>
      <c r="O26" s="209">
        <f>R25/4</f>
        <v>595</v>
      </c>
      <c r="P26" s="209" t="s">
        <v>152</v>
      </c>
      <c r="Q26" s="209"/>
      <c r="R26" s="209"/>
      <c r="S26" s="209"/>
      <c r="T26" s="209"/>
    </row>
    <row r="27" spans="6:20">
      <c r="F27" s="209"/>
      <c r="G27" s="209"/>
      <c r="H27" s="209"/>
      <c r="I27" s="209"/>
      <c r="J27" s="209"/>
      <c r="K27" s="209"/>
      <c r="L27" s="209"/>
      <c r="M27" s="209"/>
      <c r="N27" s="209"/>
      <c r="O27" s="209"/>
      <c r="P27" s="209"/>
      <c r="Q27" s="209"/>
      <c r="R27" s="209"/>
      <c r="S27" s="209"/>
      <c r="T27" s="209"/>
    </row>
    <row r="28" spans="6:20">
      <c r="F28" s="209"/>
      <c r="G28" s="209"/>
      <c r="H28" s="209"/>
      <c r="I28" s="209"/>
      <c r="J28" s="209"/>
      <c r="K28" s="209"/>
      <c r="L28" s="209"/>
      <c r="M28" s="209"/>
      <c r="N28" s="209"/>
      <c r="O28" s="209"/>
      <c r="P28" s="209"/>
      <c r="Q28" s="209"/>
      <c r="R28" s="209"/>
      <c r="S28" s="209"/>
      <c r="T28" s="209"/>
    </row>
    <row r="29" spans="6:20">
      <c r="F29" s="209"/>
      <c r="G29" s="209"/>
      <c r="H29" s="209"/>
      <c r="I29" s="209"/>
      <c r="J29" s="209"/>
      <c r="K29" s="209"/>
      <c r="L29" s="209"/>
      <c r="M29" s="209"/>
      <c r="N29" s="209" t="s">
        <v>147</v>
      </c>
      <c r="O29" s="209">
        <f>R23+R17</f>
        <v>4895</v>
      </c>
      <c r="P29" s="209" t="s">
        <v>153</v>
      </c>
      <c r="Q29" s="209"/>
      <c r="R29" s="209"/>
      <c r="S29" s="209"/>
      <c r="T29" s="209"/>
    </row>
    <row r="30" spans="6:20">
      <c r="F30" s="209"/>
      <c r="G30" s="209"/>
      <c r="H30" s="209"/>
      <c r="I30" s="209"/>
      <c r="J30" s="209"/>
      <c r="K30" s="209"/>
      <c r="L30" s="209"/>
      <c r="M30" s="209"/>
      <c r="N30" s="209" t="s">
        <v>149</v>
      </c>
      <c r="O30" s="209">
        <f>R25+R19</f>
        <v>3205</v>
      </c>
      <c r="P30" s="209" t="s">
        <v>153</v>
      </c>
      <c r="Q30" s="209"/>
      <c r="R30" s="209"/>
      <c r="S30" s="209"/>
      <c r="T30" s="209"/>
    </row>
    <row r="31" spans="6:20">
      <c r="F31" s="209"/>
      <c r="G31" s="209"/>
      <c r="H31" s="209"/>
      <c r="I31" s="209"/>
      <c r="J31" s="209"/>
      <c r="K31" s="209"/>
      <c r="L31" s="209"/>
      <c r="M31" s="209"/>
      <c r="N31" s="209"/>
      <c r="O31" s="209"/>
      <c r="P31" s="209"/>
      <c r="Q31" s="209"/>
      <c r="R31" s="209"/>
      <c r="S31" s="209"/>
      <c r="T31" s="209"/>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EA4FE-339F-4BEE-8607-3EE7537540E1}">
  <dimension ref="A1:P14"/>
  <sheetViews>
    <sheetView workbookViewId="0">
      <selection activeCell="M32" sqref="M32"/>
    </sheetView>
  </sheetViews>
  <sheetFormatPr defaultRowHeight="15"/>
  <sheetData>
    <row r="1" spans="1:16">
      <c r="B1" t="s">
        <v>226</v>
      </c>
      <c r="C1" t="s">
        <v>226</v>
      </c>
      <c r="D1" t="s">
        <v>226</v>
      </c>
    </row>
    <row r="2" spans="1:16">
      <c r="A2" t="s">
        <v>225</v>
      </c>
      <c r="B2" t="s">
        <v>269</v>
      </c>
      <c r="C2" t="s">
        <v>270</v>
      </c>
      <c r="D2" t="s">
        <v>271</v>
      </c>
      <c r="F2" t="s">
        <v>272</v>
      </c>
      <c r="H2" t="s">
        <v>274</v>
      </c>
      <c r="K2" t="s">
        <v>282</v>
      </c>
    </row>
    <row r="3" spans="1:16">
      <c r="B3">
        <v>230.24</v>
      </c>
      <c r="C3">
        <v>149.20599999999999</v>
      </c>
      <c r="D3">
        <f>B3-C3</f>
        <v>81.03400000000002</v>
      </c>
      <c r="F3">
        <v>86.370800000000003</v>
      </c>
      <c r="G3" t="s">
        <v>168</v>
      </c>
      <c r="H3">
        <f>D3/F3*4*1000</f>
        <v>3752.842395809696</v>
      </c>
      <c r="I3" t="s">
        <v>273</v>
      </c>
      <c r="K3">
        <f>B3/F3*4*1000</f>
        <v>10662.862912002667</v>
      </c>
      <c r="L3" t="s">
        <v>273</v>
      </c>
    </row>
    <row r="4" spans="1:16">
      <c r="A4" t="s">
        <v>224</v>
      </c>
      <c r="B4">
        <v>32.840000000000003</v>
      </c>
      <c r="C4">
        <v>33.584000000000003</v>
      </c>
      <c r="D4">
        <f>B4-C4</f>
        <v>-0.74399999999999977</v>
      </c>
      <c r="F4">
        <v>72.0625</v>
      </c>
      <c r="G4" t="s">
        <v>168</v>
      </c>
    </row>
    <row r="7" spans="1:16">
      <c r="A7" t="s">
        <v>275</v>
      </c>
    </row>
    <row r="8" spans="1:16">
      <c r="B8" t="s">
        <v>276</v>
      </c>
      <c r="D8" t="s">
        <v>277</v>
      </c>
      <c r="F8" t="s">
        <v>278</v>
      </c>
      <c r="J8" t="s">
        <v>281</v>
      </c>
      <c r="L8" t="s">
        <v>283</v>
      </c>
      <c r="O8" t="s">
        <v>285</v>
      </c>
    </row>
    <row r="9" spans="1:16">
      <c r="A9" t="s">
        <v>147</v>
      </c>
      <c r="B9">
        <v>6.6</v>
      </c>
      <c r="C9" t="s">
        <v>279</v>
      </c>
      <c r="D9">
        <v>7.2</v>
      </c>
      <c r="E9" t="s">
        <v>279</v>
      </c>
      <c r="F9">
        <f>D9-B9</f>
        <v>0.60000000000000053</v>
      </c>
      <c r="G9" t="s">
        <v>279</v>
      </c>
      <c r="H9">
        <f>F9/60*2*1000</f>
        <v>20.000000000000018</v>
      </c>
      <c r="I9" t="s">
        <v>280</v>
      </c>
      <c r="J9">
        <f>H9+H10</f>
        <v>51.818181818181841</v>
      </c>
      <c r="K9" t="s">
        <v>280</v>
      </c>
      <c r="L9">
        <f>K3/J9</f>
        <v>205.77454742461279</v>
      </c>
      <c r="M9" t="s">
        <v>96</v>
      </c>
      <c r="N9" t="s">
        <v>284</v>
      </c>
      <c r="O9">
        <v>40</v>
      </c>
      <c r="P9" t="s">
        <v>280</v>
      </c>
    </row>
    <row r="10" spans="1:16">
      <c r="A10" t="s">
        <v>149</v>
      </c>
      <c r="B10">
        <v>4.8</v>
      </c>
      <c r="C10" t="s">
        <v>279</v>
      </c>
      <c r="D10">
        <v>5.5</v>
      </c>
      <c r="E10" t="s">
        <v>279</v>
      </c>
      <c r="F10">
        <f>D10-B10</f>
        <v>0.70000000000000018</v>
      </c>
      <c r="G10" t="s">
        <v>279</v>
      </c>
      <c r="H10">
        <f>F10/88*4*1000</f>
        <v>31.818181818181827</v>
      </c>
      <c r="I10" t="s">
        <v>280</v>
      </c>
      <c r="O10">
        <v>25</v>
      </c>
      <c r="P10" t="s">
        <v>280</v>
      </c>
    </row>
    <row r="13" spans="1:16" ht="15.75">
      <c r="G13" s="152"/>
      <c r="H13" s="152"/>
    </row>
    <row r="14" spans="1:16" ht="15.75">
      <c r="G14" s="152"/>
      <c r="H14" s="15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DCD145-E6C9-484A-A6CC-5D68D8B2CD57}">
  <dimension ref="A2:P34"/>
  <sheetViews>
    <sheetView zoomScale="115" zoomScaleNormal="115" workbookViewId="0">
      <selection activeCell="K11" sqref="K11"/>
    </sheetView>
  </sheetViews>
  <sheetFormatPr defaultColWidth="9" defaultRowHeight="15"/>
  <cols>
    <col min="1" max="2" width="9" style="8"/>
    <col min="3" max="3" width="16.28515625" style="8" customWidth="1"/>
    <col min="4" max="4" width="11.85546875" style="8" customWidth="1"/>
    <col min="5" max="5" width="20.7109375" style="8" customWidth="1"/>
    <col min="6" max="6" width="9" style="8"/>
    <col min="7" max="7" width="19.85546875" style="8" customWidth="1"/>
    <col min="8" max="8" width="43.85546875" style="8" customWidth="1"/>
    <col min="9" max="9" width="13" customWidth="1"/>
    <col min="10" max="10" width="9" style="8"/>
    <col min="11" max="11" width="11.85546875" style="19" bestFit="1" customWidth="1"/>
    <col min="12" max="12" width="9.28515625" style="20" bestFit="1" customWidth="1"/>
    <col min="13" max="13" width="16.7109375" style="8" bestFit="1" customWidth="1"/>
    <col min="14" max="16384" width="9" style="8"/>
  </cols>
  <sheetData>
    <row r="2" spans="1:16" ht="26.25">
      <c r="B2" s="263" t="s">
        <v>38</v>
      </c>
      <c r="C2" s="263"/>
      <c r="D2" s="263"/>
      <c r="E2" s="263"/>
      <c r="F2" s="263"/>
      <c r="G2" s="263"/>
      <c r="H2" s="263"/>
      <c r="I2" s="263"/>
      <c r="J2" s="263"/>
      <c r="K2" s="263"/>
      <c r="L2" s="263"/>
    </row>
    <row r="3" spans="1:16" ht="28.5" customHeight="1">
      <c r="B3" s="264" t="s">
        <v>39</v>
      </c>
      <c r="C3" s="264"/>
      <c r="D3" s="264"/>
      <c r="E3" s="264"/>
      <c r="F3" s="264"/>
      <c r="G3" s="264"/>
      <c r="H3" s="264"/>
      <c r="I3" s="264"/>
      <c r="J3" s="264"/>
      <c r="K3" s="264"/>
      <c r="L3" s="264"/>
    </row>
    <row r="4" spans="1:16" ht="28.5" customHeight="1">
      <c r="B4" s="9" t="s">
        <v>40</v>
      </c>
      <c r="C4" s="9" t="s">
        <v>41</v>
      </c>
      <c r="D4" s="9" t="s">
        <v>42</v>
      </c>
      <c r="E4" s="9" t="s">
        <v>43</v>
      </c>
      <c r="F4" s="9" t="s">
        <v>44</v>
      </c>
      <c r="G4" s="9" t="s">
        <v>45</v>
      </c>
      <c r="H4" s="9" t="s">
        <v>46</v>
      </c>
      <c r="I4" s="9" t="s">
        <v>47</v>
      </c>
      <c r="J4" s="10" t="s">
        <v>247</v>
      </c>
      <c r="K4" s="11" t="s">
        <v>48</v>
      </c>
      <c r="L4" s="12"/>
      <c r="M4" s="13"/>
    </row>
    <row r="5" spans="1:16" ht="41.25" customHeight="1">
      <c r="B5" s="14">
        <v>1</v>
      </c>
      <c r="C5" s="15" t="s">
        <v>49</v>
      </c>
      <c r="D5" s="16" t="s">
        <v>50</v>
      </c>
      <c r="E5" s="16" t="s">
        <v>51</v>
      </c>
      <c r="F5" s="16" t="s">
        <v>52</v>
      </c>
      <c r="G5" s="16"/>
      <c r="H5" s="16" t="s">
        <v>53</v>
      </c>
      <c r="I5" s="17" t="s">
        <v>54</v>
      </c>
      <c r="J5" s="18" t="s">
        <v>246</v>
      </c>
      <c r="K5" s="19" t="s">
        <v>55</v>
      </c>
    </row>
    <row r="6" spans="1:16" ht="69.75" customHeight="1">
      <c r="B6" s="14">
        <v>2</v>
      </c>
      <c r="C6" s="16" t="s">
        <v>56</v>
      </c>
      <c r="D6" s="16">
        <v>5.9</v>
      </c>
      <c r="E6" s="15" t="s">
        <v>51</v>
      </c>
      <c r="F6" s="16" t="s">
        <v>57</v>
      </c>
      <c r="G6" s="16" t="s">
        <v>58</v>
      </c>
      <c r="H6" s="16" t="s">
        <v>59</v>
      </c>
      <c r="I6" s="17" t="s">
        <v>54</v>
      </c>
      <c r="J6" s="215" t="s">
        <v>192</v>
      </c>
      <c r="K6" s="19" t="s">
        <v>60</v>
      </c>
    </row>
    <row r="7" spans="1:16" ht="63" customHeight="1">
      <c r="B7" s="14">
        <v>3</v>
      </c>
      <c r="C7" s="16" t="s">
        <v>56</v>
      </c>
      <c r="D7" s="16">
        <v>5.9</v>
      </c>
      <c r="E7" s="15" t="s">
        <v>61</v>
      </c>
      <c r="F7" s="16" t="s">
        <v>62</v>
      </c>
      <c r="G7" s="16" t="s">
        <v>63</v>
      </c>
      <c r="H7" s="16" t="s">
        <v>64</v>
      </c>
      <c r="I7" s="17" t="s">
        <v>54</v>
      </c>
      <c r="J7" s="18" t="s">
        <v>191</v>
      </c>
      <c r="K7" s="19" t="s">
        <v>65</v>
      </c>
      <c r="L7" s="21"/>
    </row>
    <row r="8" spans="1:16" ht="53.25" customHeight="1">
      <c r="B8" s="22">
        <v>4</v>
      </c>
      <c r="C8" s="23" t="s">
        <v>56</v>
      </c>
      <c r="D8" s="23">
        <v>5.9</v>
      </c>
      <c r="E8" s="15" t="s">
        <v>66</v>
      </c>
      <c r="F8" s="24" t="s">
        <v>67</v>
      </c>
      <c r="G8" s="23"/>
      <c r="H8" s="23" t="s">
        <v>68</v>
      </c>
      <c r="I8" s="25" t="s">
        <v>54</v>
      </c>
      <c r="J8" s="26" t="s">
        <v>190</v>
      </c>
      <c r="K8" s="19" t="s">
        <v>69</v>
      </c>
      <c r="N8" s="27"/>
    </row>
    <row r="9" spans="1:16" ht="66" customHeight="1">
      <c r="B9" s="22">
        <v>5</v>
      </c>
      <c r="C9" s="15" t="s">
        <v>70</v>
      </c>
      <c r="D9" s="23">
        <v>5.9</v>
      </c>
      <c r="E9" s="23" t="s">
        <v>66</v>
      </c>
      <c r="F9" s="23" t="s">
        <v>71</v>
      </c>
      <c r="G9" s="23"/>
      <c r="H9" s="23" t="s">
        <v>72</v>
      </c>
      <c r="I9" s="25" t="s">
        <v>54</v>
      </c>
      <c r="J9" s="26" t="s">
        <v>193</v>
      </c>
      <c r="K9" s="28" t="s">
        <v>73</v>
      </c>
    </row>
    <row r="11" spans="1:16">
      <c r="A11" s="29"/>
      <c r="B11" s="29"/>
      <c r="C11" s="29"/>
      <c r="D11" s="29"/>
      <c r="E11" s="29"/>
      <c r="F11" s="29"/>
      <c r="G11" s="29"/>
      <c r="H11" s="29"/>
      <c r="I11" s="30"/>
      <c r="J11" s="29"/>
      <c r="K11" s="31"/>
      <c r="L11" s="32"/>
      <c r="M11" s="29"/>
      <c r="N11" s="29"/>
      <c r="O11" s="29"/>
      <c r="P11" s="29"/>
    </row>
    <row r="12" spans="1:16" ht="28.5" customHeight="1">
      <c r="A12" s="29"/>
      <c r="B12" s="33"/>
      <c r="C12" s="33"/>
      <c r="D12" s="33"/>
      <c r="E12" s="33"/>
      <c r="F12" s="33"/>
      <c r="G12" s="33"/>
      <c r="H12" s="33"/>
      <c r="I12" s="33"/>
      <c r="J12" s="29"/>
      <c r="K12" s="31"/>
      <c r="L12" s="32"/>
      <c r="M12" s="29"/>
      <c r="N12" s="29"/>
      <c r="O12" s="29"/>
      <c r="P12" s="29"/>
    </row>
    <row r="13" spans="1:16">
      <c r="A13" s="29"/>
      <c r="B13" s="34"/>
      <c r="C13" s="34"/>
      <c r="D13" s="34"/>
      <c r="E13" s="34"/>
      <c r="F13" s="34"/>
      <c r="G13" s="34"/>
      <c r="H13" s="34"/>
      <c r="I13" s="34"/>
      <c r="J13" s="29"/>
      <c r="K13" s="31"/>
      <c r="L13" s="32"/>
      <c r="M13" s="29"/>
      <c r="N13" s="29"/>
      <c r="O13" s="29"/>
      <c r="P13" s="29"/>
    </row>
    <row r="14" spans="1:16" ht="41.25" customHeight="1">
      <c r="A14" s="29"/>
      <c r="B14" s="29"/>
      <c r="C14" s="29"/>
      <c r="D14" s="29"/>
      <c r="E14" s="29"/>
      <c r="F14" s="29"/>
      <c r="G14" s="29"/>
      <c r="H14" s="29"/>
      <c r="I14" s="35"/>
      <c r="J14" s="29"/>
      <c r="K14" s="31"/>
      <c r="L14" s="32"/>
      <c r="M14" s="29"/>
      <c r="N14" s="29"/>
      <c r="O14" s="29"/>
      <c r="P14" s="29"/>
    </row>
    <row r="15" spans="1:16" ht="46.5" customHeight="1">
      <c r="A15" s="29"/>
      <c r="B15" s="29"/>
      <c r="C15" s="29"/>
      <c r="D15" s="29"/>
      <c r="E15" s="29"/>
      <c r="F15" s="29"/>
      <c r="G15" s="29"/>
      <c r="H15" s="29"/>
      <c r="I15" s="35"/>
      <c r="J15" s="29"/>
      <c r="K15" s="31"/>
      <c r="L15" s="32"/>
      <c r="M15" s="29"/>
      <c r="N15" s="29"/>
      <c r="O15" s="29"/>
      <c r="P15" s="29"/>
    </row>
    <row r="16" spans="1:16" ht="50.25" customHeight="1">
      <c r="A16" s="29"/>
      <c r="B16" s="29"/>
      <c r="C16" s="29"/>
      <c r="D16" s="29"/>
      <c r="E16" s="29"/>
      <c r="F16" s="29"/>
      <c r="G16" s="29"/>
      <c r="H16" s="29"/>
      <c r="I16" s="35"/>
      <c r="J16" s="29"/>
      <c r="K16" s="31"/>
      <c r="L16" s="32"/>
      <c r="M16" s="29"/>
      <c r="N16" s="29"/>
      <c r="O16" s="29"/>
      <c r="P16" s="29"/>
    </row>
    <row r="17" spans="1:16" ht="39.75" customHeight="1">
      <c r="A17" s="29"/>
      <c r="B17" s="29"/>
      <c r="C17" s="29"/>
      <c r="D17" s="29"/>
      <c r="E17" s="29"/>
      <c r="F17" s="29"/>
      <c r="G17" s="29"/>
      <c r="H17" s="29"/>
      <c r="I17" s="35"/>
      <c r="J17" s="29"/>
      <c r="K17" s="31"/>
      <c r="L17" s="32"/>
      <c r="M17" s="29"/>
      <c r="N17" s="29"/>
      <c r="O17" s="29"/>
      <c r="P17" s="29"/>
    </row>
    <row r="18" spans="1:16">
      <c r="A18" s="29"/>
      <c r="B18" s="29"/>
      <c r="C18" s="29"/>
      <c r="D18" s="29"/>
      <c r="E18" s="29"/>
      <c r="F18" s="29"/>
      <c r="G18" s="29"/>
      <c r="H18" s="29"/>
      <c r="I18" s="30"/>
      <c r="J18" s="29"/>
      <c r="K18" s="31"/>
      <c r="L18" s="32"/>
      <c r="M18" s="29"/>
      <c r="N18" s="29"/>
      <c r="O18" s="29"/>
      <c r="P18" s="29"/>
    </row>
    <row r="19" spans="1:16">
      <c r="A19" s="29"/>
      <c r="B19" s="29"/>
      <c r="C19" s="29"/>
      <c r="D19" s="29"/>
      <c r="E19" s="29"/>
      <c r="F19" s="29"/>
      <c r="G19" s="29"/>
      <c r="H19" s="29"/>
      <c r="I19" s="30"/>
      <c r="J19" s="29"/>
      <c r="K19" s="31"/>
      <c r="L19" s="32"/>
      <c r="M19" s="29"/>
      <c r="N19" s="29"/>
      <c r="O19" s="29"/>
      <c r="P19" s="29"/>
    </row>
    <row r="20" spans="1:16">
      <c r="A20" s="29"/>
      <c r="B20" s="29"/>
      <c r="C20" s="29"/>
      <c r="D20" s="29"/>
      <c r="E20" s="29"/>
      <c r="F20" s="29"/>
      <c r="G20" s="29"/>
      <c r="H20" s="29"/>
      <c r="I20" s="30"/>
      <c r="J20" s="29"/>
      <c r="K20" s="31"/>
      <c r="L20" s="32"/>
      <c r="M20" s="29"/>
      <c r="N20" s="29"/>
      <c r="O20" s="29"/>
      <c r="P20" s="29"/>
    </row>
    <row r="21" spans="1:16">
      <c r="A21" s="29"/>
      <c r="B21" s="29"/>
      <c r="C21" s="29"/>
      <c r="D21" s="29"/>
      <c r="E21" s="29"/>
      <c r="F21" s="29"/>
      <c r="G21" s="29"/>
      <c r="H21" s="29"/>
      <c r="I21" s="30"/>
      <c r="J21" s="29"/>
      <c r="K21" s="31"/>
      <c r="L21" s="32"/>
      <c r="M21" s="29"/>
      <c r="N21" s="29"/>
      <c r="O21" s="29"/>
      <c r="P21" s="29"/>
    </row>
    <row r="22" spans="1:16" ht="28.5" customHeight="1">
      <c r="A22" s="29"/>
      <c r="B22" s="33"/>
      <c r="C22" s="33"/>
      <c r="D22" s="33"/>
      <c r="E22" s="33"/>
      <c r="F22" s="33"/>
      <c r="G22" s="33"/>
      <c r="H22" s="33"/>
      <c r="I22" s="33"/>
      <c r="J22" s="29"/>
      <c r="K22" s="31"/>
      <c r="L22" s="32"/>
      <c r="M22" s="29"/>
      <c r="N22" s="29"/>
      <c r="O22" s="29"/>
      <c r="P22" s="29"/>
    </row>
    <row r="23" spans="1:16" ht="29.25" customHeight="1">
      <c r="A23" s="29"/>
      <c r="B23" s="34"/>
      <c r="C23" s="34"/>
      <c r="D23" s="34"/>
      <c r="E23" s="34"/>
      <c r="F23" s="34"/>
      <c r="G23" s="34"/>
      <c r="H23" s="34"/>
      <c r="I23" s="34"/>
      <c r="J23" s="29"/>
      <c r="K23" s="31"/>
      <c r="L23" s="32"/>
      <c r="M23" s="29"/>
      <c r="N23" s="29"/>
      <c r="O23" s="29"/>
      <c r="P23" s="29"/>
    </row>
    <row r="24" spans="1:16" ht="48" customHeight="1">
      <c r="A24" s="29"/>
      <c r="B24" s="29"/>
      <c r="C24" s="29"/>
      <c r="D24" s="29"/>
      <c r="E24" s="29"/>
      <c r="F24" s="29"/>
      <c r="G24" s="29"/>
      <c r="H24" s="29"/>
      <c r="I24" s="29"/>
      <c r="J24" s="29"/>
      <c r="K24" s="31"/>
      <c r="L24" s="32"/>
      <c r="M24" s="29"/>
      <c r="N24" s="29"/>
      <c r="O24" s="29"/>
      <c r="P24" s="29"/>
    </row>
    <row r="25" spans="1:16" ht="40.5" customHeight="1">
      <c r="A25" s="29"/>
      <c r="B25" s="29"/>
      <c r="C25" s="29"/>
      <c r="D25" s="29"/>
      <c r="E25" s="29"/>
      <c r="F25" s="29"/>
      <c r="G25" s="29"/>
      <c r="H25" s="29"/>
      <c r="I25" s="29"/>
      <c r="J25" s="29"/>
      <c r="K25" s="31"/>
      <c r="L25" s="32"/>
      <c r="M25" s="29"/>
      <c r="N25" s="29"/>
      <c r="O25" s="29"/>
      <c r="P25" s="29"/>
    </row>
    <row r="26" spans="1:16" ht="39.75" customHeight="1">
      <c r="A26" s="29"/>
      <c r="B26" s="29"/>
      <c r="C26" s="29"/>
      <c r="D26" s="29"/>
      <c r="E26" s="29"/>
      <c r="F26" s="29"/>
      <c r="G26" s="29"/>
      <c r="H26" s="29"/>
      <c r="I26" s="29"/>
      <c r="J26" s="29"/>
      <c r="K26" s="31"/>
      <c r="L26" s="32"/>
      <c r="M26" s="29"/>
      <c r="N26" s="29"/>
      <c r="O26" s="29"/>
      <c r="P26" s="29"/>
    </row>
    <row r="27" spans="1:16" ht="39" customHeight="1">
      <c r="A27" s="29"/>
      <c r="B27" s="29"/>
      <c r="C27" s="29"/>
      <c r="D27" s="29"/>
      <c r="E27" s="29"/>
      <c r="F27" s="29"/>
      <c r="G27" s="29"/>
      <c r="H27" s="29"/>
      <c r="I27" s="29"/>
      <c r="J27" s="29"/>
      <c r="K27" s="31"/>
      <c r="L27" s="32"/>
      <c r="M27" s="29"/>
      <c r="N27" s="29"/>
      <c r="O27" s="29"/>
      <c r="P27" s="29"/>
    </row>
    <row r="28" spans="1:16">
      <c r="A28" s="29"/>
      <c r="B28" s="29"/>
      <c r="C28" s="29"/>
      <c r="D28" s="29"/>
      <c r="E28" s="29"/>
      <c r="F28" s="29"/>
      <c r="G28" s="29"/>
      <c r="H28" s="29"/>
      <c r="I28" s="30"/>
      <c r="J28" s="29"/>
      <c r="K28" s="31"/>
      <c r="L28" s="32"/>
      <c r="M28" s="29"/>
      <c r="N28" s="29"/>
      <c r="O28" s="29"/>
      <c r="P28" s="29"/>
    </row>
    <row r="29" spans="1:16">
      <c r="A29" s="29"/>
      <c r="B29" s="29"/>
      <c r="C29" s="29"/>
      <c r="D29" s="29"/>
      <c r="E29" s="29"/>
      <c r="F29" s="29"/>
      <c r="G29" s="29"/>
      <c r="H29" s="29"/>
      <c r="I29" s="30"/>
      <c r="J29" s="29"/>
      <c r="K29" s="31"/>
      <c r="L29" s="32"/>
      <c r="M29" s="29"/>
      <c r="N29" s="29"/>
      <c r="O29" s="29"/>
      <c r="P29" s="29"/>
    </row>
    <row r="30" spans="1:16">
      <c r="A30" s="29"/>
      <c r="B30" s="29"/>
      <c r="C30" s="29"/>
      <c r="D30" s="29"/>
      <c r="E30" s="29"/>
      <c r="F30" s="29"/>
      <c r="G30" s="29"/>
      <c r="H30" s="29"/>
      <c r="I30" s="30"/>
      <c r="J30" s="29"/>
      <c r="K30" s="31"/>
      <c r="L30" s="32"/>
      <c r="M30" s="29"/>
      <c r="N30" s="29"/>
      <c r="O30" s="29"/>
      <c r="P30" s="29"/>
    </row>
    <row r="31" spans="1:16">
      <c r="A31" s="29"/>
      <c r="B31" s="29"/>
      <c r="C31" s="29"/>
      <c r="D31" s="29"/>
      <c r="E31" s="29"/>
      <c r="F31" s="29"/>
      <c r="G31" s="29"/>
      <c r="H31" s="29"/>
      <c r="I31" s="30"/>
      <c r="J31" s="29"/>
      <c r="K31" s="31"/>
      <c r="L31" s="32"/>
      <c r="M31" s="29"/>
      <c r="N31" s="29"/>
      <c r="O31" s="29"/>
      <c r="P31" s="29"/>
    </row>
    <row r="32" spans="1:16">
      <c r="A32" s="29"/>
      <c r="B32" s="29"/>
      <c r="C32" s="29"/>
      <c r="D32" s="29"/>
      <c r="E32" s="29"/>
      <c r="F32" s="29"/>
      <c r="G32" s="29"/>
      <c r="H32" s="29"/>
      <c r="I32" s="30"/>
      <c r="J32" s="29"/>
      <c r="K32" s="31"/>
      <c r="L32" s="32"/>
      <c r="M32" s="29"/>
      <c r="N32" s="29"/>
      <c r="O32" s="29"/>
      <c r="P32" s="29"/>
    </row>
    <row r="33" spans="1:16">
      <c r="A33" s="29"/>
      <c r="B33" s="29"/>
      <c r="C33" s="29"/>
      <c r="D33" s="29"/>
      <c r="E33" s="29"/>
      <c r="F33" s="29"/>
      <c r="G33" s="29"/>
      <c r="H33" s="29"/>
      <c r="I33" s="30"/>
      <c r="J33" s="29"/>
      <c r="K33" s="31"/>
      <c r="L33" s="32"/>
      <c r="M33" s="29"/>
      <c r="N33" s="29"/>
      <c r="O33" s="29"/>
      <c r="P33" s="29"/>
    </row>
    <row r="34" spans="1:16">
      <c r="A34" s="29"/>
      <c r="B34" s="29"/>
      <c r="C34" s="29"/>
      <c r="D34" s="29"/>
      <c r="E34" s="29"/>
      <c r="F34" s="29"/>
      <c r="G34" s="29"/>
      <c r="H34" s="29"/>
      <c r="I34" s="30"/>
      <c r="J34" s="29"/>
      <c r="K34" s="31"/>
      <c r="L34" s="32"/>
      <c r="M34" s="29"/>
      <c r="N34" s="29"/>
      <c r="O34" s="29"/>
      <c r="P34" s="29"/>
    </row>
  </sheetData>
  <mergeCells count="2">
    <mergeCell ref="B2:L2"/>
    <mergeCell ref="B3:L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E4EEB-A915-4B0D-BD0B-559621F607B9}">
  <dimension ref="A1:AD101"/>
  <sheetViews>
    <sheetView zoomScale="115" zoomScaleNormal="115" workbookViewId="0">
      <pane xSplit="4" ySplit="1" topLeftCell="S2" activePane="bottomRight" state="frozen"/>
      <selection pane="topRight" activeCell="D1" sqref="D1"/>
      <selection pane="bottomLeft" activeCell="A4" sqref="A4"/>
      <selection pane="bottomRight" activeCell="Z11" sqref="Z11"/>
    </sheetView>
  </sheetViews>
  <sheetFormatPr defaultColWidth="9" defaultRowHeight="12.75"/>
  <cols>
    <col min="1" max="1" width="9" style="66" customWidth="1"/>
    <col min="2" max="2" width="7.28515625" style="142" customWidth="1"/>
    <col min="3" max="3" width="14.42578125" style="144" customWidth="1"/>
    <col min="4" max="4" width="8.140625" style="142" customWidth="1"/>
    <col min="5" max="5" width="10" style="97" customWidth="1"/>
    <col min="6" max="6" width="9" style="97" customWidth="1"/>
    <col min="7" max="7" width="8.7109375" style="142" customWidth="1"/>
    <col min="8" max="8" width="9.42578125" style="142" customWidth="1"/>
    <col min="9" max="9" width="9.140625" style="142" customWidth="1"/>
    <col min="10" max="10" width="6.5703125" style="142" customWidth="1"/>
    <col min="11" max="11" width="7.85546875" style="145" customWidth="1"/>
    <col min="12" max="12" width="7.140625" style="145" customWidth="1"/>
    <col min="13" max="13" width="7.85546875" style="142" customWidth="1"/>
    <col min="14" max="14" width="7.5703125" style="146" customWidth="1"/>
    <col min="15" max="15" width="8" style="147" customWidth="1"/>
    <col min="16" max="16" width="9" style="147" customWidth="1"/>
    <col min="17" max="17" width="10" style="142" customWidth="1"/>
    <col min="18" max="18" width="8.7109375" style="142" customWidth="1"/>
    <col min="19" max="19" width="10.5703125" style="142" customWidth="1"/>
    <col min="20" max="20" width="8.85546875" style="147" customWidth="1"/>
    <col min="21" max="21" width="77.28515625" style="148" customWidth="1"/>
    <col min="22" max="22" width="15.7109375" style="149" customWidth="1"/>
    <col min="23" max="23" width="9.28515625" style="97" customWidth="1"/>
    <col min="24" max="24" width="13.140625" style="97" customWidth="1"/>
    <col min="25" max="16384" width="9" style="142"/>
  </cols>
  <sheetData>
    <row r="1" spans="1:30" s="93" customFormat="1" ht="45" customHeight="1" thickBot="1">
      <c r="A1" s="46"/>
      <c r="B1" s="47" t="s">
        <v>74</v>
      </c>
      <c r="C1" s="48" t="s">
        <v>75</v>
      </c>
      <c r="D1" s="100" t="s">
        <v>76</v>
      </c>
      <c r="E1" s="140" t="s">
        <v>77</v>
      </c>
      <c r="F1" s="106" t="s">
        <v>78</v>
      </c>
      <c r="G1" s="107" t="s">
        <v>79</v>
      </c>
      <c r="H1" s="108" t="s">
        <v>80</v>
      </c>
      <c r="I1" s="107" t="s">
        <v>81</v>
      </c>
      <c r="J1" s="108" t="s">
        <v>82</v>
      </c>
      <c r="K1" s="109" t="s">
        <v>83</v>
      </c>
      <c r="L1" s="109" t="s">
        <v>195</v>
      </c>
      <c r="M1" s="108" t="s">
        <v>84</v>
      </c>
      <c r="N1" s="110" t="s">
        <v>85</v>
      </c>
      <c r="O1" s="111" t="s">
        <v>86</v>
      </c>
      <c r="P1" s="112" t="s">
        <v>87</v>
      </c>
      <c r="Q1" s="108" t="s">
        <v>88</v>
      </c>
      <c r="R1" s="49" t="s">
        <v>89</v>
      </c>
      <c r="S1" s="49" t="s">
        <v>165</v>
      </c>
      <c r="T1" s="50" t="s">
        <v>90</v>
      </c>
      <c r="U1" s="51" t="s">
        <v>91</v>
      </c>
      <c r="V1" s="52" t="s">
        <v>92</v>
      </c>
      <c r="W1" s="90" t="s">
        <v>93</v>
      </c>
      <c r="X1" s="98"/>
    </row>
    <row r="2" spans="1:30" s="92" customFormat="1">
      <c r="A2" s="53" t="s">
        <v>95</v>
      </c>
      <c r="B2" s="54">
        <v>1</v>
      </c>
      <c r="C2" s="55">
        <v>45365</v>
      </c>
      <c r="D2" s="99">
        <v>0.66666666666666663</v>
      </c>
      <c r="E2" s="96">
        <v>6.1</v>
      </c>
      <c r="F2" s="101">
        <v>5.9</v>
      </c>
      <c r="G2" s="102">
        <v>0</v>
      </c>
      <c r="H2" s="95">
        <v>0</v>
      </c>
      <c r="I2" s="102"/>
      <c r="J2" s="95">
        <v>35</v>
      </c>
      <c r="K2" s="103"/>
      <c r="L2" s="103"/>
      <c r="M2" s="95"/>
      <c r="N2" s="104"/>
      <c r="O2" s="94">
        <v>0.9</v>
      </c>
      <c r="P2" s="105">
        <v>0.9</v>
      </c>
      <c r="Q2" s="95">
        <v>13.8</v>
      </c>
      <c r="R2" s="58"/>
      <c r="S2" s="58"/>
      <c r="T2" s="62"/>
      <c r="U2" s="64" t="s">
        <v>194</v>
      </c>
      <c r="V2" s="65">
        <f t="shared" ref="V2:V33" si="0">C2+D2</f>
        <v>45365.666666666664</v>
      </c>
      <c r="W2" s="91">
        <f>0</f>
        <v>0</v>
      </c>
      <c r="X2" s="97"/>
    </row>
    <row r="3" spans="1:30" s="66" customFormat="1" ht="38.25">
      <c r="B3" s="67">
        <v>2</v>
      </c>
      <c r="C3" s="68">
        <v>45366</v>
      </c>
      <c r="D3" s="69">
        <v>0.61805555555555558</v>
      </c>
      <c r="E3" s="56">
        <v>6.23</v>
      </c>
      <c r="F3" s="57">
        <v>6.12</v>
      </c>
      <c r="G3" s="58">
        <v>0</v>
      </c>
      <c r="H3" s="59">
        <v>0</v>
      </c>
      <c r="I3" s="58"/>
      <c r="J3" s="59">
        <v>35</v>
      </c>
      <c r="K3" s="60"/>
      <c r="L3" s="60"/>
      <c r="M3" s="59"/>
      <c r="N3" s="61"/>
      <c r="O3" s="62">
        <v>0.9</v>
      </c>
      <c r="P3" s="63">
        <v>0.9</v>
      </c>
      <c r="Q3" s="59">
        <v>13.8</v>
      </c>
      <c r="R3" s="72"/>
      <c r="S3" s="72"/>
      <c r="T3" s="75"/>
      <c r="U3" s="77"/>
      <c r="V3" s="65">
        <f t="shared" si="0"/>
        <v>45366.618055555555</v>
      </c>
      <c r="W3" s="89">
        <f>V3-$V$2</f>
        <v>0.95138888889050577</v>
      </c>
      <c r="X3" s="97"/>
      <c r="Z3" s="78" t="s">
        <v>96</v>
      </c>
      <c r="AA3" s="78" t="s">
        <v>97</v>
      </c>
      <c r="AB3" s="78" t="s">
        <v>94</v>
      </c>
      <c r="AC3" s="79" t="s">
        <v>98</v>
      </c>
      <c r="AD3" s="66" t="s">
        <v>99</v>
      </c>
    </row>
    <row r="4" spans="1:30" s="66" customFormat="1">
      <c r="B4" s="67">
        <v>3</v>
      </c>
      <c r="C4" s="68">
        <v>45369</v>
      </c>
      <c r="D4" s="69">
        <v>0.6875</v>
      </c>
      <c r="E4" s="70">
        <v>5.55</v>
      </c>
      <c r="F4" s="71">
        <v>5.4</v>
      </c>
      <c r="G4" s="72">
        <v>0</v>
      </c>
      <c r="H4" s="67">
        <v>0</v>
      </c>
      <c r="I4" s="72"/>
      <c r="J4" s="67">
        <v>35</v>
      </c>
      <c r="K4" s="73"/>
      <c r="L4" s="73"/>
      <c r="M4" s="67">
        <v>2</v>
      </c>
      <c r="N4" s="74">
        <v>0.89200000000000002</v>
      </c>
      <c r="O4" s="75">
        <v>0.9</v>
      </c>
      <c r="P4" s="76">
        <v>0.9</v>
      </c>
      <c r="Q4" s="67">
        <v>13.8</v>
      </c>
      <c r="R4" s="72"/>
      <c r="S4" s="72"/>
      <c r="T4" s="75"/>
      <c r="U4" s="77"/>
      <c r="V4" s="65">
        <f t="shared" si="0"/>
        <v>45369.6875</v>
      </c>
      <c r="W4" s="89">
        <f>V4-$V$2</f>
        <v>4.0208333333357587</v>
      </c>
      <c r="X4" s="97"/>
      <c r="Z4" s="78">
        <v>0</v>
      </c>
      <c r="AA4" s="78">
        <v>5.9</v>
      </c>
      <c r="AB4" s="78"/>
      <c r="AC4" s="78"/>
    </row>
    <row r="5" spans="1:30" s="66" customFormat="1">
      <c r="A5" s="80" t="s">
        <v>100</v>
      </c>
      <c r="B5" s="81">
        <v>4</v>
      </c>
      <c r="C5" s="82">
        <v>45371</v>
      </c>
      <c r="D5" s="69">
        <v>0.3888888888888889</v>
      </c>
      <c r="E5" s="70">
        <v>5.41</v>
      </c>
      <c r="F5" s="71">
        <v>5.24</v>
      </c>
      <c r="G5" s="72">
        <v>0</v>
      </c>
      <c r="H5" s="67">
        <v>0</v>
      </c>
      <c r="I5" s="72">
        <v>1130</v>
      </c>
      <c r="J5" s="67">
        <v>35</v>
      </c>
      <c r="K5" s="73">
        <v>0</v>
      </c>
      <c r="L5" s="73"/>
      <c r="M5" s="67">
        <v>2</v>
      </c>
      <c r="N5" s="74">
        <v>0.78200000000000003</v>
      </c>
      <c r="O5" s="75">
        <v>0.9</v>
      </c>
      <c r="P5" s="76">
        <v>0.9</v>
      </c>
      <c r="Q5" s="67">
        <v>13.8</v>
      </c>
      <c r="R5" s="72">
        <v>1351</v>
      </c>
      <c r="S5" s="72"/>
      <c r="T5" s="75">
        <v>1020</v>
      </c>
      <c r="U5" s="83" t="s">
        <v>101</v>
      </c>
      <c r="V5" s="65">
        <f t="shared" si="0"/>
        <v>45371.388888888891</v>
      </c>
      <c r="W5" s="89">
        <f>V5-$V$2</f>
        <v>5.7222222222262644</v>
      </c>
      <c r="X5" s="97"/>
      <c r="Z5" s="78">
        <v>150</v>
      </c>
      <c r="AA5" s="78">
        <v>5.9</v>
      </c>
      <c r="AB5" s="78"/>
      <c r="AC5" s="78"/>
    </row>
    <row r="6" spans="1:30" s="66" customFormat="1" ht="25.5">
      <c r="B6" s="67">
        <v>5</v>
      </c>
      <c r="C6" s="68">
        <v>45372</v>
      </c>
      <c r="D6" s="69">
        <v>0.43541666666666662</v>
      </c>
      <c r="E6" s="70">
        <v>6.07</v>
      </c>
      <c r="F6" s="71">
        <v>5.9</v>
      </c>
      <c r="G6" s="72">
        <v>0</v>
      </c>
      <c r="H6" s="67">
        <v>0</v>
      </c>
      <c r="I6" s="72">
        <v>1270</v>
      </c>
      <c r="J6" s="67">
        <v>35</v>
      </c>
      <c r="K6" s="73">
        <v>-47.75</v>
      </c>
      <c r="L6" s="73"/>
      <c r="M6" s="67">
        <v>2</v>
      </c>
      <c r="N6" s="74">
        <v>0.88400000000000001</v>
      </c>
      <c r="O6" s="75">
        <v>0.9</v>
      </c>
      <c r="P6" s="76">
        <v>1</v>
      </c>
      <c r="Q6" s="67">
        <v>13.8</v>
      </c>
      <c r="R6" s="72">
        <v>793.1</v>
      </c>
      <c r="S6" s="72">
        <v>6553.2</v>
      </c>
      <c r="T6" s="75">
        <v>1538.2</v>
      </c>
      <c r="U6" s="84" t="s">
        <v>102</v>
      </c>
      <c r="V6" s="65">
        <f t="shared" si="0"/>
        <v>45372.435416666667</v>
      </c>
      <c r="W6" s="89">
        <f>V6-$V$2</f>
        <v>6.7687500000029104</v>
      </c>
      <c r="X6" s="97"/>
      <c r="Z6" s="78"/>
      <c r="AA6" s="78"/>
      <c r="AB6" s="78"/>
      <c r="AC6" s="78"/>
    </row>
    <row r="7" spans="1:30" s="66" customFormat="1">
      <c r="B7" s="67">
        <v>6</v>
      </c>
      <c r="C7" s="68">
        <v>45373</v>
      </c>
      <c r="D7" s="69">
        <v>0.4548611111111111</v>
      </c>
      <c r="E7" s="70">
        <v>6.05</v>
      </c>
      <c r="F7" s="71">
        <v>5.88</v>
      </c>
      <c r="G7" s="72">
        <v>0</v>
      </c>
      <c r="H7" s="67">
        <v>0</v>
      </c>
      <c r="I7" s="72">
        <v>1240</v>
      </c>
      <c r="J7" s="67">
        <v>35</v>
      </c>
      <c r="K7" s="73">
        <v>0</v>
      </c>
      <c r="L7" s="73"/>
      <c r="M7" s="67">
        <v>2</v>
      </c>
      <c r="N7" s="74">
        <v>0.873</v>
      </c>
      <c r="O7" s="75">
        <v>0.9</v>
      </c>
      <c r="P7" s="76">
        <v>1</v>
      </c>
      <c r="Q7" s="67">
        <v>13.8</v>
      </c>
      <c r="R7" s="72"/>
      <c r="S7" s="72"/>
      <c r="T7" s="75"/>
      <c r="U7" s="77" t="s">
        <v>103</v>
      </c>
      <c r="V7" s="65">
        <f t="shared" si="0"/>
        <v>45373.454861111109</v>
      </c>
      <c r="W7" s="89">
        <f t="shared" ref="W7:W95" si="1">V7-$V$2</f>
        <v>7.7881944444452529</v>
      </c>
      <c r="X7" s="97"/>
      <c r="Z7" s="78">
        <v>6.2</v>
      </c>
      <c r="AA7" s="78">
        <v>5</v>
      </c>
      <c r="AB7" s="78">
        <v>0</v>
      </c>
      <c r="AC7" s="78">
        <v>0</v>
      </c>
      <c r="AD7" s="66">
        <v>0</v>
      </c>
    </row>
    <row r="8" spans="1:30" s="66" customFormat="1">
      <c r="B8" s="59">
        <v>7</v>
      </c>
      <c r="C8" s="68">
        <v>45376</v>
      </c>
      <c r="D8" s="69">
        <v>0.4548611111111111</v>
      </c>
      <c r="E8" s="70">
        <v>6.09</v>
      </c>
      <c r="F8" s="71">
        <v>5.9</v>
      </c>
      <c r="G8" s="72">
        <v>690402</v>
      </c>
      <c r="H8" s="67">
        <v>38394</v>
      </c>
      <c r="I8" s="72">
        <v>1250</v>
      </c>
      <c r="J8" s="67">
        <v>35</v>
      </c>
      <c r="K8" s="73">
        <v>-80.040000000000006</v>
      </c>
      <c r="L8" s="73"/>
      <c r="M8" s="67">
        <v>2</v>
      </c>
      <c r="N8" s="74">
        <v>0.84499999999999997</v>
      </c>
      <c r="O8" s="75">
        <v>0.9</v>
      </c>
      <c r="P8" s="76">
        <v>1</v>
      </c>
      <c r="Q8" s="67">
        <v>13.8</v>
      </c>
      <c r="R8" s="72"/>
      <c r="S8" s="72"/>
      <c r="T8" s="75"/>
      <c r="U8" s="77"/>
      <c r="V8" s="65">
        <f t="shared" si="0"/>
        <v>45376.454861111109</v>
      </c>
      <c r="W8" s="89">
        <f t="shared" si="1"/>
        <v>10.788194444445253</v>
      </c>
      <c r="X8" s="97"/>
      <c r="Z8" s="78">
        <v>6.2</v>
      </c>
      <c r="AA8" s="78">
        <v>7</v>
      </c>
      <c r="AB8" s="78">
        <v>20</v>
      </c>
      <c r="AC8" s="78">
        <v>200</v>
      </c>
      <c r="AD8" s="66">
        <v>20</v>
      </c>
    </row>
    <row r="9" spans="1:30" s="66" customFormat="1">
      <c r="B9" s="67">
        <v>8</v>
      </c>
      <c r="C9" s="68">
        <v>45378</v>
      </c>
      <c r="D9" s="69">
        <v>0.45763888888888887</v>
      </c>
      <c r="E9" s="70">
        <v>6.08</v>
      </c>
      <c r="F9" s="71">
        <v>5.88</v>
      </c>
      <c r="G9" s="72">
        <v>690827</v>
      </c>
      <c r="H9" s="67">
        <v>38439</v>
      </c>
      <c r="I9" s="72">
        <v>1250</v>
      </c>
      <c r="J9" s="67">
        <v>35</v>
      </c>
      <c r="K9" s="73">
        <v>-131.5</v>
      </c>
      <c r="L9" s="73"/>
      <c r="M9" s="67">
        <v>2</v>
      </c>
      <c r="N9" s="74">
        <v>0.81200000000000006</v>
      </c>
      <c r="O9" s="75">
        <v>0.9</v>
      </c>
      <c r="P9" s="76">
        <v>1</v>
      </c>
      <c r="Q9" s="67">
        <v>13.8</v>
      </c>
      <c r="R9" s="72"/>
      <c r="S9" s="72"/>
      <c r="T9" s="75"/>
      <c r="U9" s="77"/>
      <c r="V9" s="65">
        <f t="shared" si="0"/>
        <v>45378.457638888889</v>
      </c>
      <c r="W9" s="89">
        <f t="shared" si="1"/>
        <v>12.790972222224809</v>
      </c>
      <c r="X9" s="97"/>
      <c r="Z9" s="78"/>
      <c r="AA9" s="78"/>
      <c r="AB9" s="78"/>
      <c r="AC9" s="78"/>
    </row>
    <row r="10" spans="1:30" s="141" customFormat="1">
      <c r="A10" s="53"/>
      <c r="B10" s="81">
        <v>9</v>
      </c>
      <c r="C10" s="82">
        <v>45379</v>
      </c>
      <c r="D10" s="131">
        <v>0.45833333333333331</v>
      </c>
      <c r="E10" s="132">
        <v>6.05</v>
      </c>
      <c r="F10" s="132">
        <v>5.85</v>
      </c>
      <c r="G10" s="81">
        <v>704753</v>
      </c>
      <c r="H10" s="81">
        <v>39905</v>
      </c>
      <c r="I10" s="81">
        <v>1250</v>
      </c>
      <c r="J10" s="81">
        <v>35</v>
      </c>
      <c r="K10" s="133">
        <v>-158.19</v>
      </c>
      <c r="L10" s="133"/>
      <c r="M10" s="81">
        <v>2</v>
      </c>
      <c r="N10" s="134">
        <v>0.80200000000000005</v>
      </c>
      <c r="O10" s="135">
        <v>0.9</v>
      </c>
      <c r="P10" s="135">
        <v>1</v>
      </c>
      <c r="Q10" s="81">
        <v>13.8</v>
      </c>
      <c r="R10" s="81"/>
      <c r="S10" s="81"/>
      <c r="T10" s="135"/>
      <c r="U10" s="137"/>
      <c r="V10" s="138">
        <f t="shared" si="0"/>
        <v>45379.458333333336</v>
      </c>
      <c r="W10" s="122">
        <f t="shared" si="1"/>
        <v>13.791666666671517</v>
      </c>
      <c r="X10" s="97"/>
      <c r="Z10" s="141">
        <v>42.8</v>
      </c>
      <c r="AA10" s="141">
        <v>5</v>
      </c>
      <c r="AB10" s="141">
        <v>0</v>
      </c>
      <c r="AC10" s="141">
        <v>0</v>
      </c>
      <c r="AD10" s="141">
        <v>0</v>
      </c>
    </row>
    <row r="11" spans="1:30" s="66" customFormat="1">
      <c r="B11" s="67">
        <v>10</v>
      </c>
      <c r="C11" s="68">
        <v>45380</v>
      </c>
      <c r="D11" s="69">
        <v>0.45694444444444443</v>
      </c>
      <c r="E11" s="70">
        <v>6.05</v>
      </c>
      <c r="F11" s="71">
        <v>5.85</v>
      </c>
      <c r="G11" s="72">
        <v>718226</v>
      </c>
      <c r="H11" s="67">
        <v>41316</v>
      </c>
      <c r="I11" s="72">
        <v>1250</v>
      </c>
      <c r="J11" s="67">
        <v>35</v>
      </c>
      <c r="K11" s="73">
        <v>-185.16</v>
      </c>
      <c r="L11" s="73"/>
      <c r="M11" s="67">
        <v>2</v>
      </c>
      <c r="N11" s="74">
        <v>0.84</v>
      </c>
      <c r="O11" s="75">
        <v>0.9</v>
      </c>
      <c r="P11" s="76">
        <v>1</v>
      </c>
      <c r="Q11" s="67">
        <v>13.8</v>
      </c>
      <c r="R11" s="72">
        <v>1956.8</v>
      </c>
      <c r="S11" s="72">
        <v>6970.6</v>
      </c>
      <c r="T11" s="75">
        <v>6289.3</v>
      </c>
      <c r="U11" s="77" t="s">
        <v>104</v>
      </c>
      <c r="V11" s="65">
        <f t="shared" si="0"/>
        <v>45380.456944444442</v>
      </c>
      <c r="W11" s="89">
        <f t="shared" si="1"/>
        <v>14.790277777778101</v>
      </c>
      <c r="X11" s="97">
        <f>H11-H9</f>
        <v>2877</v>
      </c>
      <c r="Z11" s="78">
        <v>42.8</v>
      </c>
      <c r="AA11" s="78">
        <v>7</v>
      </c>
      <c r="AB11" s="78">
        <v>20</v>
      </c>
      <c r="AC11" s="78">
        <v>200</v>
      </c>
      <c r="AD11" s="66">
        <v>20</v>
      </c>
    </row>
    <row r="12" spans="1:30" s="66" customFormat="1">
      <c r="B12" s="67">
        <v>11</v>
      </c>
      <c r="C12" s="68">
        <v>45383</v>
      </c>
      <c r="D12" s="69">
        <v>0.45694444444444443</v>
      </c>
      <c r="E12" s="70">
        <v>6.1</v>
      </c>
      <c r="F12" s="71">
        <v>5.88</v>
      </c>
      <c r="G12" s="72">
        <v>758867</v>
      </c>
      <c r="H12" s="67">
        <v>45572</v>
      </c>
      <c r="I12" s="72">
        <v>1250</v>
      </c>
      <c r="J12" s="67">
        <v>35</v>
      </c>
      <c r="K12" s="73">
        <v>-267.20999999999998</v>
      </c>
      <c r="L12" s="73"/>
      <c r="M12" s="67">
        <v>2</v>
      </c>
      <c r="N12" s="74">
        <v>0.84399999999999997</v>
      </c>
      <c r="O12" s="75">
        <v>0.9</v>
      </c>
      <c r="P12" s="76">
        <v>1</v>
      </c>
      <c r="Q12" s="67">
        <v>13.8</v>
      </c>
      <c r="R12" s="72"/>
      <c r="S12" s="72"/>
      <c r="T12" s="75"/>
      <c r="U12" s="77"/>
      <c r="V12" s="65">
        <f t="shared" si="0"/>
        <v>45383.456944444442</v>
      </c>
      <c r="W12" s="89">
        <f t="shared" si="1"/>
        <v>17.790277777778101</v>
      </c>
      <c r="X12" s="97">
        <f>X11/60/24</f>
        <v>1.9979166666666668</v>
      </c>
      <c r="Z12" s="78"/>
      <c r="AA12" s="78"/>
      <c r="AB12" s="78"/>
      <c r="AC12" s="78"/>
    </row>
    <row r="13" spans="1:30" s="66" customFormat="1">
      <c r="B13" s="67">
        <v>12</v>
      </c>
      <c r="C13" s="68">
        <v>45385</v>
      </c>
      <c r="D13" s="69">
        <v>0.4548611111111111</v>
      </c>
      <c r="E13" s="70">
        <v>6.07</v>
      </c>
      <c r="F13" s="71">
        <v>5.81</v>
      </c>
      <c r="G13" s="72">
        <v>786332</v>
      </c>
      <c r="H13" s="67">
        <v>48451</v>
      </c>
      <c r="I13" s="72">
        <v>1250</v>
      </c>
      <c r="J13" s="67">
        <v>35</v>
      </c>
      <c r="K13" s="73">
        <v>-319.94</v>
      </c>
      <c r="L13" s="73">
        <v>1008</v>
      </c>
      <c r="M13" s="67">
        <v>2</v>
      </c>
      <c r="N13" s="74">
        <v>0.81299999999999994</v>
      </c>
      <c r="O13" s="75">
        <v>0.9</v>
      </c>
      <c r="P13" s="76">
        <v>1</v>
      </c>
      <c r="Q13" s="67">
        <v>13.8</v>
      </c>
      <c r="R13" s="72"/>
      <c r="S13" s="72"/>
      <c r="T13" s="75"/>
      <c r="U13" s="77" t="s">
        <v>105</v>
      </c>
      <c r="V13" s="65">
        <f t="shared" si="0"/>
        <v>45385.454861111109</v>
      </c>
      <c r="W13" s="89">
        <f t="shared" si="1"/>
        <v>19.788194444445253</v>
      </c>
      <c r="X13" s="97"/>
      <c r="Z13" s="78">
        <v>95</v>
      </c>
      <c r="AA13" s="78">
        <v>5</v>
      </c>
      <c r="AB13" s="78">
        <v>0</v>
      </c>
      <c r="AC13" s="78">
        <v>0</v>
      </c>
      <c r="AD13" s="66">
        <v>0</v>
      </c>
    </row>
    <row r="14" spans="1:30" s="66" customFormat="1">
      <c r="B14" s="59">
        <v>13</v>
      </c>
      <c r="C14" s="68">
        <v>45387</v>
      </c>
      <c r="D14" s="69">
        <v>0.4548611111111111</v>
      </c>
      <c r="E14" s="70">
        <v>6.05</v>
      </c>
      <c r="F14" s="71">
        <v>5.78</v>
      </c>
      <c r="G14" s="72">
        <v>813860</v>
      </c>
      <c r="H14" s="67">
        <v>51335</v>
      </c>
      <c r="I14" s="72">
        <v>1250</v>
      </c>
      <c r="J14" s="67">
        <v>35</v>
      </c>
      <c r="K14" s="73">
        <v>920.8</v>
      </c>
      <c r="L14" s="73"/>
      <c r="M14" s="67">
        <v>2</v>
      </c>
      <c r="N14" s="74">
        <v>0.83</v>
      </c>
      <c r="O14" s="75">
        <v>0.9</v>
      </c>
      <c r="P14" s="76">
        <v>1</v>
      </c>
      <c r="Q14" s="67">
        <v>13.8</v>
      </c>
      <c r="R14" s="72"/>
      <c r="S14" s="72"/>
      <c r="T14" s="75"/>
      <c r="U14" s="77" t="s">
        <v>106</v>
      </c>
      <c r="V14" s="65">
        <f t="shared" si="0"/>
        <v>45387.454861111109</v>
      </c>
      <c r="W14" s="89">
        <f t="shared" si="1"/>
        <v>21.788194444445253</v>
      </c>
      <c r="X14" s="97"/>
      <c r="Z14" s="78">
        <v>95</v>
      </c>
      <c r="AA14" s="78">
        <v>7</v>
      </c>
      <c r="AB14" s="78">
        <v>20</v>
      </c>
      <c r="AC14" s="78">
        <v>200</v>
      </c>
      <c r="AD14" s="66">
        <v>20</v>
      </c>
    </row>
    <row r="15" spans="1:30" s="141" customFormat="1" ht="25.5">
      <c r="A15" s="53"/>
      <c r="B15" s="81">
        <v>14</v>
      </c>
      <c r="C15" s="82">
        <v>45388</v>
      </c>
      <c r="D15" s="131">
        <v>0.51736111111111105</v>
      </c>
      <c r="E15" s="132">
        <v>6.66</v>
      </c>
      <c r="F15" s="132">
        <v>6.41</v>
      </c>
      <c r="G15" s="81">
        <v>828486</v>
      </c>
      <c r="H15" s="81">
        <v>52855</v>
      </c>
      <c r="I15" s="81">
        <v>1250</v>
      </c>
      <c r="J15" s="81">
        <v>35</v>
      </c>
      <c r="K15" s="133">
        <v>718.9</v>
      </c>
      <c r="L15" s="133"/>
      <c r="M15" s="81">
        <v>2</v>
      </c>
      <c r="N15" s="134">
        <v>0.81399999999999995</v>
      </c>
      <c r="O15" s="135">
        <v>0.9</v>
      </c>
      <c r="P15" s="135">
        <v>1</v>
      </c>
      <c r="Q15" s="81">
        <v>13.8</v>
      </c>
      <c r="R15" s="81">
        <v>2530.6999999999998</v>
      </c>
      <c r="S15" s="81">
        <v>150</v>
      </c>
      <c r="T15" s="136">
        <v>10905</v>
      </c>
      <c r="U15" s="137" t="s">
        <v>107</v>
      </c>
      <c r="V15" s="138">
        <f t="shared" si="0"/>
        <v>45388.517361111109</v>
      </c>
      <c r="W15" s="122">
        <f t="shared" si="1"/>
        <v>22.850694444445253</v>
      </c>
      <c r="X15" s="97"/>
    </row>
    <row r="16" spans="1:30" s="66" customFormat="1" ht="76.5">
      <c r="B16" s="67">
        <v>15</v>
      </c>
      <c r="C16" s="68">
        <v>45390</v>
      </c>
      <c r="D16" s="69">
        <v>0.41666666666666669</v>
      </c>
      <c r="E16" s="70">
        <v>6.42</v>
      </c>
      <c r="F16" s="71">
        <v>6.12</v>
      </c>
      <c r="G16" s="72">
        <v>854712</v>
      </c>
      <c r="H16" s="67">
        <v>55594</v>
      </c>
      <c r="I16" s="72">
        <v>1250</v>
      </c>
      <c r="J16" s="67">
        <v>35</v>
      </c>
      <c r="K16" s="73">
        <v>639</v>
      </c>
      <c r="L16" s="73">
        <v>817.8</v>
      </c>
      <c r="M16" s="67">
        <v>1.99</v>
      </c>
      <c r="N16" s="74">
        <v>0.82099999999999995</v>
      </c>
      <c r="O16" s="75">
        <v>0.9</v>
      </c>
      <c r="P16" s="76">
        <v>1</v>
      </c>
      <c r="Q16" s="67">
        <v>13.8</v>
      </c>
      <c r="R16" s="72">
        <v>6750.4</v>
      </c>
      <c r="S16" s="72">
        <v>1741.8</v>
      </c>
      <c r="T16" s="75">
        <v>11971</v>
      </c>
      <c r="U16" s="77" t="s">
        <v>108</v>
      </c>
      <c r="V16" s="65">
        <f t="shared" si="0"/>
        <v>45390.416666666664</v>
      </c>
      <c r="W16" s="89">
        <f t="shared" si="1"/>
        <v>24.75</v>
      </c>
      <c r="X16" s="97"/>
      <c r="Z16" s="78">
        <v>122.99</v>
      </c>
      <c r="AA16" s="78">
        <v>5</v>
      </c>
      <c r="AB16" s="78">
        <v>0</v>
      </c>
      <c r="AC16" s="78">
        <v>0</v>
      </c>
      <c r="AD16" s="66">
        <v>0</v>
      </c>
    </row>
    <row r="17" spans="1:30" s="92" customFormat="1" ht="25.5">
      <c r="A17" s="66"/>
      <c r="B17" s="67">
        <v>16</v>
      </c>
      <c r="C17" s="68">
        <v>45392</v>
      </c>
      <c r="D17" s="69">
        <v>0.41666666666666669</v>
      </c>
      <c r="E17" s="70">
        <v>6.2</v>
      </c>
      <c r="F17" s="71">
        <v>5.9</v>
      </c>
      <c r="G17" s="72">
        <v>882737</v>
      </c>
      <c r="H17" s="67">
        <v>58593</v>
      </c>
      <c r="I17" s="72">
        <v>1250</v>
      </c>
      <c r="J17" s="67">
        <v>35</v>
      </c>
      <c r="K17" s="73">
        <v>690.1</v>
      </c>
      <c r="L17" s="73"/>
      <c r="M17" s="67">
        <v>2</v>
      </c>
      <c r="N17" s="74">
        <v>0.80300000000000005</v>
      </c>
      <c r="O17" s="75">
        <v>0.9</v>
      </c>
      <c r="P17" s="76">
        <v>1</v>
      </c>
      <c r="Q17" s="67">
        <v>13.8</v>
      </c>
      <c r="R17" s="72">
        <v>5568.7</v>
      </c>
      <c r="S17" s="72"/>
      <c r="T17" s="75">
        <v>13073</v>
      </c>
      <c r="U17" s="77" t="s">
        <v>109</v>
      </c>
      <c r="V17" s="65">
        <f t="shared" si="0"/>
        <v>45392.416666666664</v>
      </c>
      <c r="W17" s="89">
        <f t="shared" si="1"/>
        <v>26.75</v>
      </c>
      <c r="X17" s="97"/>
      <c r="Y17" s="66"/>
      <c r="Z17" s="78">
        <v>122.99</v>
      </c>
      <c r="AA17" s="78">
        <v>7</v>
      </c>
      <c r="AB17" s="78">
        <v>20</v>
      </c>
      <c r="AC17" s="78">
        <v>200</v>
      </c>
      <c r="AD17" s="92">
        <v>20</v>
      </c>
    </row>
    <row r="18" spans="1:30" s="92" customFormat="1">
      <c r="A18" s="66"/>
      <c r="B18" s="67">
        <v>17</v>
      </c>
      <c r="C18" s="68">
        <v>45394</v>
      </c>
      <c r="D18" s="69">
        <v>0.41666666666666669</v>
      </c>
      <c r="E18" s="70">
        <v>6.2</v>
      </c>
      <c r="F18" s="71">
        <v>5.91</v>
      </c>
      <c r="G18" s="72">
        <v>909193</v>
      </c>
      <c r="H18" s="67">
        <v>61350</v>
      </c>
      <c r="I18" s="72">
        <v>1250</v>
      </c>
      <c r="J18" s="67">
        <v>35</v>
      </c>
      <c r="K18" s="73">
        <v>632.29999999999995</v>
      </c>
      <c r="L18" s="73"/>
      <c r="M18" s="67">
        <v>2</v>
      </c>
      <c r="N18" s="74">
        <v>0.87</v>
      </c>
      <c r="O18" s="75">
        <v>0.9</v>
      </c>
      <c r="P18" s="76">
        <v>1</v>
      </c>
      <c r="Q18" s="67">
        <v>13.8</v>
      </c>
      <c r="R18" s="72">
        <v>4493.3999999999996</v>
      </c>
      <c r="S18" s="72"/>
      <c r="T18" s="75">
        <v>14159</v>
      </c>
      <c r="U18" s="77"/>
      <c r="V18" s="65">
        <f t="shared" si="0"/>
        <v>45394.416666666664</v>
      </c>
      <c r="W18" s="89">
        <f t="shared" si="1"/>
        <v>28.75</v>
      </c>
      <c r="X18" s="97"/>
      <c r="Y18" s="66"/>
      <c r="Z18" s="66"/>
      <c r="AA18" s="66"/>
      <c r="AB18" s="66"/>
      <c r="AC18" s="66"/>
    </row>
    <row r="19" spans="1:30" s="92" customFormat="1">
      <c r="A19" s="66"/>
      <c r="B19" s="67">
        <v>18</v>
      </c>
      <c r="C19" s="68">
        <v>45397</v>
      </c>
      <c r="D19" s="69">
        <v>0.41666666666666669</v>
      </c>
      <c r="E19" s="70">
        <v>6.2</v>
      </c>
      <c r="F19" s="71">
        <v>5.88</v>
      </c>
      <c r="G19" s="72">
        <v>950226</v>
      </c>
      <c r="H19" s="67">
        <v>65670</v>
      </c>
      <c r="I19" s="72">
        <v>1250</v>
      </c>
      <c r="J19" s="67">
        <v>35</v>
      </c>
      <c r="K19" s="73">
        <v>541.29999999999995</v>
      </c>
      <c r="L19" s="73"/>
      <c r="M19" s="67">
        <v>2</v>
      </c>
      <c r="N19" s="74">
        <v>0.82499999999999996</v>
      </c>
      <c r="O19" s="75">
        <v>0.9</v>
      </c>
      <c r="P19" s="76">
        <v>1</v>
      </c>
      <c r="Q19" s="67">
        <v>13.8</v>
      </c>
      <c r="R19" s="72">
        <v>2852.1</v>
      </c>
      <c r="S19" s="72">
        <v>2322.6999999999998</v>
      </c>
      <c r="T19" s="75">
        <v>15796</v>
      </c>
      <c r="U19" s="77" t="s">
        <v>110</v>
      </c>
      <c r="V19" s="65">
        <f t="shared" si="0"/>
        <v>45397.416666666664</v>
      </c>
      <c r="W19" s="89">
        <f t="shared" si="1"/>
        <v>31.75</v>
      </c>
      <c r="X19" s="97"/>
      <c r="Y19" s="66"/>
      <c r="Z19" s="66"/>
      <c r="AA19" s="66"/>
      <c r="AB19" s="66"/>
      <c r="AC19" s="66"/>
    </row>
    <row r="20" spans="1:30" s="92" customFormat="1">
      <c r="A20" s="66"/>
      <c r="B20" s="59">
        <v>19</v>
      </c>
      <c r="C20" s="68">
        <v>45399</v>
      </c>
      <c r="D20" s="69">
        <v>0.42777777777777781</v>
      </c>
      <c r="E20" s="70">
        <v>6.2</v>
      </c>
      <c r="F20" s="71">
        <v>5.89</v>
      </c>
      <c r="G20" s="72">
        <v>977780</v>
      </c>
      <c r="H20" s="67">
        <v>68554</v>
      </c>
      <c r="I20" s="72">
        <v>1250</v>
      </c>
      <c r="J20" s="67">
        <v>35</v>
      </c>
      <c r="K20" s="73">
        <v>487.77</v>
      </c>
      <c r="L20" s="73"/>
      <c r="M20" s="67">
        <v>2</v>
      </c>
      <c r="N20" s="74">
        <v>0.78100000000000003</v>
      </c>
      <c r="O20" s="75">
        <v>0.9</v>
      </c>
      <c r="P20" s="76">
        <v>1</v>
      </c>
      <c r="Q20" s="67">
        <v>13.8</v>
      </c>
      <c r="R20" s="72">
        <v>6009.3</v>
      </c>
      <c r="S20" s="72">
        <v>6563.9</v>
      </c>
      <c r="T20" s="75">
        <v>16842</v>
      </c>
      <c r="U20" s="77"/>
      <c r="V20" s="65">
        <f t="shared" si="0"/>
        <v>45399.427777777775</v>
      </c>
      <c r="W20" s="89">
        <f t="shared" si="1"/>
        <v>33.761111111110949</v>
      </c>
      <c r="X20" s="97"/>
      <c r="Y20" s="66"/>
      <c r="Z20" s="66"/>
      <c r="AA20" s="66"/>
      <c r="AB20" s="66"/>
      <c r="AC20" s="66"/>
    </row>
    <row r="21" spans="1:30" s="92" customFormat="1">
      <c r="A21" s="66"/>
      <c r="B21" s="67">
        <v>20</v>
      </c>
      <c r="C21" s="68">
        <v>45401</v>
      </c>
      <c r="D21" s="69">
        <v>0.42638888888888887</v>
      </c>
      <c r="E21" s="70">
        <v>6.2</v>
      </c>
      <c r="F21" s="71">
        <v>5.85</v>
      </c>
      <c r="G21" s="72">
        <v>1005190</v>
      </c>
      <c r="H21" s="67">
        <v>71439</v>
      </c>
      <c r="I21" s="72">
        <v>1250</v>
      </c>
      <c r="J21" s="67">
        <v>34.99</v>
      </c>
      <c r="K21" s="73">
        <v>433</v>
      </c>
      <c r="L21" s="73">
        <v>378.22</v>
      </c>
      <c r="M21" s="67">
        <v>1.99</v>
      </c>
      <c r="N21" s="74">
        <v>0.80900000000000005</v>
      </c>
      <c r="O21" s="75">
        <v>0.9</v>
      </c>
      <c r="P21" s="76">
        <v>1</v>
      </c>
      <c r="Q21" s="67">
        <v>13.8</v>
      </c>
      <c r="R21" s="72">
        <v>4905.5</v>
      </c>
      <c r="S21" s="72"/>
      <c r="T21" s="75">
        <v>17950</v>
      </c>
      <c r="U21" s="77" t="s">
        <v>111</v>
      </c>
      <c r="V21" s="65">
        <f t="shared" si="0"/>
        <v>45401.426388888889</v>
      </c>
      <c r="W21" s="89">
        <f t="shared" si="1"/>
        <v>35.759722222224809</v>
      </c>
      <c r="X21" s="97"/>
      <c r="Y21" s="66"/>
      <c r="Z21" s="66"/>
      <c r="AA21" s="66"/>
      <c r="AB21" s="66"/>
      <c r="AC21" s="66"/>
    </row>
    <row r="22" spans="1:30" s="92" customFormat="1">
      <c r="A22" s="66"/>
      <c r="B22" s="67">
        <v>21</v>
      </c>
      <c r="C22" s="68">
        <v>45404</v>
      </c>
      <c r="D22" s="69">
        <v>0.41666666666666669</v>
      </c>
      <c r="E22" s="70">
        <v>6.2</v>
      </c>
      <c r="F22" s="71">
        <v>5.85</v>
      </c>
      <c r="G22" s="72">
        <v>1045883</v>
      </c>
      <c r="H22" s="67">
        <v>75733</v>
      </c>
      <c r="I22" s="72">
        <v>1250</v>
      </c>
      <c r="J22" s="67">
        <v>35</v>
      </c>
      <c r="K22" s="73">
        <v>899.1</v>
      </c>
      <c r="L22" s="73">
        <v>931.4</v>
      </c>
      <c r="M22" s="67">
        <v>2</v>
      </c>
      <c r="N22" s="74">
        <v>0.82</v>
      </c>
      <c r="O22" s="75">
        <v>0.9</v>
      </c>
      <c r="P22" s="76">
        <v>1</v>
      </c>
      <c r="Q22" s="67">
        <v>13.8</v>
      </c>
      <c r="R22" s="72">
        <v>3338.2</v>
      </c>
      <c r="S22" s="72"/>
      <c r="T22" s="75">
        <v>19439</v>
      </c>
      <c r="U22" s="77" t="s">
        <v>112</v>
      </c>
      <c r="V22" s="65">
        <f t="shared" si="0"/>
        <v>45404.416666666664</v>
      </c>
      <c r="W22" s="89">
        <f t="shared" si="1"/>
        <v>38.75</v>
      </c>
      <c r="X22" s="97"/>
      <c r="Y22" s="66"/>
      <c r="Z22" s="66"/>
      <c r="AA22" s="66"/>
      <c r="AB22" s="66"/>
      <c r="AC22" s="66"/>
    </row>
    <row r="23" spans="1:30" s="92" customFormat="1">
      <c r="A23" s="66"/>
      <c r="B23" s="67">
        <v>22</v>
      </c>
      <c r="C23" s="68">
        <v>45406</v>
      </c>
      <c r="D23" s="69">
        <v>0.42638888888888887</v>
      </c>
      <c r="E23" s="70">
        <v>6.25</v>
      </c>
      <c r="F23" s="71">
        <v>5.91</v>
      </c>
      <c r="G23" s="72">
        <v>1073407</v>
      </c>
      <c r="H23" s="67">
        <v>78627</v>
      </c>
      <c r="I23" s="72">
        <v>1250</v>
      </c>
      <c r="J23" s="67">
        <v>35</v>
      </c>
      <c r="K23" s="73">
        <v>819</v>
      </c>
      <c r="L23" s="73"/>
      <c r="M23" s="67">
        <v>2</v>
      </c>
      <c r="N23" s="74">
        <v>0.87</v>
      </c>
      <c r="O23" s="75">
        <v>0.9</v>
      </c>
      <c r="P23" s="76">
        <v>1</v>
      </c>
      <c r="Q23" s="67">
        <v>13.8</v>
      </c>
      <c r="R23" s="72">
        <v>2286.4</v>
      </c>
      <c r="S23" s="72">
        <v>6561.2</v>
      </c>
      <c r="T23" s="75">
        <v>20483</v>
      </c>
      <c r="U23" s="77" t="s">
        <v>113</v>
      </c>
      <c r="V23" s="65">
        <f t="shared" si="0"/>
        <v>45406.426388888889</v>
      </c>
      <c r="W23" s="89">
        <f t="shared" si="1"/>
        <v>40.759722222224809</v>
      </c>
      <c r="X23" s="97"/>
      <c r="Y23" s="66"/>
      <c r="Z23" s="66"/>
      <c r="AA23" s="66"/>
      <c r="AB23" s="66"/>
      <c r="AC23" s="66"/>
    </row>
    <row r="24" spans="1:30" s="92" customFormat="1" ht="25.5">
      <c r="A24" s="53" t="s">
        <v>114</v>
      </c>
      <c r="B24" s="81">
        <v>23</v>
      </c>
      <c r="C24" s="82">
        <v>45408</v>
      </c>
      <c r="D24" s="69">
        <v>0.3923611111111111</v>
      </c>
      <c r="E24" s="70">
        <v>6.25</v>
      </c>
      <c r="F24" s="71">
        <v>5.89</v>
      </c>
      <c r="G24" s="72">
        <v>1100537</v>
      </c>
      <c r="H24" s="67">
        <v>81455</v>
      </c>
      <c r="I24" s="72">
        <v>1250</v>
      </c>
      <c r="J24" s="67">
        <v>35</v>
      </c>
      <c r="K24" s="73">
        <v>755.8</v>
      </c>
      <c r="L24" s="73"/>
      <c r="M24" s="67">
        <v>2</v>
      </c>
      <c r="N24" s="74">
        <v>0.80900000000000005</v>
      </c>
      <c r="O24" s="75">
        <v>0.9</v>
      </c>
      <c r="P24" s="76">
        <v>1</v>
      </c>
      <c r="Q24" s="67">
        <v>13.8</v>
      </c>
      <c r="R24" s="72">
        <v>5534.5</v>
      </c>
      <c r="S24" s="72"/>
      <c r="T24" s="75">
        <v>21495</v>
      </c>
      <c r="U24" s="83" t="s">
        <v>115</v>
      </c>
      <c r="V24" s="65">
        <f t="shared" si="0"/>
        <v>45408.392361111109</v>
      </c>
      <c r="W24" s="89">
        <f t="shared" si="1"/>
        <v>42.725694444445253</v>
      </c>
      <c r="X24" s="97"/>
      <c r="Y24" s="66"/>
      <c r="Z24" s="66"/>
      <c r="AA24" s="66"/>
      <c r="AB24" s="66"/>
      <c r="AC24" s="66"/>
    </row>
    <row r="25" spans="1:30" s="92" customFormat="1">
      <c r="A25" s="66"/>
      <c r="B25" s="67">
        <v>24</v>
      </c>
      <c r="C25" s="68">
        <v>45408</v>
      </c>
      <c r="D25" s="69">
        <v>0.61111111111111105</v>
      </c>
      <c r="E25" s="70">
        <v>6.26</v>
      </c>
      <c r="F25" s="71">
        <v>5.89</v>
      </c>
      <c r="G25" s="72">
        <v>1102955</v>
      </c>
      <c r="H25" s="67">
        <v>81771</v>
      </c>
      <c r="I25" s="72">
        <v>1300</v>
      </c>
      <c r="J25" s="67">
        <v>35</v>
      </c>
      <c r="K25" s="73">
        <v>750.5</v>
      </c>
      <c r="L25" s="73"/>
      <c r="M25" s="67">
        <v>2</v>
      </c>
      <c r="N25" s="74">
        <v>0.873</v>
      </c>
      <c r="O25" s="75">
        <v>0.9</v>
      </c>
      <c r="P25" s="76">
        <v>1</v>
      </c>
      <c r="Q25" s="67">
        <v>13.8</v>
      </c>
      <c r="R25" s="72">
        <v>5372.6</v>
      </c>
      <c r="S25" s="72"/>
      <c r="T25" s="75">
        <v>21534</v>
      </c>
      <c r="U25" s="77"/>
      <c r="V25" s="65">
        <f t="shared" si="0"/>
        <v>45408.611111111109</v>
      </c>
      <c r="W25" s="89">
        <f t="shared" si="1"/>
        <v>42.944444444445253</v>
      </c>
      <c r="X25" s="97"/>
      <c r="Y25" s="66"/>
      <c r="Z25" s="66"/>
      <c r="AA25" s="66"/>
      <c r="AB25" s="66"/>
      <c r="AC25" s="66"/>
    </row>
    <row r="26" spans="1:30" s="92" customFormat="1">
      <c r="A26" s="66"/>
      <c r="B26" s="59">
        <v>25</v>
      </c>
      <c r="C26" s="68">
        <v>45411</v>
      </c>
      <c r="D26" s="69">
        <v>0.4069444444444445</v>
      </c>
      <c r="E26" s="70">
        <v>6.24</v>
      </c>
      <c r="F26" s="71">
        <v>5.86</v>
      </c>
      <c r="G26" s="72">
        <v>1141989</v>
      </c>
      <c r="H26" s="67">
        <v>85789</v>
      </c>
      <c r="I26" s="72">
        <v>1225</v>
      </c>
      <c r="J26" s="67">
        <v>35</v>
      </c>
      <c r="K26" s="73">
        <v>656.6</v>
      </c>
      <c r="L26" s="73"/>
      <c r="M26" s="67">
        <v>2</v>
      </c>
      <c r="N26" s="74">
        <v>0.85599999999999998</v>
      </c>
      <c r="O26" s="75">
        <v>0.9</v>
      </c>
      <c r="P26" s="76">
        <v>1</v>
      </c>
      <c r="Q26" s="67">
        <v>13.8</v>
      </c>
      <c r="R26" s="72">
        <v>3974.8</v>
      </c>
      <c r="S26" s="72"/>
      <c r="T26" s="75">
        <v>23039</v>
      </c>
      <c r="U26" s="77" t="s">
        <v>116</v>
      </c>
      <c r="V26" s="65">
        <f t="shared" si="0"/>
        <v>45411.406944444447</v>
      </c>
      <c r="W26" s="89">
        <f t="shared" si="1"/>
        <v>45.740277777782467</v>
      </c>
      <c r="X26" s="97"/>
      <c r="Y26" s="66"/>
      <c r="Z26" s="66"/>
      <c r="AA26" s="66"/>
      <c r="AB26" s="66"/>
      <c r="AC26" s="66"/>
    </row>
    <row r="27" spans="1:30" s="92" customFormat="1">
      <c r="A27" s="66"/>
      <c r="B27" s="67">
        <v>26</v>
      </c>
      <c r="C27" s="68">
        <v>45413</v>
      </c>
      <c r="D27" s="69">
        <v>0.41805555555555557</v>
      </c>
      <c r="E27" s="70">
        <v>6.25</v>
      </c>
      <c r="F27" s="71">
        <v>5.82</v>
      </c>
      <c r="G27" s="72">
        <v>1170004</v>
      </c>
      <c r="H27" s="67">
        <v>88687</v>
      </c>
      <c r="I27" s="72">
        <v>1225</v>
      </c>
      <c r="J27" s="67">
        <v>35</v>
      </c>
      <c r="K27" s="73">
        <v>590.03</v>
      </c>
      <c r="L27" s="73"/>
      <c r="M27" s="67">
        <v>2</v>
      </c>
      <c r="N27" s="74">
        <v>0.85199999999999998</v>
      </c>
      <c r="O27" s="75">
        <v>0.9</v>
      </c>
      <c r="P27" s="76">
        <v>1</v>
      </c>
      <c r="Q27" s="67">
        <v>13.8</v>
      </c>
      <c r="R27" s="72">
        <v>2990.7</v>
      </c>
      <c r="S27" s="72"/>
      <c r="T27" s="75">
        <v>2185.4</v>
      </c>
      <c r="U27" s="77" t="s">
        <v>117</v>
      </c>
      <c r="V27" s="65">
        <f t="shared" si="0"/>
        <v>45413.418055555558</v>
      </c>
      <c r="W27" s="89">
        <f t="shared" si="1"/>
        <v>47.751388888893416</v>
      </c>
      <c r="X27" s="97"/>
      <c r="Y27" s="66"/>
      <c r="Z27" s="66"/>
      <c r="AA27" s="66"/>
      <c r="AB27" s="66"/>
      <c r="AC27" s="66"/>
    </row>
    <row r="28" spans="1:30" s="92" customFormat="1">
      <c r="A28" s="66"/>
      <c r="B28" s="67">
        <v>27</v>
      </c>
      <c r="C28" s="68">
        <v>45414</v>
      </c>
      <c r="D28" s="69">
        <v>0.41319444444444442</v>
      </c>
      <c r="E28" s="70">
        <v>6.42</v>
      </c>
      <c r="F28" s="71">
        <v>5.86</v>
      </c>
      <c r="G28" s="72">
        <v>111</v>
      </c>
      <c r="H28" s="67">
        <v>22</v>
      </c>
      <c r="I28" s="72">
        <v>1400</v>
      </c>
      <c r="J28" s="67">
        <v>35</v>
      </c>
      <c r="K28" s="73">
        <v>544.64</v>
      </c>
      <c r="L28" s="73"/>
      <c r="M28" s="67">
        <v>2</v>
      </c>
      <c r="N28" s="74">
        <v>0.8</v>
      </c>
      <c r="O28" s="75">
        <v>0.9</v>
      </c>
      <c r="P28" s="76">
        <v>1</v>
      </c>
      <c r="Q28" s="67">
        <v>13.8</v>
      </c>
      <c r="R28" s="72">
        <v>2283.3000000000002</v>
      </c>
      <c r="S28" s="72">
        <v>6548</v>
      </c>
      <c r="T28" s="75">
        <v>2798.4</v>
      </c>
      <c r="U28" s="77" t="s">
        <v>118</v>
      </c>
      <c r="V28" s="65">
        <f t="shared" si="0"/>
        <v>45414.413194444445</v>
      </c>
      <c r="W28" s="89">
        <f t="shared" si="1"/>
        <v>48.746527777781012</v>
      </c>
      <c r="X28" s="97"/>
      <c r="Y28" s="66"/>
      <c r="Z28" s="66"/>
      <c r="AA28" s="66"/>
      <c r="AB28" s="66"/>
      <c r="AC28" s="66"/>
    </row>
    <row r="29" spans="1:30" s="92" customFormat="1" ht="25.5">
      <c r="A29" s="66"/>
      <c r="B29" s="67">
        <v>28</v>
      </c>
      <c r="C29" s="37">
        <v>45415</v>
      </c>
      <c r="D29" s="85">
        <v>0.4152777777777778</v>
      </c>
      <c r="E29" s="38">
        <v>6.32</v>
      </c>
      <c r="F29" s="39">
        <v>5.88</v>
      </c>
      <c r="G29" s="40">
        <v>3930</v>
      </c>
      <c r="H29" s="36">
        <v>1460</v>
      </c>
      <c r="I29" s="72">
        <v>1225</v>
      </c>
      <c r="J29" s="67">
        <v>35</v>
      </c>
      <c r="K29" s="41">
        <v>503.28</v>
      </c>
      <c r="L29" s="41"/>
      <c r="M29" s="36">
        <v>2</v>
      </c>
      <c r="N29" s="42">
        <v>0.82</v>
      </c>
      <c r="O29" s="75">
        <v>0.9</v>
      </c>
      <c r="P29" s="76">
        <v>1</v>
      </c>
      <c r="Q29" s="67">
        <v>13.8</v>
      </c>
      <c r="R29" s="40">
        <v>6148.8</v>
      </c>
      <c r="S29" s="40"/>
      <c r="T29" s="43">
        <v>3267.4</v>
      </c>
      <c r="U29" s="86" t="s">
        <v>119</v>
      </c>
      <c r="V29" s="65">
        <f t="shared" si="0"/>
        <v>45415.415277777778</v>
      </c>
      <c r="W29" s="89">
        <f t="shared" si="1"/>
        <v>49.74861111111386</v>
      </c>
      <c r="X29" s="97"/>
      <c r="Y29" s="66"/>
      <c r="Z29" s="66"/>
      <c r="AA29" s="66"/>
      <c r="AB29" s="66"/>
      <c r="AC29" s="66"/>
    </row>
    <row r="30" spans="1:30" s="92" customFormat="1">
      <c r="A30" s="66"/>
      <c r="B30" s="67">
        <v>29</v>
      </c>
      <c r="C30" s="37">
        <v>45418</v>
      </c>
      <c r="D30" s="85">
        <v>0.40486111111111112</v>
      </c>
      <c r="E30" s="38">
        <v>6.35</v>
      </c>
      <c r="F30" s="39">
        <v>5.69</v>
      </c>
      <c r="G30" s="40">
        <v>23158</v>
      </c>
      <c r="H30" s="36">
        <v>5756</v>
      </c>
      <c r="I30" s="72">
        <v>1235</v>
      </c>
      <c r="J30" s="67">
        <v>35</v>
      </c>
      <c r="K30" s="41">
        <v>406.07</v>
      </c>
      <c r="L30" s="41">
        <v>359.46</v>
      </c>
      <c r="M30" s="36">
        <v>5</v>
      </c>
      <c r="N30" s="42">
        <v>0.85099999999999998</v>
      </c>
      <c r="O30" s="75">
        <v>0.9</v>
      </c>
      <c r="P30" s="76">
        <v>1</v>
      </c>
      <c r="Q30" s="67">
        <v>13.8</v>
      </c>
      <c r="R30" s="40">
        <v>4678.6000000000004</v>
      </c>
      <c r="S30" s="40"/>
      <c r="T30" s="43">
        <v>4871.8999999999996</v>
      </c>
      <c r="U30" s="86" t="s">
        <v>120</v>
      </c>
      <c r="V30" s="65">
        <f t="shared" si="0"/>
        <v>45418.404861111114</v>
      </c>
      <c r="W30" s="89">
        <f t="shared" si="1"/>
        <v>52.738194444449618</v>
      </c>
      <c r="X30" s="97"/>
      <c r="Y30" s="66"/>
      <c r="Z30" s="66"/>
      <c r="AA30" s="66"/>
      <c r="AB30" s="66"/>
      <c r="AC30" s="66"/>
    </row>
    <row r="31" spans="1:30" s="92" customFormat="1">
      <c r="A31" s="66"/>
      <c r="B31" s="67">
        <v>30</v>
      </c>
      <c r="C31" s="37">
        <v>45420</v>
      </c>
      <c r="D31" s="85">
        <v>0.40972222222222227</v>
      </c>
      <c r="E31" s="38">
        <v>6.33</v>
      </c>
      <c r="F31" s="39">
        <v>5.91</v>
      </c>
      <c r="G31" s="40">
        <v>47194</v>
      </c>
      <c r="H31" s="36">
        <v>8651</v>
      </c>
      <c r="I31" s="72">
        <v>1250</v>
      </c>
      <c r="J31" s="67">
        <v>35</v>
      </c>
      <c r="K31" s="41">
        <v>864.2</v>
      </c>
      <c r="L31" s="41">
        <v>904.2</v>
      </c>
      <c r="M31" s="36">
        <v>8</v>
      </c>
      <c r="N31" s="42">
        <v>0.80500000000000005</v>
      </c>
      <c r="O31" s="75">
        <v>0.9</v>
      </c>
      <c r="P31" s="76">
        <v>1</v>
      </c>
      <c r="Q31" s="67">
        <v>13.8</v>
      </c>
      <c r="R31" s="40">
        <v>3693.7</v>
      </c>
      <c r="S31" s="40"/>
      <c r="T31" s="43">
        <v>5931.4</v>
      </c>
      <c r="U31" s="86" t="s">
        <v>121</v>
      </c>
      <c r="V31" s="65">
        <f t="shared" si="0"/>
        <v>45420.409722222219</v>
      </c>
      <c r="W31" s="89">
        <f t="shared" si="1"/>
        <v>54.743055555554747</v>
      </c>
      <c r="X31" s="97"/>
      <c r="Y31" s="66"/>
      <c r="Z31" s="66"/>
      <c r="AA31" s="66"/>
      <c r="AB31" s="66"/>
      <c r="AC31" s="66"/>
    </row>
    <row r="32" spans="1:30" s="92" customFormat="1">
      <c r="A32" s="66"/>
      <c r="B32" s="59">
        <v>31</v>
      </c>
      <c r="C32" s="37">
        <v>45422</v>
      </c>
      <c r="D32" s="85">
        <v>0.41666666666666669</v>
      </c>
      <c r="E32" s="38">
        <v>6.34</v>
      </c>
      <c r="F32" s="39">
        <v>5.9</v>
      </c>
      <c r="G32" s="40">
        <v>74874</v>
      </c>
      <c r="H32" s="36">
        <v>11542</v>
      </c>
      <c r="I32" s="72">
        <v>1250</v>
      </c>
      <c r="J32" s="67">
        <v>35</v>
      </c>
      <c r="K32" s="41">
        <v>792.6</v>
      </c>
      <c r="L32" s="41"/>
      <c r="M32" s="36">
        <v>9</v>
      </c>
      <c r="N32" s="42">
        <v>0.80700000000000005</v>
      </c>
      <c r="O32" s="75">
        <v>0.9</v>
      </c>
      <c r="P32" s="76">
        <v>1</v>
      </c>
      <c r="Q32" s="67">
        <v>13.8</v>
      </c>
      <c r="R32" s="40">
        <v>2688.9</v>
      </c>
      <c r="S32" s="40">
        <v>2148.1999999999998</v>
      </c>
      <c r="T32" s="43">
        <v>6991.2</v>
      </c>
      <c r="U32" s="86" t="s">
        <v>122</v>
      </c>
      <c r="V32" s="65">
        <f t="shared" si="0"/>
        <v>45422.416666666664</v>
      </c>
      <c r="W32" s="89">
        <f t="shared" si="1"/>
        <v>56.75</v>
      </c>
      <c r="X32" s="97"/>
      <c r="Y32" s="66"/>
      <c r="Z32" s="66"/>
      <c r="AA32" s="66"/>
      <c r="AB32" s="66"/>
      <c r="AC32" s="66"/>
    </row>
    <row r="33" spans="1:29" s="92" customFormat="1">
      <c r="A33" s="66"/>
      <c r="B33" s="67">
        <v>32</v>
      </c>
      <c r="C33" s="37">
        <v>45425</v>
      </c>
      <c r="D33" s="85">
        <v>0.41388888888888892</v>
      </c>
      <c r="E33" s="38">
        <v>6.33</v>
      </c>
      <c r="F33" s="39">
        <v>5.94</v>
      </c>
      <c r="G33" s="40">
        <v>116300</v>
      </c>
      <c r="H33" s="36">
        <v>15849</v>
      </c>
      <c r="I33" s="72">
        <v>1250</v>
      </c>
      <c r="J33" s="67">
        <v>35</v>
      </c>
      <c r="K33" s="41">
        <v>684.6</v>
      </c>
      <c r="L33" s="41"/>
      <c r="M33" s="36">
        <v>9</v>
      </c>
      <c r="N33" s="42">
        <v>0.86699999999999999</v>
      </c>
      <c r="O33" s="75">
        <v>0.9</v>
      </c>
      <c r="P33" s="76">
        <v>1</v>
      </c>
      <c r="Q33" s="67">
        <v>13.8</v>
      </c>
      <c r="R33" s="40">
        <v>5663.8</v>
      </c>
      <c r="S33" s="40">
        <v>6559.7</v>
      </c>
      <c r="T33" s="43">
        <v>8496.2999999999993</v>
      </c>
      <c r="U33" s="86"/>
      <c r="V33" s="65">
        <f t="shared" si="0"/>
        <v>45425.413888888892</v>
      </c>
      <c r="W33" s="89">
        <f t="shared" si="1"/>
        <v>59.74722222222772</v>
      </c>
      <c r="X33" s="97"/>
      <c r="Y33" s="66"/>
      <c r="Z33" s="66"/>
      <c r="AA33" s="66"/>
      <c r="AB33" s="66"/>
      <c r="AC33" s="66"/>
    </row>
    <row r="34" spans="1:29" s="92" customFormat="1">
      <c r="A34" s="66"/>
      <c r="B34" s="67">
        <v>33</v>
      </c>
      <c r="C34" s="37">
        <v>45427</v>
      </c>
      <c r="D34" s="85">
        <v>0.37777777777777777</v>
      </c>
      <c r="E34" s="38">
        <v>6.33</v>
      </c>
      <c r="F34" s="39">
        <v>5.92</v>
      </c>
      <c r="G34" s="40">
        <v>143586</v>
      </c>
      <c r="H34" s="36">
        <v>18674</v>
      </c>
      <c r="I34" s="72">
        <v>1200</v>
      </c>
      <c r="J34" s="67">
        <v>35</v>
      </c>
      <c r="K34" s="41">
        <v>605</v>
      </c>
      <c r="L34" s="41"/>
      <c r="M34" s="36">
        <v>9</v>
      </c>
      <c r="N34" s="42">
        <v>0.80800000000000005</v>
      </c>
      <c r="O34" s="75">
        <v>0.9</v>
      </c>
      <c r="P34" s="76">
        <v>1</v>
      </c>
      <c r="Q34" s="67">
        <v>13.8</v>
      </c>
      <c r="R34" s="40">
        <v>4724.5</v>
      </c>
      <c r="S34" s="40"/>
      <c r="T34" s="43">
        <v>9500.2000000000007</v>
      </c>
      <c r="U34" s="86"/>
      <c r="V34" s="65">
        <f t="shared" ref="V34:V65" si="2">C34+D34</f>
        <v>45427.37777777778</v>
      </c>
      <c r="W34" s="89">
        <f t="shared" si="1"/>
        <v>61.711111111115315</v>
      </c>
      <c r="X34" s="97"/>
      <c r="Y34" s="66"/>
      <c r="Z34" s="66"/>
      <c r="AA34" s="66"/>
      <c r="AB34" s="66"/>
      <c r="AC34" s="66"/>
    </row>
    <row r="35" spans="1:29" s="92" customFormat="1">
      <c r="A35" s="66"/>
      <c r="B35" s="67">
        <v>34</v>
      </c>
      <c r="C35" s="37">
        <v>45429</v>
      </c>
      <c r="D35" s="85">
        <v>0.39930555555555558</v>
      </c>
      <c r="E35" s="38">
        <v>6.34</v>
      </c>
      <c r="F35" s="39">
        <v>5.91</v>
      </c>
      <c r="G35" s="40">
        <v>171639</v>
      </c>
      <c r="H35" s="36">
        <v>21582</v>
      </c>
      <c r="I35" s="72">
        <v>1900</v>
      </c>
      <c r="J35" s="67">
        <v>35</v>
      </c>
      <c r="K35" s="41">
        <v>525.26</v>
      </c>
      <c r="L35" s="41"/>
      <c r="M35" s="36">
        <v>9</v>
      </c>
      <c r="N35" s="42">
        <v>0.81399999999999995</v>
      </c>
      <c r="O35" s="75">
        <v>0.9</v>
      </c>
      <c r="P35" s="76">
        <v>1.5</v>
      </c>
      <c r="Q35" s="67">
        <v>13.8</v>
      </c>
      <c r="R35" s="40">
        <v>3761.6</v>
      </c>
      <c r="S35" s="40"/>
      <c r="T35" s="43">
        <v>10158.700000000001</v>
      </c>
      <c r="U35" s="86"/>
      <c r="V35" s="65">
        <f t="shared" si="2"/>
        <v>45429.399305555555</v>
      </c>
      <c r="W35" s="89">
        <f t="shared" si="1"/>
        <v>63.732638888890506</v>
      </c>
      <c r="X35" s="97"/>
      <c r="Y35" s="66"/>
      <c r="Z35" s="66"/>
      <c r="AA35" s="66"/>
      <c r="AB35" s="66"/>
      <c r="AC35" s="66"/>
    </row>
    <row r="36" spans="1:29" s="92" customFormat="1">
      <c r="A36" s="66"/>
      <c r="B36" s="67">
        <v>35</v>
      </c>
      <c r="C36" s="37">
        <v>45432</v>
      </c>
      <c r="D36" s="85">
        <v>0.40763888888888888</v>
      </c>
      <c r="E36" s="38">
        <v>6.33</v>
      </c>
      <c r="F36" s="39">
        <v>5.89</v>
      </c>
      <c r="G36" s="40">
        <v>214264</v>
      </c>
      <c r="H36" s="36">
        <v>25911</v>
      </c>
      <c r="I36" s="72">
        <v>1130</v>
      </c>
      <c r="J36" s="67">
        <v>35</v>
      </c>
      <c r="K36" s="41">
        <v>427.03</v>
      </c>
      <c r="L36" s="41">
        <v>423.79</v>
      </c>
      <c r="M36" s="36">
        <v>9</v>
      </c>
      <c r="N36" s="42">
        <v>0.82699999999999996</v>
      </c>
      <c r="O36" s="75">
        <v>0.9</v>
      </c>
      <c r="P36" s="76">
        <v>1.5</v>
      </c>
      <c r="Q36" s="67">
        <v>13.8</v>
      </c>
      <c r="R36" s="40">
        <v>2291</v>
      </c>
      <c r="S36" s="40">
        <v>6561.6</v>
      </c>
      <c r="T36" s="43">
        <v>11993</v>
      </c>
      <c r="U36" s="86" t="s">
        <v>123</v>
      </c>
      <c r="V36" s="65">
        <f t="shared" si="2"/>
        <v>45432.407638888886</v>
      </c>
      <c r="W36" s="89">
        <f t="shared" si="1"/>
        <v>66.740972222221899</v>
      </c>
      <c r="X36" s="97"/>
      <c r="Y36" s="66"/>
      <c r="Z36" s="66"/>
      <c r="AA36" s="66"/>
      <c r="AB36" s="66"/>
      <c r="AC36" s="66"/>
    </row>
    <row r="37" spans="1:29" s="92" customFormat="1">
      <c r="A37" s="66"/>
      <c r="B37" s="67">
        <v>36</v>
      </c>
      <c r="C37" s="37">
        <v>45434</v>
      </c>
      <c r="D37" s="85">
        <v>0.38194444444444442</v>
      </c>
      <c r="E37" s="38">
        <v>6.33</v>
      </c>
      <c r="F37" s="39">
        <v>5.85</v>
      </c>
      <c r="G37" s="40">
        <v>242748</v>
      </c>
      <c r="H37" s="36">
        <v>28756</v>
      </c>
      <c r="I37" s="72">
        <v>1125</v>
      </c>
      <c r="J37" s="67">
        <v>35</v>
      </c>
      <c r="K37" s="41">
        <v>858.1</v>
      </c>
      <c r="L37" s="41">
        <v>908.4</v>
      </c>
      <c r="M37" s="36">
        <v>9</v>
      </c>
      <c r="N37" s="42">
        <v>0.80700000000000005</v>
      </c>
      <c r="O37" s="75">
        <v>0.9</v>
      </c>
      <c r="P37" s="76">
        <v>1.5</v>
      </c>
      <c r="Q37" s="67">
        <v>13.8</v>
      </c>
      <c r="R37" s="40">
        <v>5597</v>
      </c>
      <c r="S37" s="40"/>
      <c r="T37" s="43">
        <v>12997</v>
      </c>
      <c r="U37" s="86"/>
      <c r="V37" s="65">
        <f t="shared" si="2"/>
        <v>45434.381944444445</v>
      </c>
      <c r="W37" s="89">
        <f t="shared" si="1"/>
        <v>68.715277777781012</v>
      </c>
      <c r="X37" s="97"/>
      <c r="Y37" s="66"/>
      <c r="Z37" s="66"/>
      <c r="AA37" s="66"/>
      <c r="AB37" s="66"/>
      <c r="AC37" s="66"/>
    </row>
    <row r="38" spans="1:29" s="92" customFormat="1">
      <c r="A38" s="66"/>
      <c r="B38" s="59">
        <v>37</v>
      </c>
      <c r="C38" s="37">
        <v>45436</v>
      </c>
      <c r="D38" s="85">
        <v>0.38194444444444442</v>
      </c>
      <c r="E38" s="38">
        <v>6.34</v>
      </c>
      <c r="F38" s="39">
        <v>5.82</v>
      </c>
      <c r="G38" s="40">
        <v>271469</v>
      </c>
      <c r="H38" s="36">
        <v>31632</v>
      </c>
      <c r="I38" s="72">
        <v>1125</v>
      </c>
      <c r="J38" s="67">
        <v>35</v>
      </c>
      <c r="K38" s="41">
        <v>788.3</v>
      </c>
      <c r="L38" s="41"/>
      <c r="M38" s="36">
        <v>9</v>
      </c>
      <c r="N38" s="42">
        <v>0.83</v>
      </c>
      <c r="O38" s="75">
        <v>0.9</v>
      </c>
      <c r="P38" s="76">
        <v>1.5</v>
      </c>
      <c r="Q38" s="67">
        <v>13.8</v>
      </c>
      <c r="R38" s="40">
        <v>4596.6000000000004</v>
      </c>
      <c r="S38" s="40"/>
      <c r="T38" s="43">
        <v>14035</v>
      </c>
      <c r="U38" s="86"/>
      <c r="V38" s="65">
        <f t="shared" si="2"/>
        <v>45436.381944444445</v>
      </c>
      <c r="W38" s="89">
        <f t="shared" si="1"/>
        <v>70.715277777781012</v>
      </c>
      <c r="X38" s="97"/>
      <c r="Y38" s="66"/>
      <c r="Z38" s="66"/>
      <c r="AA38" s="66"/>
      <c r="AB38" s="66"/>
      <c r="AC38" s="66"/>
    </row>
    <row r="39" spans="1:29" s="92" customFormat="1">
      <c r="A39" s="66"/>
      <c r="B39" s="67">
        <v>38</v>
      </c>
      <c r="C39" s="37">
        <v>45439</v>
      </c>
      <c r="D39" s="85">
        <v>0.38958333333333334</v>
      </c>
      <c r="E39" s="38">
        <v>6.34</v>
      </c>
      <c r="F39" s="39">
        <v>5.8</v>
      </c>
      <c r="G39" s="40">
        <v>314826</v>
      </c>
      <c r="H39" s="36">
        <v>35958</v>
      </c>
      <c r="I39" s="40">
        <v>1125</v>
      </c>
      <c r="J39" s="36">
        <v>35</v>
      </c>
      <c r="K39" s="41">
        <v>688.8</v>
      </c>
      <c r="L39" s="41"/>
      <c r="M39" s="36">
        <v>9</v>
      </c>
      <c r="N39" s="42">
        <v>0.82399999999999995</v>
      </c>
      <c r="O39" s="43">
        <v>0.9</v>
      </c>
      <c r="P39" s="44">
        <v>1.5</v>
      </c>
      <c r="Q39" s="36">
        <v>13.8</v>
      </c>
      <c r="R39" s="40">
        <v>3095.1</v>
      </c>
      <c r="S39" s="40"/>
      <c r="T39" s="43">
        <v>15600</v>
      </c>
      <c r="U39" s="86"/>
      <c r="V39" s="65">
        <f t="shared" si="2"/>
        <v>45439.38958333333</v>
      </c>
      <c r="W39" s="89">
        <f t="shared" si="1"/>
        <v>73.722916666665697</v>
      </c>
      <c r="X39" s="97"/>
      <c r="Y39" s="66"/>
      <c r="Z39" s="66"/>
      <c r="AA39" s="66"/>
      <c r="AB39" s="66"/>
      <c r="AC39" s="66"/>
    </row>
    <row r="40" spans="1:29" s="92" customFormat="1">
      <c r="A40" s="66"/>
      <c r="B40" s="67">
        <v>39</v>
      </c>
      <c r="C40" s="37">
        <v>45441</v>
      </c>
      <c r="D40" s="85">
        <v>0.38611111111111113</v>
      </c>
      <c r="E40" s="38">
        <v>6.33</v>
      </c>
      <c r="F40" s="39">
        <v>5.8</v>
      </c>
      <c r="G40" s="40">
        <v>343626</v>
      </c>
      <c r="H40" s="36">
        <v>38833</v>
      </c>
      <c r="I40" s="40">
        <v>1125</v>
      </c>
      <c r="J40" s="36">
        <v>35</v>
      </c>
      <c r="K40" s="41">
        <v>624.6</v>
      </c>
      <c r="L40" s="41"/>
      <c r="M40" s="36">
        <v>9</v>
      </c>
      <c r="N40" s="42">
        <v>0.84299999999999997</v>
      </c>
      <c r="O40" s="43">
        <v>0.9</v>
      </c>
      <c r="P40" s="44">
        <v>1.5</v>
      </c>
      <c r="Q40" s="36">
        <v>13.8</v>
      </c>
      <c r="R40" s="40">
        <v>2115.3000000000002</v>
      </c>
      <c r="S40" s="40">
        <v>6563</v>
      </c>
      <c r="T40" s="43">
        <v>16616</v>
      </c>
      <c r="U40" s="86" t="s">
        <v>124</v>
      </c>
      <c r="V40" s="65">
        <f t="shared" si="2"/>
        <v>45441.386111111111</v>
      </c>
      <c r="W40" s="89">
        <f t="shared" si="1"/>
        <v>75.719444444446708</v>
      </c>
      <c r="X40" s="97"/>
      <c r="Y40" s="66"/>
      <c r="Z40" s="66"/>
      <c r="AA40" s="66"/>
      <c r="AB40" s="66"/>
      <c r="AC40" s="66"/>
    </row>
    <row r="41" spans="1:29" s="92" customFormat="1">
      <c r="A41" s="66"/>
      <c r="B41" s="67">
        <v>40</v>
      </c>
      <c r="C41" s="37">
        <v>45443</v>
      </c>
      <c r="D41" s="85">
        <v>0.3888888888888889</v>
      </c>
      <c r="E41" s="38">
        <v>6.44</v>
      </c>
      <c r="F41" s="39">
        <v>5.74</v>
      </c>
      <c r="G41" s="40">
        <v>372639</v>
      </c>
      <c r="H41" s="36">
        <v>41714</v>
      </c>
      <c r="I41" s="40">
        <v>1125</v>
      </c>
      <c r="J41" s="36">
        <v>35</v>
      </c>
      <c r="K41" s="41">
        <v>562.16999999999996</v>
      </c>
      <c r="L41" s="41"/>
      <c r="M41" s="36">
        <v>9</v>
      </c>
      <c r="N41" s="42">
        <v>0.81499999999999995</v>
      </c>
      <c r="O41" s="43">
        <v>0.9</v>
      </c>
      <c r="P41" s="44">
        <v>1.5</v>
      </c>
      <c r="Q41" s="36">
        <v>13.8</v>
      </c>
      <c r="R41" s="40">
        <v>5600.4</v>
      </c>
      <c r="S41" s="40"/>
      <c r="T41" s="43">
        <v>17602</v>
      </c>
      <c r="U41" s="86"/>
      <c r="V41" s="65">
        <f t="shared" si="2"/>
        <v>45443.388888888891</v>
      </c>
      <c r="W41" s="89">
        <f t="shared" si="1"/>
        <v>77.722222222226264</v>
      </c>
      <c r="X41" s="97"/>
      <c r="Y41" s="66"/>
      <c r="Z41" s="66"/>
      <c r="AA41" s="66"/>
      <c r="AB41" s="66"/>
      <c r="AC41" s="66"/>
    </row>
    <row r="42" spans="1:29" s="92" customFormat="1" ht="25.5">
      <c r="A42" s="66"/>
      <c r="B42" s="67">
        <v>41</v>
      </c>
      <c r="C42" s="37">
        <v>45446</v>
      </c>
      <c r="D42" s="85">
        <v>0.37916666666666665</v>
      </c>
      <c r="E42" s="38">
        <v>6.53</v>
      </c>
      <c r="F42" s="39">
        <v>5.74</v>
      </c>
      <c r="G42" s="40">
        <v>415711</v>
      </c>
      <c r="H42" s="36">
        <v>46016</v>
      </c>
      <c r="I42" s="40">
        <v>1125</v>
      </c>
      <c r="J42" s="36">
        <v>35</v>
      </c>
      <c r="K42" s="41">
        <v>464.06</v>
      </c>
      <c r="L42" s="41">
        <v>428.47</v>
      </c>
      <c r="M42" s="36">
        <v>9</v>
      </c>
      <c r="N42" s="42">
        <v>0.81399999999999995</v>
      </c>
      <c r="O42" s="43">
        <v>0.9</v>
      </c>
      <c r="P42" s="44">
        <v>1.5</v>
      </c>
      <c r="Q42" s="36">
        <v>13.8</v>
      </c>
      <c r="R42" s="40">
        <v>4137.6000000000004</v>
      </c>
      <c r="S42" s="40"/>
      <c r="T42" s="43">
        <v>19113</v>
      </c>
      <c r="U42" s="86" t="s">
        <v>125</v>
      </c>
      <c r="V42" s="65">
        <f t="shared" si="2"/>
        <v>45446.379166666666</v>
      </c>
      <c r="W42" s="89">
        <f t="shared" si="1"/>
        <v>80.712500000001455</v>
      </c>
      <c r="X42" s="97"/>
      <c r="Y42" s="66"/>
      <c r="Z42" s="66"/>
      <c r="AA42" s="66"/>
      <c r="AB42" s="66"/>
      <c r="AC42" s="66"/>
    </row>
    <row r="43" spans="1:29" s="92" customFormat="1">
      <c r="A43" s="66"/>
      <c r="B43" s="67">
        <v>42</v>
      </c>
      <c r="C43" s="37">
        <v>45448</v>
      </c>
      <c r="D43" s="85">
        <v>0.43333333333333335</v>
      </c>
      <c r="E43" s="38">
        <v>6.31</v>
      </c>
      <c r="F43" s="39">
        <v>5.92</v>
      </c>
      <c r="G43" s="40">
        <v>444946</v>
      </c>
      <c r="H43" s="36">
        <v>48972</v>
      </c>
      <c r="I43" s="40">
        <v>1125</v>
      </c>
      <c r="J43" s="36">
        <v>35</v>
      </c>
      <c r="K43" s="41">
        <v>858</v>
      </c>
      <c r="L43" s="41">
        <v>881.7</v>
      </c>
      <c r="M43" s="36">
        <v>9</v>
      </c>
      <c r="N43" s="42">
        <v>0.82499999999999996</v>
      </c>
      <c r="O43" s="43">
        <v>0.9</v>
      </c>
      <c r="P43" s="44">
        <v>1.5</v>
      </c>
      <c r="Q43" s="36">
        <v>13.8</v>
      </c>
      <c r="R43" s="40">
        <v>3121.1</v>
      </c>
      <c r="S43" s="40"/>
      <c r="T43" s="43">
        <v>20157</v>
      </c>
      <c r="U43" s="86"/>
      <c r="V43" s="65">
        <f t="shared" si="2"/>
        <v>45448.433333333334</v>
      </c>
      <c r="W43" s="89">
        <f t="shared" si="1"/>
        <v>82.766666666670062</v>
      </c>
      <c r="X43" s="97"/>
      <c r="Y43" s="66"/>
      <c r="Z43" s="66"/>
      <c r="AA43" s="66"/>
      <c r="AB43" s="66"/>
      <c r="AC43" s="66"/>
    </row>
    <row r="44" spans="1:29" s="92" customFormat="1" ht="25.5">
      <c r="A44" s="66"/>
      <c r="B44" s="59">
        <v>43</v>
      </c>
      <c r="C44" s="37">
        <v>45450</v>
      </c>
      <c r="D44" s="85">
        <v>0.42638888888888887</v>
      </c>
      <c r="E44" s="38">
        <v>6.31</v>
      </c>
      <c r="F44" s="39">
        <v>5.79</v>
      </c>
      <c r="G44" s="40">
        <v>473509</v>
      </c>
      <c r="H44" s="36">
        <v>51840</v>
      </c>
      <c r="I44" s="40">
        <v>1125</v>
      </c>
      <c r="J44" s="36">
        <v>35</v>
      </c>
      <c r="K44" s="41">
        <v>794.9</v>
      </c>
      <c r="L44" s="41"/>
      <c r="M44" s="36">
        <v>9</v>
      </c>
      <c r="N44" s="42">
        <v>0.82399999999999995</v>
      </c>
      <c r="O44" s="43">
        <v>0.9</v>
      </c>
      <c r="P44" s="44">
        <v>1.5</v>
      </c>
      <c r="Q44" s="36">
        <v>13.8</v>
      </c>
      <c r="R44" s="40">
        <v>2146.6999999999998</v>
      </c>
      <c r="S44" s="40">
        <v>6564.7</v>
      </c>
      <c r="T44" s="43">
        <v>21167</v>
      </c>
      <c r="U44" s="86" t="s">
        <v>126</v>
      </c>
      <c r="V44" s="45">
        <f t="shared" si="2"/>
        <v>45450.426388888889</v>
      </c>
      <c r="W44" s="89">
        <f t="shared" si="1"/>
        <v>84.759722222224809</v>
      </c>
      <c r="X44" s="97"/>
      <c r="Y44" s="66"/>
      <c r="Z44" s="66"/>
      <c r="AA44" s="66"/>
      <c r="AB44" s="66"/>
      <c r="AC44" s="66"/>
    </row>
    <row r="45" spans="1:29" s="92" customFormat="1">
      <c r="A45" s="66"/>
      <c r="B45" s="67">
        <v>44</v>
      </c>
      <c r="C45" s="37">
        <v>45453</v>
      </c>
      <c r="D45" s="85">
        <v>0.37916666666666665</v>
      </c>
      <c r="E45" s="38">
        <v>6.3</v>
      </c>
      <c r="F45" s="39">
        <v>5.95</v>
      </c>
      <c r="G45" s="40">
        <v>516196</v>
      </c>
      <c r="H45" s="36">
        <v>56088</v>
      </c>
      <c r="I45" s="40">
        <v>1125</v>
      </c>
      <c r="J45" s="36">
        <v>35</v>
      </c>
      <c r="K45" s="41">
        <v>688.2</v>
      </c>
      <c r="L45" s="41"/>
      <c r="M45" s="36">
        <v>9</v>
      </c>
      <c r="N45" s="42">
        <v>0.80600000000000005</v>
      </c>
      <c r="O45" s="43">
        <v>0.9</v>
      </c>
      <c r="P45" s="44">
        <v>1.5</v>
      </c>
      <c r="Q45" s="36">
        <v>13.8</v>
      </c>
      <c r="R45" s="40">
        <v>5218.8</v>
      </c>
      <c r="S45" s="40"/>
      <c r="T45" s="43">
        <v>22665</v>
      </c>
      <c r="U45" s="86"/>
      <c r="V45" s="45">
        <f t="shared" si="2"/>
        <v>45453.379166666666</v>
      </c>
      <c r="W45" s="89">
        <f t="shared" si="1"/>
        <v>87.712500000001455</v>
      </c>
      <c r="X45" s="97"/>
      <c r="Y45" s="66"/>
      <c r="Z45" s="66"/>
      <c r="AA45" s="66"/>
      <c r="AB45" s="66"/>
      <c r="AC45" s="66"/>
    </row>
    <row r="46" spans="1:29" s="92" customFormat="1">
      <c r="A46" s="66"/>
      <c r="B46" s="67">
        <v>45</v>
      </c>
      <c r="C46" s="37">
        <v>45455</v>
      </c>
      <c r="D46" s="85">
        <v>0.43402777777777773</v>
      </c>
      <c r="E46" s="38">
        <v>6.3</v>
      </c>
      <c r="F46" s="39">
        <v>5.91</v>
      </c>
      <c r="G46" s="40">
        <v>545924</v>
      </c>
      <c r="H46" s="36">
        <v>59045</v>
      </c>
      <c r="I46" s="40">
        <v>1125</v>
      </c>
      <c r="J46" s="36">
        <v>35</v>
      </c>
      <c r="K46" s="41">
        <v>619</v>
      </c>
      <c r="L46" s="41"/>
      <c r="M46" s="36">
        <v>9</v>
      </c>
      <c r="N46" s="42">
        <v>0.81100000000000005</v>
      </c>
      <c r="O46" s="43">
        <v>0.9</v>
      </c>
      <c r="P46" s="44">
        <v>1.5</v>
      </c>
      <c r="Q46" s="36">
        <v>13.8</v>
      </c>
      <c r="R46" s="40">
        <v>4267.8999999999996</v>
      </c>
      <c r="S46" s="40"/>
      <c r="T46" s="43">
        <v>23725</v>
      </c>
      <c r="U46" s="86"/>
      <c r="V46" s="45">
        <f t="shared" si="2"/>
        <v>45455.434027777781</v>
      </c>
      <c r="W46" s="89">
        <f t="shared" si="1"/>
        <v>89.76736111111677</v>
      </c>
      <c r="X46" s="97"/>
      <c r="Y46" s="66"/>
      <c r="Z46" s="66"/>
      <c r="AA46" s="66"/>
      <c r="AB46" s="66"/>
      <c r="AC46" s="66"/>
    </row>
    <row r="47" spans="1:29" s="92" customFormat="1">
      <c r="A47" s="66"/>
      <c r="B47" s="67">
        <v>46</v>
      </c>
      <c r="C47" s="37">
        <v>45457</v>
      </c>
      <c r="D47" s="85">
        <v>0.40625</v>
      </c>
      <c r="E47" s="38">
        <v>6.3</v>
      </c>
      <c r="F47" s="39">
        <v>5.85</v>
      </c>
      <c r="G47" s="40">
        <v>574583</v>
      </c>
      <c r="H47" s="36">
        <v>61885</v>
      </c>
      <c r="I47" s="40">
        <v>1125</v>
      </c>
      <c r="J47" s="36">
        <v>35</v>
      </c>
      <c r="K47" s="41">
        <v>550.4</v>
      </c>
      <c r="L47" s="41"/>
      <c r="M47" s="36">
        <v>9</v>
      </c>
      <c r="N47" s="42">
        <v>0.83099999999999996</v>
      </c>
      <c r="O47" s="43">
        <v>0.9</v>
      </c>
      <c r="P47" s="44">
        <v>1.5</v>
      </c>
      <c r="Q47" s="36">
        <v>13.8</v>
      </c>
      <c r="R47" s="40">
        <v>3259.1</v>
      </c>
      <c r="S47" s="40"/>
      <c r="T47" s="43">
        <v>24702</v>
      </c>
      <c r="U47" s="86" t="s">
        <v>127</v>
      </c>
      <c r="V47" s="45">
        <f t="shared" si="2"/>
        <v>45457.40625</v>
      </c>
      <c r="W47" s="89">
        <f t="shared" si="1"/>
        <v>91.739583333335759</v>
      </c>
      <c r="X47" s="97"/>
      <c r="Y47" s="66"/>
      <c r="Z47" s="66"/>
      <c r="AA47" s="66"/>
      <c r="AB47" s="66"/>
      <c r="AC47" s="66"/>
    </row>
    <row r="48" spans="1:29" s="92" customFormat="1" ht="51">
      <c r="A48" s="53" t="s">
        <v>128</v>
      </c>
      <c r="B48" s="81">
        <v>47</v>
      </c>
      <c r="C48" s="87">
        <v>45460</v>
      </c>
      <c r="D48" s="85">
        <v>0.3923611111111111</v>
      </c>
      <c r="E48" s="38">
        <v>6.3</v>
      </c>
      <c r="F48" s="39">
        <v>5.81</v>
      </c>
      <c r="G48" s="40">
        <v>617655</v>
      </c>
      <c r="H48" s="36">
        <v>66181</v>
      </c>
      <c r="I48" s="40">
        <v>1125</v>
      </c>
      <c r="J48" s="36">
        <v>35</v>
      </c>
      <c r="K48" s="41">
        <v>448.78</v>
      </c>
      <c r="L48" s="41">
        <v>445.85</v>
      </c>
      <c r="M48" s="36">
        <v>9</v>
      </c>
      <c r="N48" s="42">
        <v>0.79900000000000004</v>
      </c>
      <c r="O48" s="43">
        <v>0.9</v>
      </c>
      <c r="P48" s="44">
        <v>1.5</v>
      </c>
      <c r="Q48" s="36">
        <v>13.8</v>
      </c>
      <c r="R48" s="40">
        <v>1846.1</v>
      </c>
      <c r="S48" s="40">
        <v>1837.1</v>
      </c>
      <c r="T48" s="43">
        <v>2517.6</v>
      </c>
      <c r="U48" s="88" t="s">
        <v>129</v>
      </c>
      <c r="V48" s="45">
        <f t="shared" si="2"/>
        <v>45460.392361111109</v>
      </c>
      <c r="W48" s="89">
        <f t="shared" si="1"/>
        <v>94.725694444445253</v>
      </c>
      <c r="X48" s="97"/>
      <c r="Y48" s="66"/>
      <c r="Z48" s="66"/>
      <c r="AA48" s="66"/>
      <c r="AB48" s="66"/>
      <c r="AC48" s="66"/>
    </row>
    <row r="49" spans="1:29" s="92" customFormat="1">
      <c r="A49" s="66"/>
      <c r="B49" s="67">
        <v>48</v>
      </c>
      <c r="C49" s="37">
        <v>45462</v>
      </c>
      <c r="D49" s="85">
        <v>0.42083333333333334</v>
      </c>
      <c r="E49" s="38">
        <v>6.25</v>
      </c>
      <c r="F49" s="39">
        <v>5.99</v>
      </c>
      <c r="G49" s="40">
        <v>646815</v>
      </c>
      <c r="H49" s="36">
        <v>69099</v>
      </c>
      <c r="I49" s="40">
        <v>1125</v>
      </c>
      <c r="J49" s="36">
        <v>35</v>
      </c>
      <c r="K49" s="41">
        <v>885</v>
      </c>
      <c r="L49" s="41">
        <v>912.8</v>
      </c>
      <c r="M49" s="36">
        <v>9</v>
      </c>
      <c r="N49" s="42">
        <v>0.81</v>
      </c>
      <c r="O49" s="43">
        <v>0.9</v>
      </c>
      <c r="P49" s="44">
        <v>1.5</v>
      </c>
      <c r="Q49" s="36">
        <v>13.8</v>
      </c>
      <c r="R49" s="40">
        <v>5214</v>
      </c>
      <c r="S49" s="40">
        <v>6531.5</v>
      </c>
      <c r="T49" s="43">
        <v>3671.7</v>
      </c>
      <c r="U49" s="86"/>
      <c r="V49" s="45">
        <f t="shared" si="2"/>
        <v>45462.42083333333</v>
      </c>
      <c r="W49" s="89">
        <f t="shared" si="1"/>
        <v>96.754166666665697</v>
      </c>
      <c r="X49" s="97"/>
      <c r="Y49" s="66"/>
      <c r="Z49" s="66"/>
      <c r="AA49" s="66"/>
      <c r="AB49" s="66"/>
      <c r="AC49" s="66"/>
    </row>
    <row r="50" spans="1:29" s="92" customFormat="1">
      <c r="A50" s="66"/>
      <c r="B50" s="59">
        <v>49</v>
      </c>
      <c r="C50" s="37">
        <v>45464</v>
      </c>
      <c r="D50" s="85">
        <v>0.3840277777777778</v>
      </c>
      <c r="E50" s="38">
        <v>6.16</v>
      </c>
      <c r="F50" s="39">
        <v>5.9</v>
      </c>
      <c r="G50" s="40">
        <v>675189</v>
      </c>
      <c r="H50" s="36">
        <v>71924</v>
      </c>
      <c r="I50" s="40">
        <v>1125</v>
      </c>
      <c r="J50" s="36">
        <v>35</v>
      </c>
      <c r="K50" s="41">
        <v>864.4</v>
      </c>
      <c r="L50" s="41"/>
      <c r="M50" s="36">
        <v>9</v>
      </c>
      <c r="N50" s="42">
        <v>0.83299999999999996</v>
      </c>
      <c r="O50" s="43">
        <v>0.9</v>
      </c>
      <c r="P50" s="44">
        <v>1.5</v>
      </c>
      <c r="Q50" s="36">
        <v>13.8</v>
      </c>
      <c r="R50" s="40">
        <v>4123.2</v>
      </c>
      <c r="S50" s="40"/>
      <c r="T50" s="43">
        <v>4774.1000000000004</v>
      </c>
      <c r="U50" s="86"/>
      <c r="V50" s="45">
        <f t="shared" si="2"/>
        <v>45464.384027777778</v>
      </c>
      <c r="W50" s="89">
        <f t="shared" si="1"/>
        <v>98.71736111111386</v>
      </c>
      <c r="X50" s="97"/>
      <c r="Y50" s="66"/>
      <c r="Z50" s="66"/>
      <c r="AA50" s="66"/>
      <c r="AB50" s="66"/>
      <c r="AC50" s="66"/>
    </row>
    <row r="51" spans="1:29" s="92" customFormat="1">
      <c r="A51" s="66"/>
      <c r="B51" s="67">
        <v>50</v>
      </c>
      <c r="C51" s="37">
        <v>45467</v>
      </c>
      <c r="D51" s="85">
        <v>0.38194444444444442</v>
      </c>
      <c r="E51" s="38">
        <v>6.18</v>
      </c>
      <c r="F51" s="39">
        <v>5.91</v>
      </c>
      <c r="G51" s="40">
        <v>718476</v>
      </c>
      <c r="H51" s="36">
        <v>76238</v>
      </c>
      <c r="I51" s="40">
        <v>1125</v>
      </c>
      <c r="J51" s="36">
        <v>35</v>
      </c>
      <c r="K51" s="41">
        <v>822.2</v>
      </c>
      <c r="L51" s="41"/>
      <c r="M51" s="36">
        <v>9</v>
      </c>
      <c r="N51" s="42">
        <v>0.82199999999999995</v>
      </c>
      <c r="O51" s="43">
        <v>0.9</v>
      </c>
      <c r="P51" s="44">
        <v>1.5</v>
      </c>
      <c r="Q51" s="36">
        <v>13.8</v>
      </c>
      <c r="R51" s="40">
        <v>2461.3000000000002</v>
      </c>
      <c r="S51" s="40">
        <v>1754.5</v>
      </c>
      <c r="T51" s="43">
        <v>6468</v>
      </c>
      <c r="U51" s="86" t="s">
        <v>130</v>
      </c>
      <c r="V51" s="45">
        <f t="shared" si="2"/>
        <v>45467.381944444445</v>
      </c>
      <c r="W51" s="89">
        <f t="shared" si="1"/>
        <v>101.71527777778101</v>
      </c>
      <c r="X51" s="97"/>
      <c r="Y51" s="66"/>
      <c r="Z51" s="66"/>
      <c r="AA51" s="66"/>
      <c r="AB51" s="66"/>
      <c r="AC51" s="66"/>
    </row>
    <row r="52" spans="1:29" s="92" customFormat="1">
      <c r="A52" s="66"/>
      <c r="B52" s="67">
        <v>51</v>
      </c>
      <c r="C52" s="37">
        <v>45469</v>
      </c>
      <c r="D52" s="85">
        <v>0.39513888888888887</v>
      </c>
      <c r="E52" s="38">
        <v>6.16</v>
      </c>
      <c r="F52" s="39">
        <v>5.91</v>
      </c>
      <c r="G52" s="40">
        <v>747781</v>
      </c>
      <c r="H52" s="36">
        <v>79135</v>
      </c>
      <c r="I52" s="40">
        <v>1125</v>
      </c>
      <c r="J52" s="36">
        <v>35</v>
      </c>
      <c r="K52" s="41">
        <v>792.4</v>
      </c>
      <c r="L52" s="41"/>
      <c r="M52" s="36">
        <v>9</v>
      </c>
      <c r="N52" s="42">
        <v>0.81200000000000006</v>
      </c>
      <c r="O52" s="43">
        <v>0.9</v>
      </c>
      <c r="P52" s="44">
        <v>1.5</v>
      </c>
      <c r="Q52" s="36">
        <v>13.8</v>
      </c>
      <c r="R52" s="40">
        <v>6110.6</v>
      </c>
      <c r="S52" s="40">
        <v>6519.5</v>
      </c>
      <c r="T52" s="43">
        <v>7595</v>
      </c>
      <c r="U52" s="86"/>
      <c r="V52" s="45">
        <f t="shared" si="2"/>
        <v>45469.395138888889</v>
      </c>
      <c r="W52" s="89">
        <f t="shared" si="1"/>
        <v>103.72847222222481</v>
      </c>
      <c r="X52" s="97"/>
      <c r="Y52" s="66"/>
      <c r="Z52" s="66"/>
      <c r="AA52" s="66"/>
      <c r="AB52" s="66"/>
      <c r="AC52" s="66"/>
    </row>
    <row r="53" spans="1:29" s="92" customFormat="1">
      <c r="A53" s="66"/>
      <c r="B53" s="67">
        <v>52</v>
      </c>
      <c r="C53" s="37">
        <v>45471</v>
      </c>
      <c r="D53" s="85">
        <v>0.41041666666666665</v>
      </c>
      <c r="E53" s="38">
        <v>6.24</v>
      </c>
      <c r="F53" s="39">
        <v>5.93</v>
      </c>
      <c r="G53" s="40">
        <v>777089</v>
      </c>
      <c r="H53" s="36">
        <v>82035</v>
      </c>
      <c r="I53" s="40">
        <v>1125</v>
      </c>
      <c r="J53" s="36">
        <v>35</v>
      </c>
      <c r="K53" s="41">
        <v>765.4</v>
      </c>
      <c r="L53" s="41"/>
      <c r="M53" s="36">
        <v>9</v>
      </c>
      <c r="N53" s="42">
        <v>0.82799999999999996</v>
      </c>
      <c r="O53" s="43">
        <v>0.9</v>
      </c>
      <c r="P53" s="44">
        <v>1.5</v>
      </c>
      <c r="Q53" s="36">
        <v>13.8</v>
      </c>
      <c r="R53" s="40">
        <v>4984.7</v>
      </c>
      <c r="S53" s="40"/>
      <c r="T53" s="43">
        <v>8731.6</v>
      </c>
      <c r="U53" s="86"/>
      <c r="V53" s="45">
        <f t="shared" si="2"/>
        <v>45471.410416666666</v>
      </c>
      <c r="W53" s="89">
        <f t="shared" si="1"/>
        <v>105.74375000000146</v>
      </c>
      <c r="X53" s="97"/>
      <c r="Y53" s="66"/>
      <c r="Z53" s="66"/>
      <c r="AA53" s="66"/>
      <c r="AB53" s="66"/>
      <c r="AC53" s="66"/>
    </row>
    <row r="54" spans="1:29" s="92" customFormat="1">
      <c r="A54" s="66"/>
      <c r="B54" s="67">
        <v>53</v>
      </c>
      <c r="C54" s="37">
        <v>45474</v>
      </c>
      <c r="D54" s="85">
        <v>0.40208333333333335</v>
      </c>
      <c r="E54" s="38">
        <v>6.22</v>
      </c>
      <c r="F54" s="39">
        <v>5.94</v>
      </c>
      <c r="G54" s="40">
        <v>820479</v>
      </c>
      <c r="H54" s="36">
        <v>86340</v>
      </c>
      <c r="I54" s="40">
        <v>1125</v>
      </c>
      <c r="J54" s="36">
        <v>35</v>
      </c>
      <c r="K54" s="41">
        <v>714.3</v>
      </c>
      <c r="L54" s="41"/>
      <c r="M54" s="36">
        <v>9</v>
      </c>
      <c r="N54" s="42">
        <v>0.85899999999999999</v>
      </c>
      <c r="O54" s="43">
        <v>0.9</v>
      </c>
      <c r="P54" s="44">
        <v>1.5</v>
      </c>
      <c r="Q54" s="36">
        <v>13.8</v>
      </c>
      <c r="R54" s="40">
        <v>3313.7</v>
      </c>
      <c r="S54" s="40"/>
      <c r="T54" s="43">
        <v>10430</v>
      </c>
      <c r="U54" s="86"/>
      <c r="V54" s="45">
        <f t="shared" si="2"/>
        <v>45474.402083333334</v>
      </c>
      <c r="W54" s="89">
        <f t="shared" si="1"/>
        <v>108.73541666667006</v>
      </c>
      <c r="X54" s="97"/>
      <c r="Y54" s="66"/>
      <c r="Z54" s="66"/>
      <c r="AA54" s="66"/>
      <c r="AB54" s="66"/>
      <c r="AC54" s="66"/>
    </row>
    <row r="55" spans="1:29" s="92" customFormat="1">
      <c r="A55" s="66"/>
      <c r="B55" s="67">
        <v>54</v>
      </c>
      <c r="C55" s="37">
        <v>45476</v>
      </c>
      <c r="D55" s="85">
        <v>0.41736111111111113</v>
      </c>
      <c r="E55" s="38">
        <v>6.23</v>
      </c>
      <c r="F55" s="39">
        <v>5.97</v>
      </c>
      <c r="G55" s="40">
        <v>849704</v>
      </c>
      <c r="H55" s="36">
        <v>89239</v>
      </c>
      <c r="I55" s="40">
        <v>1125</v>
      </c>
      <c r="J55" s="36">
        <v>35</v>
      </c>
      <c r="K55" s="41">
        <v>680.1</v>
      </c>
      <c r="L55" s="41"/>
      <c r="M55" s="36">
        <v>9</v>
      </c>
      <c r="N55" s="42">
        <v>0.90500000000000003</v>
      </c>
      <c r="O55" s="43">
        <v>0.9</v>
      </c>
      <c r="P55" s="44">
        <v>1.5</v>
      </c>
      <c r="Q55" s="36">
        <v>13.8</v>
      </c>
      <c r="R55" s="40">
        <v>2192.8000000000002</v>
      </c>
      <c r="S55" s="40">
        <v>2132.9</v>
      </c>
      <c r="T55" s="43">
        <v>11563</v>
      </c>
      <c r="U55" s="86" t="s">
        <v>131</v>
      </c>
      <c r="V55" s="45">
        <f t="shared" si="2"/>
        <v>45476.417361111111</v>
      </c>
      <c r="W55" s="89">
        <f t="shared" si="1"/>
        <v>110.75069444444671</v>
      </c>
      <c r="X55" s="97"/>
      <c r="Y55" s="66"/>
      <c r="Z55" s="66"/>
      <c r="AA55" s="66"/>
      <c r="AB55" s="66"/>
      <c r="AC55" s="66"/>
    </row>
    <row r="56" spans="1:29" s="92" customFormat="1">
      <c r="A56" s="66"/>
      <c r="B56" s="59">
        <v>55</v>
      </c>
      <c r="C56" s="37">
        <v>45478</v>
      </c>
      <c r="D56" s="85">
        <v>0.4145833333333333</v>
      </c>
      <c r="E56" s="38">
        <v>6.16</v>
      </c>
      <c r="F56" s="39">
        <v>5.91</v>
      </c>
      <c r="G56" s="40">
        <v>878651</v>
      </c>
      <c r="H56" s="36">
        <v>92114</v>
      </c>
      <c r="I56" s="40">
        <v>1125</v>
      </c>
      <c r="J56" s="36">
        <v>35</v>
      </c>
      <c r="K56" s="41">
        <v>648.1</v>
      </c>
      <c r="L56" s="41"/>
      <c r="M56" s="36">
        <v>9</v>
      </c>
      <c r="N56" s="42">
        <v>0.82399999999999995</v>
      </c>
      <c r="O56" s="43">
        <v>0.9</v>
      </c>
      <c r="P56" s="44">
        <v>1.5</v>
      </c>
      <c r="Q56" s="36">
        <v>13.8</v>
      </c>
      <c r="R56" s="40">
        <v>5488.4</v>
      </c>
      <c r="S56" s="40">
        <v>6531.1</v>
      </c>
      <c r="T56" s="43">
        <v>12657</v>
      </c>
      <c r="U56" s="86"/>
      <c r="V56" s="45">
        <f t="shared" si="2"/>
        <v>45478.414583333331</v>
      </c>
      <c r="W56" s="89">
        <f t="shared" si="1"/>
        <v>112.74791666666715</v>
      </c>
      <c r="X56" s="97"/>
      <c r="Y56" s="66"/>
      <c r="Z56" s="66"/>
      <c r="AA56" s="66"/>
      <c r="AB56" s="66"/>
      <c r="AC56" s="66"/>
    </row>
    <row r="57" spans="1:29" s="92" customFormat="1">
      <c r="A57" s="66"/>
      <c r="B57" s="67">
        <v>56</v>
      </c>
      <c r="C57" s="37">
        <v>45481</v>
      </c>
      <c r="D57" s="85">
        <v>0.38958333333333334</v>
      </c>
      <c r="E57" s="38">
        <v>6.17</v>
      </c>
      <c r="F57" s="39">
        <v>5.86</v>
      </c>
      <c r="G57" s="40">
        <v>921514</v>
      </c>
      <c r="H57" s="36">
        <v>96394</v>
      </c>
      <c r="I57" s="40">
        <v>1125</v>
      </c>
      <c r="J57" s="36">
        <v>35</v>
      </c>
      <c r="K57" s="41">
        <v>612.20000000000005</v>
      </c>
      <c r="L57" s="41"/>
      <c r="M57" s="36">
        <v>9</v>
      </c>
      <c r="N57" s="42">
        <v>0.80500000000000005</v>
      </c>
      <c r="O57" s="43">
        <v>0.9</v>
      </c>
      <c r="P57" s="44">
        <v>1.5</v>
      </c>
      <c r="Q57" s="36">
        <v>13.8</v>
      </c>
      <c r="R57" s="40">
        <v>3826.9</v>
      </c>
      <c r="S57" s="40"/>
      <c r="T57" s="43">
        <v>14310</v>
      </c>
      <c r="U57" s="86"/>
      <c r="V57" s="45">
        <f t="shared" si="2"/>
        <v>45481.38958333333</v>
      </c>
      <c r="W57" s="89">
        <f t="shared" si="1"/>
        <v>115.7229166666657</v>
      </c>
      <c r="X57" s="97"/>
      <c r="Y57" s="66"/>
      <c r="Z57" s="66"/>
      <c r="AA57" s="66"/>
      <c r="AB57" s="66"/>
      <c r="AC57" s="66"/>
    </row>
    <row r="58" spans="1:29" s="92" customFormat="1">
      <c r="A58" s="66"/>
      <c r="B58" s="67">
        <v>57</v>
      </c>
      <c r="C58" s="37">
        <v>45483</v>
      </c>
      <c r="D58" s="85">
        <v>0.38819444444444445</v>
      </c>
      <c r="E58" s="38">
        <v>6.16</v>
      </c>
      <c r="F58" s="39">
        <v>5.87</v>
      </c>
      <c r="G58" s="40">
        <v>950647</v>
      </c>
      <c r="H58" s="36">
        <v>99270</v>
      </c>
      <c r="I58" s="40">
        <v>1125</v>
      </c>
      <c r="J58" s="36">
        <v>35</v>
      </c>
      <c r="K58" s="41">
        <v>590.34</v>
      </c>
      <c r="L58" s="41"/>
      <c r="M58" s="36">
        <v>9</v>
      </c>
      <c r="N58" s="42">
        <v>0.83299999999999996</v>
      </c>
      <c r="O58" s="43">
        <v>0.9</v>
      </c>
      <c r="P58" s="44">
        <v>1.5</v>
      </c>
      <c r="Q58" s="36">
        <v>13.8</v>
      </c>
      <c r="R58" s="40">
        <v>2715.5</v>
      </c>
      <c r="S58" s="40"/>
      <c r="T58" s="43">
        <v>15414</v>
      </c>
      <c r="U58" s="86"/>
      <c r="V58" s="45">
        <f t="shared" si="2"/>
        <v>45483.388194444444</v>
      </c>
      <c r="W58" s="89">
        <f t="shared" si="1"/>
        <v>117.72152777777956</v>
      </c>
      <c r="X58" s="97"/>
      <c r="Y58" s="66"/>
      <c r="Z58" s="66"/>
      <c r="AA58" s="66"/>
      <c r="AB58" s="66"/>
      <c r="AC58" s="66"/>
    </row>
    <row r="59" spans="1:29" s="92" customFormat="1">
      <c r="A59" s="66"/>
      <c r="B59" s="67">
        <v>58</v>
      </c>
      <c r="C59" s="37">
        <v>45485</v>
      </c>
      <c r="D59" s="85">
        <v>0.35972222222222222</v>
      </c>
      <c r="E59" s="38">
        <v>6.15</v>
      </c>
      <c r="F59" s="39">
        <v>5.85</v>
      </c>
      <c r="G59" s="40">
        <v>979405</v>
      </c>
      <c r="H59" s="36">
        <v>102107</v>
      </c>
      <c r="I59" s="40">
        <v>1125</v>
      </c>
      <c r="J59" s="36">
        <v>35</v>
      </c>
      <c r="K59" s="41">
        <v>566.23</v>
      </c>
      <c r="L59" s="41"/>
      <c r="M59" s="36">
        <v>9</v>
      </c>
      <c r="N59" s="42">
        <v>0.83799999999999997</v>
      </c>
      <c r="O59" s="43">
        <v>0.9</v>
      </c>
      <c r="P59" s="44">
        <v>1.5</v>
      </c>
      <c r="Q59" s="36">
        <v>13.8</v>
      </c>
      <c r="R59" s="40">
        <v>1621</v>
      </c>
      <c r="S59" s="40">
        <v>6534.7</v>
      </c>
      <c r="T59" s="43">
        <v>16510</v>
      </c>
      <c r="U59" s="86" t="s">
        <v>132</v>
      </c>
      <c r="V59" s="45">
        <f t="shared" si="2"/>
        <v>45485.359722222223</v>
      </c>
      <c r="W59" s="89">
        <f t="shared" si="1"/>
        <v>119.69305555555911</v>
      </c>
      <c r="X59" s="97"/>
      <c r="Y59" s="66"/>
      <c r="Z59" s="66"/>
      <c r="AA59" s="66"/>
      <c r="AB59" s="66"/>
      <c r="AC59" s="66"/>
    </row>
    <row r="60" spans="1:29" s="92" customFormat="1">
      <c r="A60" s="66"/>
      <c r="B60" s="67">
        <v>59</v>
      </c>
      <c r="C60" s="37">
        <v>45488</v>
      </c>
      <c r="D60" s="85">
        <v>0.37361111111111112</v>
      </c>
      <c r="E60" s="38">
        <v>6.15</v>
      </c>
      <c r="F60" s="39">
        <v>5.74</v>
      </c>
      <c r="G60" s="40">
        <v>1023234</v>
      </c>
      <c r="H60" s="36">
        <v>106443</v>
      </c>
      <c r="I60" s="40">
        <v>1125</v>
      </c>
      <c r="J60" s="36">
        <v>35</v>
      </c>
      <c r="K60" s="41">
        <v>540.35</v>
      </c>
      <c r="L60" s="41"/>
      <c r="M60" s="36">
        <v>9</v>
      </c>
      <c r="N60" s="42">
        <v>0.91100000000000003</v>
      </c>
      <c r="O60" s="43">
        <v>0.9</v>
      </c>
      <c r="P60" s="44">
        <v>1.5</v>
      </c>
      <c r="Q60" s="36">
        <v>13.8</v>
      </c>
      <c r="R60" s="40">
        <v>4852.6000000000004</v>
      </c>
      <c r="S60" s="40"/>
      <c r="T60" s="43">
        <v>18186</v>
      </c>
      <c r="U60" s="86"/>
      <c r="V60" s="45">
        <f t="shared" si="2"/>
        <v>45488.373611111114</v>
      </c>
      <c r="W60" s="89">
        <f t="shared" si="1"/>
        <v>122.70694444444962</v>
      </c>
      <c r="X60" s="97"/>
      <c r="Y60" s="66"/>
      <c r="Z60" s="66"/>
      <c r="AA60" s="66"/>
      <c r="AB60" s="66"/>
      <c r="AC60" s="66"/>
    </row>
    <row r="61" spans="1:29">
      <c r="A61" s="53" t="s">
        <v>133</v>
      </c>
      <c r="B61" s="81">
        <v>60</v>
      </c>
      <c r="C61" s="87">
        <v>45488</v>
      </c>
      <c r="D61" s="124">
        <v>0.66041666666666665</v>
      </c>
      <c r="E61" s="125">
        <v>6.32</v>
      </c>
      <c r="F61" s="125">
        <v>5.88</v>
      </c>
      <c r="G61" s="126">
        <v>1027405</v>
      </c>
      <c r="H61" s="126">
        <v>106856</v>
      </c>
      <c r="I61" s="126">
        <v>1125</v>
      </c>
      <c r="J61" s="126">
        <v>35</v>
      </c>
      <c r="K61" s="127">
        <v>529.47</v>
      </c>
      <c r="L61" s="127"/>
      <c r="M61" s="126">
        <v>9</v>
      </c>
      <c r="N61" s="128">
        <v>0.80700000000000005</v>
      </c>
      <c r="O61" s="129">
        <v>0.1</v>
      </c>
      <c r="P61" s="129">
        <v>0.2</v>
      </c>
      <c r="Q61" s="126">
        <v>13.8</v>
      </c>
      <c r="R61" s="126">
        <v>4696.8999999999996</v>
      </c>
      <c r="S61" s="126">
        <v>4496.6000000000004</v>
      </c>
      <c r="T61" s="129">
        <v>18331</v>
      </c>
      <c r="U61" s="88" t="s">
        <v>134</v>
      </c>
      <c r="V61" s="130">
        <f t="shared" si="2"/>
        <v>45488.660416666666</v>
      </c>
      <c r="W61" s="122">
        <f t="shared" si="1"/>
        <v>122.99375000000146</v>
      </c>
      <c r="Y61" s="141"/>
      <c r="Z61" s="141"/>
      <c r="AA61" s="141"/>
      <c r="AB61" s="141"/>
      <c r="AC61" s="141"/>
    </row>
    <row r="62" spans="1:29" s="92" customFormat="1">
      <c r="A62" s="66"/>
      <c r="B62" s="59">
        <v>61</v>
      </c>
      <c r="C62" s="37">
        <v>45490</v>
      </c>
      <c r="D62" s="85">
        <v>0.40972222222222227</v>
      </c>
      <c r="E62" s="38">
        <v>6.38</v>
      </c>
      <c r="F62" s="39">
        <v>5.72</v>
      </c>
      <c r="G62" s="40">
        <v>1053525</v>
      </c>
      <c r="H62" s="36">
        <v>109374</v>
      </c>
      <c r="I62" s="40">
        <v>1125</v>
      </c>
      <c r="J62" s="36">
        <v>35</v>
      </c>
      <c r="K62" s="41">
        <v>518.07000000000005</v>
      </c>
      <c r="L62" s="41"/>
      <c r="M62" s="36">
        <v>9</v>
      </c>
      <c r="N62" s="42">
        <v>0.78400000000000003</v>
      </c>
      <c r="O62" s="43">
        <v>0.1</v>
      </c>
      <c r="P62" s="44">
        <v>0.2</v>
      </c>
      <c r="Q62" s="36">
        <v>13.8</v>
      </c>
      <c r="R62" s="40">
        <v>4381.3</v>
      </c>
      <c r="S62" s="40"/>
      <c r="T62" s="43">
        <v>18486</v>
      </c>
      <c r="U62" s="86"/>
      <c r="V62" s="45">
        <f t="shared" si="2"/>
        <v>45490.409722222219</v>
      </c>
      <c r="W62" s="89">
        <f t="shared" si="1"/>
        <v>124.74305555555475</v>
      </c>
      <c r="X62" s="97"/>
      <c r="Y62" s="66"/>
      <c r="Z62" s="66"/>
      <c r="AA62" s="66"/>
      <c r="AB62" s="66"/>
      <c r="AC62" s="66"/>
    </row>
    <row r="63" spans="1:29" s="92" customFormat="1">
      <c r="A63" s="66"/>
      <c r="B63" s="67">
        <v>62</v>
      </c>
      <c r="C63" s="37">
        <v>45492</v>
      </c>
      <c r="D63" s="85">
        <v>0.38750000000000001</v>
      </c>
      <c r="E63" s="38">
        <v>6.1</v>
      </c>
      <c r="F63" s="39">
        <v>5.87</v>
      </c>
      <c r="G63" s="40">
        <v>1082955</v>
      </c>
      <c r="H63" s="36">
        <v>112219</v>
      </c>
      <c r="I63" s="40">
        <v>1125</v>
      </c>
      <c r="J63" s="36">
        <v>35</v>
      </c>
      <c r="K63" s="41">
        <v>498.77</v>
      </c>
      <c r="L63" s="41"/>
      <c r="M63" s="36">
        <v>9</v>
      </c>
      <c r="N63" s="42">
        <v>0.83599999999999997</v>
      </c>
      <c r="O63" s="43">
        <v>0.1</v>
      </c>
      <c r="P63" s="44">
        <v>0.2</v>
      </c>
      <c r="Q63" s="36">
        <v>13.8</v>
      </c>
      <c r="R63" s="40">
        <v>4256.7</v>
      </c>
      <c r="S63" s="40"/>
      <c r="T63" s="43">
        <v>18615</v>
      </c>
      <c r="U63" s="86"/>
      <c r="V63" s="45">
        <f t="shared" si="2"/>
        <v>45492.387499999997</v>
      </c>
      <c r="W63" s="89">
        <f t="shared" si="1"/>
        <v>126.72083333333285</v>
      </c>
      <c r="X63" s="97"/>
      <c r="Y63" s="66"/>
      <c r="Z63" s="66"/>
      <c r="AA63" s="66"/>
      <c r="AB63" s="66"/>
      <c r="AC63" s="66"/>
    </row>
    <row r="64" spans="1:29" s="92" customFormat="1">
      <c r="A64" s="66"/>
      <c r="B64" s="67">
        <v>63</v>
      </c>
      <c r="C64" s="37">
        <v>45495</v>
      </c>
      <c r="D64" s="85">
        <v>0.39305555555555555</v>
      </c>
      <c r="E64" s="38">
        <v>6.13</v>
      </c>
      <c r="F64" s="39">
        <v>5.83</v>
      </c>
      <c r="G64" s="40">
        <v>1127860</v>
      </c>
      <c r="H64" s="36">
        <v>116544</v>
      </c>
      <c r="I64" s="40">
        <v>1125</v>
      </c>
      <c r="J64" s="36">
        <v>35</v>
      </c>
      <c r="K64" s="41">
        <v>476.15</v>
      </c>
      <c r="L64" s="41"/>
      <c r="M64" s="36">
        <v>9</v>
      </c>
      <c r="N64" s="42">
        <v>0.87</v>
      </c>
      <c r="O64" s="43">
        <v>0.1</v>
      </c>
      <c r="P64" s="44">
        <v>0.2</v>
      </c>
      <c r="Q64" s="36">
        <v>13.8</v>
      </c>
      <c r="R64" s="40">
        <v>4068.7</v>
      </c>
      <c r="S64" s="40"/>
      <c r="T64" s="43">
        <v>18802</v>
      </c>
      <c r="U64" s="86"/>
      <c r="V64" s="45">
        <f t="shared" si="2"/>
        <v>45495.393055555556</v>
      </c>
      <c r="W64" s="89">
        <f t="shared" si="1"/>
        <v>129.72638888889196</v>
      </c>
      <c r="X64" s="97"/>
      <c r="Y64" s="66"/>
      <c r="Z64" s="66"/>
      <c r="AA64" s="66"/>
      <c r="AB64" s="66"/>
      <c r="AC64" s="66"/>
    </row>
    <row r="65" spans="1:29" s="92" customFormat="1">
      <c r="A65" s="66"/>
      <c r="B65" s="67">
        <v>64</v>
      </c>
      <c r="C65" s="37">
        <v>45497</v>
      </c>
      <c r="D65" s="85">
        <v>0.39027777777777778</v>
      </c>
      <c r="E65" s="38">
        <v>6.15</v>
      </c>
      <c r="F65" s="39">
        <v>5.9</v>
      </c>
      <c r="G65" s="40">
        <v>1157662</v>
      </c>
      <c r="H65" s="36">
        <v>119418</v>
      </c>
      <c r="I65" s="40">
        <v>1125</v>
      </c>
      <c r="J65" s="36">
        <v>35</v>
      </c>
      <c r="K65" s="41">
        <v>458.58</v>
      </c>
      <c r="L65" s="41"/>
      <c r="M65" s="36">
        <v>9</v>
      </c>
      <c r="N65" s="42">
        <v>0.89200000000000002</v>
      </c>
      <c r="O65" s="43">
        <v>0.1</v>
      </c>
      <c r="P65" s="44">
        <v>0.2</v>
      </c>
      <c r="Q65" s="36">
        <v>13.8</v>
      </c>
      <c r="R65" s="40">
        <v>3945.4</v>
      </c>
      <c r="S65" s="40"/>
      <c r="T65" s="43">
        <v>18942</v>
      </c>
      <c r="U65" s="86"/>
      <c r="V65" s="45">
        <f t="shared" si="2"/>
        <v>45497.390277777777</v>
      </c>
      <c r="W65" s="89">
        <f t="shared" si="1"/>
        <v>131.7236111111124</v>
      </c>
      <c r="X65" s="97"/>
      <c r="Y65" s="66"/>
      <c r="Z65" s="66"/>
      <c r="AA65" s="66"/>
      <c r="AB65" s="66"/>
      <c r="AC65" s="66"/>
    </row>
    <row r="66" spans="1:29" s="92" customFormat="1">
      <c r="A66" s="66"/>
      <c r="B66" s="67">
        <v>65</v>
      </c>
      <c r="C66" s="37">
        <v>45499</v>
      </c>
      <c r="D66" s="85">
        <v>0.46597222222222223</v>
      </c>
      <c r="E66" s="38">
        <v>6.17</v>
      </c>
      <c r="F66" s="39">
        <v>5.66</v>
      </c>
      <c r="G66" s="40">
        <v>1188568</v>
      </c>
      <c r="H66" s="36">
        <v>122405</v>
      </c>
      <c r="I66" s="40">
        <v>1125</v>
      </c>
      <c r="J66" s="36">
        <v>35</v>
      </c>
      <c r="K66" s="41">
        <v>446.39</v>
      </c>
      <c r="L66" s="41">
        <v>442.01</v>
      </c>
      <c r="M66" s="36">
        <v>9</v>
      </c>
      <c r="N66" s="42">
        <v>0.875</v>
      </c>
      <c r="O66" s="43">
        <v>0.1</v>
      </c>
      <c r="P66" s="44">
        <v>0.2</v>
      </c>
      <c r="Q66" s="36">
        <v>13.8</v>
      </c>
      <c r="R66" s="40">
        <v>3817.9</v>
      </c>
      <c r="S66" s="40"/>
      <c r="T66" s="43">
        <v>19062</v>
      </c>
      <c r="U66" s="86" t="s">
        <v>135</v>
      </c>
      <c r="V66" s="45">
        <f t="shared" ref="V66:V95" si="3">C66+D66</f>
        <v>45499.46597222222</v>
      </c>
      <c r="W66" s="89">
        <f t="shared" si="1"/>
        <v>133.7993055555562</v>
      </c>
      <c r="X66" s="97"/>
      <c r="Y66" s="66"/>
      <c r="Z66" s="66"/>
      <c r="AA66" s="66"/>
      <c r="AB66" s="66"/>
      <c r="AC66" s="66"/>
    </row>
    <row r="67" spans="1:29" s="92" customFormat="1">
      <c r="A67" s="66"/>
      <c r="B67" s="67">
        <v>66</v>
      </c>
      <c r="C67" s="37">
        <v>45502</v>
      </c>
      <c r="D67" s="85">
        <v>0.37638888888888888</v>
      </c>
      <c r="E67" s="38">
        <v>6.35</v>
      </c>
      <c r="F67" s="39">
        <v>5.97</v>
      </c>
      <c r="G67" s="40">
        <v>1232044</v>
      </c>
      <c r="H67" s="36">
        <v>126593</v>
      </c>
      <c r="I67" s="40">
        <v>1125</v>
      </c>
      <c r="J67" s="36">
        <v>35</v>
      </c>
      <c r="K67" s="41">
        <v>886.5</v>
      </c>
      <c r="L67" s="41">
        <v>893.4</v>
      </c>
      <c r="M67" s="36">
        <v>9</v>
      </c>
      <c r="N67" s="42">
        <v>0.85199999999999998</v>
      </c>
      <c r="O67" s="43">
        <v>0.1</v>
      </c>
      <c r="P67" s="44">
        <v>0.2</v>
      </c>
      <c r="Q67" s="36">
        <v>13.8</v>
      </c>
      <c r="R67" s="40">
        <v>3638.1</v>
      </c>
      <c r="S67" s="40"/>
      <c r="T67" s="43">
        <v>19250</v>
      </c>
      <c r="U67" s="86" t="s">
        <v>136</v>
      </c>
      <c r="V67" s="45">
        <f t="shared" si="3"/>
        <v>45502.376388888886</v>
      </c>
      <c r="W67" s="89">
        <f t="shared" si="1"/>
        <v>136.7097222222219</v>
      </c>
      <c r="X67" s="97"/>
      <c r="Y67" s="66"/>
      <c r="Z67" s="66"/>
      <c r="AA67" s="66"/>
      <c r="AB67" s="66"/>
      <c r="AC67" s="66"/>
    </row>
    <row r="68" spans="1:29" s="92" customFormat="1">
      <c r="A68" s="66"/>
      <c r="B68" s="59">
        <v>67</v>
      </c>
      <c r="C68" s="37">
        <v>45504</v>
      </c>
      <c r="D68" s="85">
        <v>0.56111111111111112</v>
      </c>
      <c r="E68" s="38">
        <v>6.31</v>
      </c>
      <c r="F68" s="39">
        <v>5.91</v>
      </c>
      <c r="G68" s="40">
        <v>1264494</v>
      </c>
      <c r="H68" s="36">
        <v>129737</v>
      </c>
      <c r="I68" s="40">
        <v>1125</v>
      </c>
      <c r="J68" s="36">
        <v>35</v>
      </c>
      <c r="K68" s="41">
        <v>868.3</v>
      </c>
      <c r="L68" s="41"/>
      <c r="M68" s="36">
        <v>9</v>
      </c>
      <c r="N68" s="42">
        <v>0.90400000000000003</v>
      </c>
      <c r="O68" s="43">
        <v>0.1</v>
      </c>
      <c r="P68" s="44">
        <v>0.2</v>
      </c>
      <c r="Q68" s="36">
        <v>13.8</v>
      </c>
      <c r="R68" s="40">
        <v>3504.8</v>
      </c>
      <c r="S68" s="40"/>
      <c r="T68" s="43">
        <v>19367</v>
      </c>
      <c r="U68" s="86"/>
      <c r="V68" s="45">
        <f t="shared" si="3"/>
        <v>45504.561111111114</v>
      </c>
      <c r="W68" s="89">
        <f t="shared" si="1"/>
        <v>138.89444444444962</v>
      </c>
      <c r="X68" s="97"/>
      <c r="Y68" s="66"/>
      <c r="Z68" s="66"/>
      <c r="AA68" s="66"/>
      <c r="AB68" s="66"/>
      <c r="AC68" s="66"/>
    </row>
    <row r="69" spans="1:29" s="92" customFormat="1">
      <c r="A69" s="66"/>
      <c r="B69" s="67">
        <v>68</v>
      </c>
      <c r="C69" s="37">
        <v>45506</v>
      </c>
      <c r="D69" s="85">
        <v>0.54999999999999993</v>
      </c>
      <c r="E69" s="38">
        <v>6.31</v>
      </c>
      <c r="F69" s="39">
        <v>5.96</v>
      </c>
      <c r="G69" s="40">
        <v>1294319</v>
      </c>
      <c r="H69" s="36">
        <v>132599</v>
      </c>
      <c r="I69" s="40">
        <v>1125</v>
      </c>
      <c r="J69" s="36">
        <v>35</v>
      </c>
      <c r="K69" s="41">
        <v>856.8</v>
      </c>
      <c r="L69" s="41"/>
      <c r="M69" s="36">
        <v>9</v>
      </c>
      <c r="N69" s="42">
        <v>0.84599999999999997</v>
      </c>
      <c r="O69" s="43">
        <v>0.1</v>
      </c>
      <c r="P69" s="44">
        <v>0.2</v>
      </c>
      <c r="Q69" s="36">
        <v>13.8</v>
      </c>
      <c r="R69" s="40">
        <v>3383.4</v>
      </c>
      <c r="S69" s="40"/>
      <c r="T69" s="43">
        <v>19475</v>
      </c>
      <c r="U69" s="86"/>
      <c r="V69" s="45">
        <f t="shared" si="3"/>
        <v>45506.55</v>
      </c>
      <c r="W69" s="89">
        <f t="shared" si="1"/>
        <v>140.88333333333867</v>
      </c>
      <c r="X69" s="97"/>
      <c r="Y69" s="66"/>
      <c r="Z69" s="66"/>
      <c r="AA69" s="66"/>
      <c r="AB69" s="66"/>
      <c r="AC69" s="66"/>
    </row>
    <row r="70" spans="1:29" s="92" customFormat="1">
      <c r="A70" s="66"/>
      <c r="B70" s="67">
        <v>69</v>
      </c>
      <c r="C70" s="37">
        <v>45509</v>
      </c>
      <c r="D70" s="85">
        <v>0.5395833333333333</v>
      </c>
      <c r="E70" s="38">
        <v>6.25</v>
      </c>
      <c r="F70" s="39">
        <v>5.92</v>
      </c>
      <c r="G70" s="40">
        <v>1339246</v>
      </c>
      <c r="H70" s="36">
        <v>136901</v>
      </c>
      <c r="I70" s="40">
        <v>1125</v>
      </c>
      <c r="J70" s="36">
        <v>35</v>
      </c>
      <c r="K70" s="41">
        <v>832.7</v>
      </c>
      <c r="L70" s="41"/>
      <c r="M70" s="36">
        <v>9</v>
      </c>
      <c r="N70" s="42">
        <v>0.82199999999999995</v>
      </c>
      <c r="O70" s="43">
        <v>0.1</v>
      </c>
      <c r="P70" s="44">
        <v>0.2</v>
      </c>
      <c r="Q70" s="36">
        <v>13.8</v>
      </c>
      <c r="R70" s="40">
        <v>3200</v>
      </c>
      <c r="S70" s="40"/>
      <c r="T70" s="43">
        <v>19674</v>
      </c>
      <c r="U70" s="86"/>
      <c r="V70" s="45">
        <f t="shared" si="3"/>
        <v>45509.539583333331</v>
      </c>
      <c r="W70" s="89">
        <f t="shared" si="1"/>
        <v>143.87291666666715</v>
      </c>
      <c r="X70" s="97"/>
      <c r="Y70" s="66"/>
      <c r="Z70" s="66"/>
      <c r="AA70" s="66"/>
      <c r="AB70" s="66"/>
      <c r="AC70" s="66"/>
    </row>
    <row r="71" spans="1:29" s="92" customFormat="1">
      <c r="A71" s="66"/>
      <c r="B71" s="67">
        <v>70</v>
      </c>
      <c r="C71" s="37">
        <v>45511</v>
      </c>
      <c r="D71" s="85">
        <v>0.48680555555555555</v>
      </c>
      <c r="E71" s="38">
        <v>6.28</v>
      </c>
      <c r="F71" s="39">
        <v>5.88</v>
      </c>
      <c r="G71" s="40">
        <v>1368542</v>
      </c>
      <c r="H71" s="36">
        <v>139703</v>
      </c>
      <c r="I71" s="40">
        <v>1125</v>
      </c>
      <c r="J71" s="36">
        <v>35</v>
      </c>
      <c r="K71" s="41">
        <v>821</v>
      </c>
      <c r="L71" s="41"/>
      <c r="M71" s="36">
        <v>9</v>
      </c>
      <c r="N71" s="42">
        <v>0.81</v>
      </c>
      <c r="O71" s="43">
        <v>0.1</v>
      </c>
      <c r="P71" s="44">
        <v>0.2</v>
      </c>
      <c r="Q71" s="36">
        <v>13.8</v>
      </c>
      <c r="R71" s="40">
        <v>3082.2</v>
      </c>
      <c r="S71" s="40"/>
      <c r="T71" s="43">
        <v>19787</v>
      </c>
      <c r="U71" s="86"/>
      <c r="V71" s="45">
        <f t="shared" si="3"/>
        <v>45511.486805555556</v>
      </c>
      <c r="W71" s="89">
        <f t="shared" si="1"/>
        <v>145.82013888889196</v>
      </c>
      <c r="X71" s="97"/>
      <c r="Y71" s="66"/>
      <c r="Z71" s="66"/>
      <c r="AA71" s="66"/>
      <c r="AB71" s="66"/>
      <c r="AC71" s="66"/>
    </row>
    <row r="72" spans="1:29" s="92" customFormat="1">
      <c r="A72" s="66"/>
      <c r="B72" s="67">
        <v>71</v>
      </c>
      <c r="C72" s="37">
        <v>45513</v>
      </c>
      <c r="D72" s="85">
        <v>0.5395833333333333</v>
      </c>
      <c r="E72" s="38">
        <v>6.26</v>
      </c>
      <c r="F72" s="39">
        <v>5.8</v>
      </c>
      <c r="G72" s="40">
        <v>1399186</v>
      </c>
      <c r="H72" s="36">
        <v>142656</v>
      </c>
      <c r="I72" s="40">
        <v>1125</v>
      </c>
      <c r="J72" s="36">
        <v>35</v>
      </c>
      <c r="K72" s="41">
        <v>811.5</v>
      </c>
      <c r="L72" s="41"/>
      <c r="M72" s="36">
        <v>9</v>
      </c>
      <c r="N72" s="42">
        <v>0.79200000000000004</v>
      </c>
      <c r="O72" s="43">
        <v>0.1</v>
      </c>
      <c r="P72" s="44">
        <v>0.2</v>
      </c>
      <c r="Q72" s="36">
        <v>13.8</v>
      </c>
      <c r="R72" s="40">
        <v>2956.8</v>
      </c>
      <c r="S72" s="40"/>
      <c r="T72" s="43">
        <v>19903</v>
      </c>
      <c r="U72" s="86"/>
      <c r="V72" s="45">
        <f t="shared" si="3"/>
        <v>45513.539583333331</v>
      </c>
      <c r="W72" s="89">
        <f t="shared" si="1"/>
        <v>147.87291666666715</v>
      </c>
      <c r="X72" s="97"/>
      <c r="Y72" s="66"/>
      <c r="Z72" s="66"/>
      <c r="AA72" s="66"/>
      <c r="AB72" s="66"/>
      <c r="AC72" s="66"/>
    </row>
    <row r="73" spans="1:29" s="92" customFormat="1">
      <c r="A73" s="66"/>
      <c r="B73" s="67">
        <v>72</v>
      </c>
      <c r="C73" s="37">
        <v>45516</v>
      </c>
      <c r="D73" s="85">
        <v>0.53680555555555554</v>
      </c>
      <c r="E73" s="38">
        <v>6.35</v>
      </c>
      <c r="F73" s="39">
        <v>6.03</v>
      </c>
      <c r="G73" s="40">
        <v>1444361</v>
      </c>
      <c r="H73" s="36">
        <v>146969</v>
      </c>
      <c r="I73" s="40">
        <v>1125</v>
      </c>
      <c r="J73" s="36">
        <v>35</v>
      </c>
      <c r="K73" s="41">
        <v>790.8</v>
      </c>
      <c r="L73" s="41"/>
      <c r="M73" s="36">
        <v>9</v>
      </c>
      <c r="N73" s="42">
        <v>0.85499999999999998</v>
      </c>
      <c r="O73" s="43">
        <v>0.1</v>
      </c>
      <c r="P73" s="44">
        <v>0.2</v>
      </c>
      <c r="Q73" s="36">
        <v>13.8</v>
      </c>
      <c r="R73" s="40">
        <v>2777.7</v>
      </c>
      <c r="S73" s="40"/>
      <c r="T73" s="43">
        <v>20071</v>
      </c>
      <c r="U73" s="86"/>
      <c r="V73" s="45">
        <f t="shared" si="3"/>
        <v>45516.536805555559</v>
      </c>
      <c r="W73" s="89">
        <f t="shared" si="1"/>
        <v>150.87013888889487</v>
      </c>
      <c r="X73" s="97"/>
      <c r="Y73" s="66"/>
      <c r="Z73" s="66"/>
      <c r="AA73" s="66"/>
      <c r="AB73" s="66"/>
      <c r="AC73" s="66"/>
    </row>
    <row r="74" spans="1:29" s="92" customFormat="1">
      <c r="A74" s="66"/>
      <c r="B74" s="59">
        <v>73</v>
      </c>
      <c r="C74" s="37">
        <v>45518</v>
      </c>
      <c r="D74" s="85">
        <v>0.54999999999999993</v>
      </c>
      <c r="E74" s="38">
        <v>6.26</v>
      </c>
      <c r="F74" s="39">
        <v>5.79</v>
      </c>
      <c r="G74" s="40">
        <v>1474987</v>
      </c>
      <c r="H74" s="36">
        <v>149866</v>
      </c>
      <c r="I74" s="40">
        <v>1125</v>
      </c>
      <c r="J74" s="36">
        <v>35</v>
      </c>
      <c r="K74" s="41">
        <v>788.7</v>
      </c>
      <c r="L74" s="41"/>
      <c r="M74" s="36">
        <v>9</v>
      </c>
      <c r="N74" s="42">
        <v>0.78500000000000003</v>
      </c>
      <c r="O74" s="43">
        <v>0.1</v>
      </c>
      <c r="P74" s="44">
        <v>0.2</v>
      </c>
      <c r="Q74" s="36">
        <v>13.8</v>
      </c>
      <c r="R74" s="40">
        <v>2658.8</v>
      </c>
      <c r="S74" s="40"/>
      <c r="T74" s="43">
        <v>20186</v>
      </c>
      <c r="U74" s="86" t="s">
        <v>137</v>
      </c>
      <c r="V74" s="45">
        <f t="shared" si="3"/>
        <v>45518.55</v>
      </c>
      <c r="W74" s="89">
        <f t="shared" si="1"/>
        <v>152.88333333333867</v>
      </c>
      <c r="X74" s="97"/>
      <c r="Y74" s="66"/>
      <c r="Z74" s="66"/>
      <c r="AA74" s="66"/>
      <c r="AB74" s="66"/>
      <c r="AC74" s="66"/>
    </row>
    <row r="75" spans="1:29" s="92" customFormat="1">
      <c r="A75" s="66"/>
      <c r="B75" s="67">
        <v>74</v>
      </c>
      <c r="C75" s="37">
        <v>45520</v>
      </c>
      <c r="D75" s="85">
        <v>0.6743055555555556</v>
      </c>
      <c r="E75" s="38">
        <v>6.3</v>
      </c>
      <c r="F75" s="39">
        <v>6</v>
      </c>
      <c r="G75" s="40">
        <v>1506984</v>
      </c>
      <c r="H75" s="36">
        <v>152923</v>
      </c>
      <c r="I75" s="40">
        <v>1100</v>
      </c>
      <c r="J75" s="36">
        <v>35</v>
      </c>
      <c r="K75" s="41">
        <v>774.2</v>
      </c>
      <c r="L75" s="41"/>
      <c r="M75" s="36">
        <v>9</v>
      </c>
      <c r="N75" s="42">
        <v>0.83499999999999996</v>
      </c>
      <c r="O75" s="43">
        <v>0.1</v>
      </c>
      <c r="P75" s="44">
        <v>0.2</v>
      </c>
      <c r="Q75" s="36">
        <v>13.8</v>
      </c>
      <c r="R75" s="40">
        <v>2533.5</v>
      </c>
      <c r="S75" s="40"/>
      <c r="T75" s="43">
        <v>743.5</v>
      </c>
      <c r="U75" s="86"/>
      <c r="V75" s="45">
        <f t="shared" si="3"/>
        <v>45520.674305555556</v>
      </c>
      <c r="W75" s="89">
        <f t="shared" si="1"/>
        <v>155.00763888889196</v>
      </c>
      <c r="X75" s="97"/>
      <c r="Y75" s="66"/>
      <c r="Z75" s="66"/>
      <c r="AA75" s="66"/>
      <c r="AB75" s="66"/>
      <c r="AC75" s="66"/>
    </row>
    <row r="76" spans="1:29" s="92" customFormat="1">
      <c r="A76" s="66"/>
      <c r="B76" s="67">
        <v>75</v>
      </c>
      <c r="C76" s="37">
        <v>45523</v>
      </c>
      <c r="D76" s="85">
        <v>0.54305555555555551</v>
      </c>
      <c r="E76" s="38">
        <v>6.25</v>
      </c>
      <c r="F76" s="39">
        <v>5.95</v>
      </c>
      <c r="G76" s="40">
        <v>1550397</v>
      </c>
      <c r="H76" s="36">
        <v>157051</v>
      </c>
      <c r="I76" s="40">
        <v>1100</v>
      </c>
      <c r="J76" s="36">
        <v>35</v>
      </c>
      <c r="K76" s="41">
        <v>764.8</v>
      </c>
      <c r="L76" s="41"/>
      <c r="M76" s="36">
        <v>9</v>
      </c>
      <c r="N76" s="42">
        <v>0.81200000000000006</v>
      </c>
      <c r="O76" s="43">
        <v>0.1</v>
      </c>
      <c r="P76" s="44">
        <v>0.2</v>
      </c>
      <c r="Q76" s="36">
        <v>13.8</v>
      </c>
      <c r="R76" s="40">
        <v>2363.5</v>
      </c>
      <c r="S76" s="40"/>
      <c r="T76" s="43">
        <v>914.1</v>
      </c>
      <c r="U76" s="86"/>
      <c r="V76" s="45">
        <f t="shared" si="3"/>
        <v>45523.543055555558</v>
      </c>
      <c r="W76" s="89">
        <f t="shared" si="1"/>
        <v>157.87638888889342</v>
      </c>
      <c r="X76" s="97"/>
      <c r="Y76" s="66"/>
      <c r="Z76" s="66"/>
      <c r="AA76" s="66"/>
      <c r="AB76" s="66"/>
      <c r="AC76" s="66"/>
    </row>
    <row r="77" spans="1:29" s="92" customFormat="1">
      <c r="A77" s="66"/>
      <c r="B77" s="67">
        <v>76</v>
      </c>
      <c r="C77" s="37">
        <v>45525</v>
      </c>
      <c r="D77" s="85">
        <v>0.58194444444444449</v>
      </c>
      <c r="E77" s="38">
        <v>6.26</v>
      </c>
      <c r="F77" s="39">
        <v>5.95</v>
      </c>
      <c r="G77" s="40">
        <v>1581321</v>
      </c>
      <c r="H77" s="36">
        <v>159985</v>
      </c>
      <c r="I77" s="40">
        <v>1100</v>
      </c>
      <c r="J77" s="36">
        <v>35</v>
      </c>
      <c r="K77" s="41">
        <v>752.2</v>
      </c>
      <c r="L77" s="41"/>
      <c r="M77" s="36">
        <v>9</v>
      </c>
      <c r="N77" s="42">
        <v>0.84699999999999998</v>
      </c>
      <c r="O77" s="43">
        <v>0.1</v>
      </c>
      <c r="P77" s="44">
        <v>0.2</v>
      </c>
      <c r="Q77" s="36">
        <v>13.8</v>
      </c>
      <c r="R77" s="40">
        <v>2243.3000000000002</v>
      </c>
      <c r="S77" s="40"/>
      <c r="T77" s="43">
        <v>1032.5999999999999</v>
      </c>
      <c r="U77" s="86"/>
      <c r="V77" s="45">
        <f t="shared" si="3"/>
        <v>45525.581944444442</v>
      </c>
      <c r="W77" s="89">
        <f t="shared" si="1"/>
        <v>159.9152777777781</v>
      </c>
      <c r="X77" s="97"/>
      <c r="Y77" s="66"/>
      <c r="Z77" s="66"/>
      <c r="AA77" s="66"/>
      <c r="AB77" s="66"/>
      <c r="AC77" s="66"/>
    </row>
    <row r="78" spans="1:29" s="92" customFormat="1">
      <c r="A78" s="66"/>
      <c r="B78" s="67">
        <v>77</v>
      </c>
      <c r="C78" s="37">
        <v>45527</v>
      </c>
      <c r="D78" s="85">
        <v>0.56111111111111112</v>
      </c>
      <c r="E78" s="38">
        <v>6.25</v>
      </c>
      <c r="F78" s="39">
        <v>5.95</v>
      </c>
      <c r="G78" s="40">
        <v>1611173</v>
      </c>
      <c r="H78" s="36">
        <v>162833</v>
      </c>
      <c r="I78" s="40">
        <v>1100</v>
      </c>
      <c r="J78" s="36">
        <v>35</v>
      </c>
      <c r="K78" s="41">
        <v>743.5</v>
      </c>
      <c r="L78" s="41"/>
      <c r="M78" s="36">
        <v>9</v>
      </c>
      <c r="N78" s="42">
        <v>0.85399999999999998</v>
      </c>
      <c r="O78" s="43">
        <v>0.1</v>
      </c>
      <c r="P78" s="44">
        <v>0.2</v>
      </c>
      <c r="Q78" s="36">
        <v>13.8</v>
      </c>
      <c r="R78" s="40">
        <v>2127.6</v>
      </c>
      <c r="S78" s="40"/>
      <c r="T78" s="43">
        <v>1144.3</v>
      </c>
      <c r="U78" s="86"/>
      <c r="V78" s="45">
        <f t="shared" si="3"/>
        <v>45527.561111111114</v>
      </c>
      <c r="W78" s="89">
        <f t="shared" si="1"/>
        <v>161.89444444444962</v>
      </c>
      <c r="X78" s="97"/>
      <c r="Y78" s="66"/>
      <c r="Z78" s="66"/>
      <c r="AA78" s="66"/>
      <c r="AB78" s="66"/>
      <c r="AC78" s="66"/>
    </row>
    <row r="79" spans="1:29" s="92" customFormat="1">
      <c r="A79" s="66"/>
      <c r="B79" s="67">
        <v>78</v>
      </c>
      <c r="C79" s="37">
        <v>45530</v>
      </c>
      <c r="D79" s="85">
        <v>0.54375000000000007</v>
      </c>
      <c r="E79" s="38">
        <v>6.25</v>
      </c>
      <c r="F79" s="39">
        <v>5.96</v>
      </c>
      <c r="G79" s="40">
        <v>1656617</v>
      </c>
      <c r="H79" s="36">
        <v>167124</v>
      </c>
      <c r="I79" s="40">
        <v>1100</v>
      </c>
      <c r="J79" s="36">
        <v>35</v>
      </c>
      <c r="K79" s="41">
        <v>731</v>
      </c>
      <c r="L79" s="41"/>
      <c r="M79" s="36">
        <v>9</v>
      </c>
      <c r="N79" s="42">
        <v>0.84</v>
      </c>
      <c r="O79" s="43">
        <v>0.1</v>
      </c>
      <c r="P79" s="44">
        <v>0.2</v>
      </c>
      <c r="Q79" s="36">
        <v>13.8</v>
      </c>
      <c r="R79" s="40">
        <v>1951.2</v>
      </c>
      <c r="S79" s="40">
        <v>1901.6</v>
      </c>
      <c r="T79" s="43">
        <v>1324.6</v>
      </c>
      <c r="U79" s="86" t="s">
        <v>138</v>
      </c>
      <c r="V79" s="45">
        <f t="shared" si="3"/>
        <v>45530.543749999997</v>
      </c>
      <c r="W79" s="89">
        <f t="shared" si="1"/>
        <v>164.87708333333285</v>
      </c>
      <c r="X79" s="97"/>
      <c r="Y79" s="66"/>
      <c r="Z79" s="66"/>
      <c r="AA79" s="66"/>
      <c r="AB79" s="66"/>
      <c r="AC79" s="66"/>
    </row>
    <row r="80" spans="1:29" s="92" customFormat="1">
      <c r="A80" s="66"/>
      <c r="B80" s="59">
        <v>79</v>
      </c>
      <c r="C80" s="37">
        <v>45532</v>
      </c>
      <c r="D80" s="85">
        <v>0.55347222222222225</v>
      </c>
      <c r="E80" s="38">
        <v>6.25</v>
      </c>
      <c r="F80" s="39">
        <v>5.97</v>
      </c>
      <c r="G80" s="40">
        <v>1687274</v>
      </c>
      <c r="H80" s="36">
        <v>170017</v>
      </c>
      <c r="I80" s="40">
        <v>1100</v>
      </c>
      <c r="J80" s="36">
        <v>35</v>
      </c>
      <c r="K80" s="41">
        <v>723.2</v>
      </c>
      <c r="L80" s="41"/>
      <c r="M80" s="36">
        <v>9</v>
      </c>
      <c r="N80" s="42">
        <v>0.81200000000000006</v>
      </c>
      <c r="O80" s="43">
        <v>0.1</v>
      </c>
      <c r="P80" s="44">
        <v>0.2</v>
      </c>
      <c r="Q80" s="36">
        <v>13.8</v>
      </c>
      <c r="R80" s="40">
        <v>6466.3</v>
      </c>
      <c r="S80" s="40">
        <v>6533.5</v>
      </c>
      <c r="T80" s="43">
        <v>1435.5</v>
      </c>
      <c r="U80" s="86"/>
      <c r="V80" s="45">
        <f t="shared" si="3"/>
        <v>45532.553472222222</v>
      </c>
      <c r="W80" s="89">
        <f t="shared" si="1"/>
        <v>166.88680555555766</v>
      </c>
      <c r="X80" s="97"/>
      <c r="Y80" s="66"/>
      <c r="Z80" s="66"/>
      <c r="AA80" s="66"/>
      <c r="AB80" s="66"/>
      <c r="AC80" s="66"/>
    </row>
    <row r="81" spans="1:29" s="92" customFormat="1">
      <c r="A81" s="66"/>
      <c r="B81" s="67">
        <v>80</v>
      </c>
      <c r="C81" s="37">
        <v>45534</v>
      </c>
      <c r="D81" s="85">
        <v>0.54305555555555551</v>
      </c>
      <c r="E81" s="38">
        <v>6.2</v>
      </c>
      <c r="F81" s="39">
        <v>5.91</v>
      </c>
      <c r="G81" s="40">
        <v>1717505</v>
      </c>
      <c r="H81" s="36">
        <v>172879</v>
      </c>
      <c r="I81" s="40">
        <v>1100</v>
      </c>
      <c r="J81" s="36">
        <v>35</v>
      </c>
      <c r="K81" s="41">
        <v>715.4</v>
      </c>
      <c r="L81" s="41"/>
      <c r="M81" s="36">
        <v>9</v>
      </c>
      <c r="N81" s="42">
        <v>0.76500000000000001</v>
      </c>
      <c r="O81" s="43">
        <v>0.1</v>
      </c>
      <c r="P81" s="44">
        <v>0.2</v>
      </c>
      <c r="Q81" s="36">
        <v>13.8</v>
      </c>
      <c r="R81" s="40">
        <v>6347.3</v>
      </c>
      <c r="S81" s="40"/>
      <c r="T81" s="43">
        <v>1540</v>
      </c>
      <c r="U81" s="86"/>
      <c r="V81" s="45">
        <f t="shared" si="3"/>
        <v>45534.543055555558</v>
      </c>
      <c r="W81" s="89">
        <f t="shared" si="1"/>
        <v>168.87638888889342</v>
      </c>
      <c r="X81" s="97"/>
      <c r="Y81" s="66"/>
      <c r="Z81" s="66"/>
      <c r="AA81" s="66"/>
      <c r="AB81" s="66"/>
      <c r="AC81" s="66"/>
    </row>
    <row r="82" spans="1:29" s="92" customFormat="1">
      <c r="A82" s="66"/>
      <c r="B82" s="67">
        <v>81</v>
      </c>
      <c r="C82" s="37">
        <v>45537</v>
      </c>
      <c r="D82" s="85">
        <v>0.53125</v>
      </c>
      <c r="E82" s="38">
        <v>6.21</v>
      </c>
      <c r="F82" s="39">
        <v>5.9</v>
      </c>
      <c r="G82" s="40">
        <v>1763186</v>
      </c>
      <c r="H82" s="36">
        <v>177180</v>
      </c>
      <c r="I82" s="40">
        <v>1100</v>
      </c>
      <c r="J82" s="36">
        <v>35</v>
      </c>
      <c r="K82" s="41">
        <v>705.5</v>
      </c>
      <c r="L82" s="41"/>
      <c r="M82" s="36">
        <v>9</v>
      </c>
      <c r="N82" s="42">
        <v>0.78100000000000003</v>
      </c>
      <c r="O82" s="43">
        <v>0.1</v>
      </c>
      <c r="P82" s="44">
        <v>0.2</v>
      </c>
      <c r="Q82" s="36">
        <v>13.8</v>
      </c>
      <c r="R82" s="40">
        <v>6169.4</v>
      </c>
      <c r="S82" s="40"/>
      <c r="T82" s="43">
        <v>1725</v>
      </c>
      <c r="U82" s="86"/>
      <c r="V82" s="45">
        <f t="shared" si="3"/>
        <v>45537.53125</v>
      </c>
      <c r="W82" s="89">
        <f t="shared" si="1"/>
        <v>171.86458333333576</v>
      </c>
      <c r="X82" s="97"/>
      <c r="Y82" s="66"/>
      <c r="Z82" s="66"/>
      <c r="AA82" s="66"/>
      <c r="AB82" s="66"/>
      <c r="AC82" s="66"/>
    </row>
    <row r="83" spans="1:29" s="92" customFormat="1">
      <c r="A83" s="66"/>
      <c r="B83" s="67">
        <v>82</v>
      </c>
      <c r="C83" s="37">
        <v>45539</v>
      </c>
      <c r="D83" s="85">
        <v>0.53472222222222221</v>
      </c>
      <c r="E83" s="38">
        <v>6.2</v>
      </c>
      <c r="F83" s="39">
        <v>5.92</v>
      </c>
      <c r="G83" s="40">
        <v>1793746</v>
      </c>
      <c r="H83" s="36">
        <v>180063</v>
      </c>
      <c r="I83" s="40">
        <v>1100</v>
      </c>
      <c r="J83" s="36">
        <v>35</v>
      </c>
      <c r="K83" s="41">
        <v>696</v>
      </c>
      <c r="L83" s="41"/>
      <c r="M83" s="36">
        <v>9</v>
      </c>
      <c r="N83" s="42">
        <v>0.84699999999999998</v>
      </c>
      <c r="O83" s="43">
        <v>0.1</v>
      </c>
      <c r="P83" s="44">
        <v>0.2</v>
      </c>
      <c r="Q83" s="36">
        <v>13.8</v>
      </c>
      <c r="R83" s="40">
        <v>6050.8</v>
      </c>
      <c r="S83" s="40"/>
      <c r="T83" s="43">
        <v>1837.6</v>
      </c>
      <c r="U83" s="86"/>
      <c r="V83" s="45">
        <f t="shared" si="3"/>
        <v>45539.534722222219</v>
      </c>
      <c r="W83" s="89">
        <f t="shared" si="1"/>
        <v>173.86805555555475</v>
      </c>
      <c r="X83" s="97"/>
      <c r="Y83" s="66"/>
      <c r="Z83" s="66"/>
      <c r="AA83" s="66"/>
      <c r="AB83" s="66"/>
      <c r="AC83" s="66"/>
    </row>
    <row r="84" spans="1:29" s="92" customFormat="1">
      <c r="A84" s="66"/>
      <c r="B84" s="67">
        <v>83</v>
      </c>
      <c r="C84" s="37">
        <v>45541</v>
      </c>
      <c r="D84" s="85">
        <v>0.47361111111111115</v>
      </c>
      <c r="E84" s="38">
        <v>6.2</v>
      </c>
      <c r="F84" s="39">
        <v>5.91</v>
      </c>
      <c r="G84" s="40">
        <v>1823245</v>
      </c>
      <c r="H84" s="36">
        <v>182852</v>
      </c>
      <c r="I84" s="40">
        <v>1100</v>
      </c>
      <c r="J84" s="36">
        <v>35</v>
      </c>
      <c r="K84" s="41">
        <v>691.5</v>
      </c>
      <c r="L84" s="41"/>
      <c r="M84" s="36">
        <v>9</v>
      </c>
      <c r="N84" s="42">
        <v>0.81200000000000006</v>
      </c>
      <c r="O84" s="43">
        <v>0.1</v>
      </c>
      <c r="P84" s="44">
        <v>0.2</v>
      </c>
      <c r="Q84" s="36">
        <v>13.8</v>
      </c>
      <c r="R84" s="40">
        <v>5936.5</v>
      </c>
      <c r="S84" s="40"/>
      <c r="T84" s="43">
        <v>1935.1</v>
      </c>
      <c r="U84" s="86"/>
      <c r="V84" s="45">
        <f t="shared" si="3"/>
        <v>45541.473611111112</v>
      </c>
      <c r="W84" s="89">
        <f t="shared" si="1"/>
        <v>175.80694444444816</v>
      </c>
      <c r="X84" s="97"/>
      <c r="Y84" s="66"/>
      <c r="Z84" s="66"/>
      <c r="AA84" s="66"/>
      <c r="AB84" s="66"/>
      <c r="AC84" s="66"/>
    </row>
    <row r="85" spans="1:29" s="92" customFormat="1">
      <c r="A85" s="66"/>
      <c r="B85" s="67">
        <v>84</v>
      </c>
      <c r="C85" s="37">
        <v>45544</v>
      </c>
      <c r="D85" s="85">
        <v>0.69097222222222221</v>
      </c>
      <c r="E85" s="38">
        <v>6.21</v>
      </c>
      <c r="F85" s="39">
        <v>5.9</v>
      </c>
      <c r="G85" s="40">
        <v>1872463</v>
      </c>
      <c r="H85" s="36">
        <v>187482</v>
      </c>
      <c r="I85" s="40">
        <v>1100</v>
      </c>
      <c r="J85" s="36">
        <v>35</v>
      </c>
      <c r="K85" s="41">
        <v>679.5</v>
      </c>
      <c r="L85" s="41"/>
      <c r="M85" s="36">
        <v>9</v>
      </c>
      <c r="N85" s="42">
        <v>0.876</v>
      </c>
      <c r="O85" s="43">
        <v>0.1</v>
      </c>
      <c r="P85" s="44">
        <v>0.2</v>
      </c>
      <c r="Q85" s="36">
        <v>13.8</v>
      </c>
      <c r="R85" s="40">
        <v>5745.4</v>
      </c>
      <c r="S85" s="40"/>
      <c r="T85" s="43">
        <v>2134.1</v>
      </c>
      <c r="U85" s="86"/>
      <c r="V85" s="45">
        <f t="shared" si="3"/>
        <v>45544.690972222219</v>
      </c>
      <c r="W85" s="89">
        <f t="shared" si="1"/>
        <v>179.02430555555475</v>
      </c>
      <c r="X85" s="97"/>
      <c r="Y85" s="66"/>
      <c r="Z85" s="66"/>
      <c r="AA85" s="66"/>
      <c r="AB85" s="66"/>
      <c r="AC85" s="66"/>
    </row>
    <row r="86" spans="1:29" s="92" customFormat="1">
      <c r="A86" s="66"/>
      <c r="B86" s="59">
        <v>85</v>
      </c>
      <c r="C86" s="37">
        <v>45546</v>
      </c>
      <c r="D86" s="85">
        <v>0.54791666666666672</v>
      </c>
      <c r="E86" s="38">
        <v>6.21</v>
      </c>
      <c r="F86" s="39">
        <v>5.87</v>
      </c>
      <c r="G86" s="40">
        <v>1900700</v>
      </c>
      <c r="H86" s="36">
        <v>190154</v>
      </c>
      <c r="I86" s="40">
        <v>1100</v>
      </c>
      <c r="J86" s="36">
        <v>35</v>
      </c>
      <c r="K86" s="41">
        <v>671.7</v>
      </c>
      <c r="L86" s="41"/>
      <c r="M86" s="36">
        <v>9</v>
      </c>
      <c r="N86" s="42">
        <v>0.83399999999999996</v>
      </c>
      <c r="O86" s="43">
        <v>0.1</v>
      </c>
      <c r="P86" s="44">
        <v>0.2</v>
      </c>
      <c r="Q86" s="36">
        <v>13.8</v>
      </c>
      <c r="R86" s="40">
        <v>5636.5</v>
      </c>
      <c r="S86" s="40"/>
      <c r="T86" s="43">
        <v>2239.8000000000002</v>
      </c>
      <c r="U86" s="86"/>
      <c r="V86" s="45">
        <f t="shared" si="3"/>
        <v>45546.54791666667</v>
      </c>
      <c r="W86" s="89">
        <f t="shared" si="1"/>
        <v>180.88125000000582</v>
      </c>
      <c r="X86" s="97"/>
      <c r="Y86" s="66"/>
      <c r="Z86" s="66"/>
      <c r="AA86" s="66"/>
      <c r="AB86" s="66"/>
      <c r="AC86" s="66"/>
    </row>
    <row r="87" spans="1:29" s="92" customFormat="1">
      <c r="A87" s="66"/>
      <c r="B87" s="67">
        <v>86</v>
      </c>
      <c r="C87" s="37">
        <v>45548</v>
      </c>
      <c r="D87" s="85">
        <v>0.67152777777777783</v>
      </c>
      <c r="E87" s="38">
        <v>6.2</v>
      </c>
      <c r="F87" s="39">
        <v>5.89</v>
      </c>
      <c r="G87" s="40">
        <v>1932930</v>
      </c>
      <c r="H87" s="36">
        <v>193210</v>
      </c>
      <c r="I87" s="40">
        <v>1100</v>
      </c>
      <c r="J87" s="36">
        <v>35</v>
      </c>
      <c r="K87" s="41">
        <v>663.9</v>
      </c>
      <c r="L87" s="41"/>
      <c r="M87" s="36">
        <v>9</v>
      </c>
      <c r="N87" s="42">
        <v>0.80300000000000005</v>
      </c>
      <c r="O87" s="43">
        <v>0.1</v>
      </c>
      <c r="P87" s="44">
        <v>0.2</v>
      </c>
      <c r="Q87" s="36">
        <v>13.8</v>
      </c>
      <c r="R87" s="40">
        <v>5511.1</v>
      </c>
      <c r="S87" s="40"/>
      <c r="T87" s="43">
        <v>2352.3000000000002</v>
      </c>
      <c r="U87" s="86"/>
      <c r="V87" s="45">
        <f t="shared" si="3"/>
        <v>45548.671527777777</v>
      </c>
      <c r="W87" s="89">
        <f t="shared" si="1"/>
        <v>183.0048611111124</v>
      </c>
      <c r="X87" s="97"/>
      <c r="Y87" s="66"/>
      <c r="Z87" s="66"/>
      <c r="AA87" s="66"/>
      <c r="AB87" s="66"/>
      <c r="AC87" s="66"/>
    </row>
    <row r="88" spans="1:29" s="92" customFormat="1">
      <c r="A88" s="66"/>
      <c r="B88" s="67">
        <v>87</v>
      </c>
      <c r="C88" s="37">
        <v>45551</v>
      </c>
      <c r="D88" s="85">
        <v>0.68333333333333324</v>
      </c>
      <c r="E88" s="38">
        <v>6.2</v>
      </c>
      <c r="F88" s="39">
        <v>5.88</v>
      </c>
      <c r="G88" s="40">
        <v>1978698</v>
      </c>
      <c r="H88" s="36">
        <v>197543</v>
      </c>
      <c r="I88" s="40">
        <v>1100</v>
      </c>
      <c r="J88" s="36">
        <v>35</v>
      </c>
      <c r="K88" s="41">
        <v>655.1</v>
      </c>
      <c r="L88" s="41"/>
      <c r="M88" s="36">
        <v>9</v>
      </c>
      <c r="N88" s="42">
        <v>0.80900000000000005</v>
      </c>
      <c r="O88" s="43">
        <v>0.1</v>
      </c>
      <c r="P88" s="44">
        <v>0.2</v>
      </c>
      <c r="Q88" s="36">
        <v>13.8</v>
      </c>
      <c r="R88" s="40">
        <v>5333.4</v>
      </c>
      <c r="S88" s="40"/>
      <c r="T88" s="43">
        <v>2524.6999999999998</v>
      </c>
      <c r="U88" s="86"/>
      <c r="V88" s="45">
        <f t="shared" si="3"/>
        <v>45551.683333333334</v>
      </c>
      <c r="W88" s="89">
        <f t="shared" si="1"/>
        <v>186.01666666667006</v>
      </c>
      <c r="X88" s="97"/>
      <c r="Y88" s="66"/>
      <c r="Z88" s="66"/>
      <c r="AA88" s="66"/>
      <c r="AB88" s="66"/>
      <c r="AC88" s="66"/>
    </row>
    <row r="89" spans="1:29" s="92" customFormat="1">
      <c r="A89" s="66"/>
      <c r="B89" s="67">
        <v>88</v>
      </c>
      <c r="C89" s="37">
        <v>45553</v>
      </c>
      <c r="D89" s="85">
        <v>0.57430555555555551</v>
      </c>
      <c r="E89" s="38">
        <v>6.2</v>
      </c>
      <c r="F89" s="39">
        <v>5.89</v>
      </c>
      <c r="G89" s="40">
        <v>2007624</v>
      </c>
      <c r="H89" s="36">
        <v>200264</v>
      </c>
      <c r="I89" s="40">
        <v>1100</v>
      </c>
      <c r="J89" s="36">
        <v>35</v>
      </c>
      <c r="K89" s="41">
        <v>646.20000000000005</v>
      </c>
      <c r="L89" s="41"/>
      <c r="M89" s="36">
        <v>9</v>
      </c>
      <c r="N89" s="42">
        <v>0.84099999999999997</v>
      </c>
      <c r="O89" s="43">
        <v>0.1</v>
      </c>
      <c r="P89" s="44">
        <v>0.2</v>
      </c>
      <c r="Q89" s="36">
        <v>13.8</v>
      </c>
      <c r="R89" s="40">
        <v>5223.2</v>
      </c>
      <c r="S89" s="40"/>
      <c r="T89" s="43">
        <v>2626.3</v>
      </c>
      <c r="U89" s="86"/>
      <c r="V89" s="45">
        <f t="shared" si="3"/>
        <v>45553.574305555558</v>
      </c>
      <c r="W89" s="89">
        <f t="shared" si="1"/>
        <v>187.90763888889342</v>
      </c>
      <c r="X89" s="97"/>
      <c r="Y89" s="66"/>
      <c r="Z89" s="66"/>
      <c r="AA89" s="66"/>
      <c r="AB89" s="66"/>
      <c r="AC89" s="66"/>
    </row>
    <row r="90" spans="1:29" s="92" customFormat="1">
      <c r="A90" s="66"/>
      <c r="B90" s="67">
        <v>89</v>
      </c>
      <c r="C90" s="37">
        <v>45555</v>
      </c>
      <c r="D90" s="85">
        <v>0.59583333333333333</v>
      </c>
      <c r="E90" s="38">
        <v>6.2</v>
      </c>
      <c r="F90" s="39">
        <v>5.9</v>
      </c>
      <c r="G90" s="40">
        <v>2038480</v>
      </c>
      <c r="H90" s="36">
        <v>203173</v>
      </c>
      <c r="I90" s="40">
        <v>1100</v>
      </c>
      <c r="J90" s="36">
        <v>35</v>
      </c>
      <c r="K90" s="41">
        <v>637.79999999999995</v>
      </c>
      <c r="L90" s="41"/>
      <c r="M90" s="36">
        <v>9</v>
      </c>
      <c r="N90" s="42">
        <v>0.82199999999999995</v>
      </c>
      <c r="O90" s="43">
        <v>0.1</v>
      </c>
      <c r="P90" s="44">
        <v>0.2</v>
      </c>
      <c r="Q90" s="36">
        <v>13.8</v>
      </c>
      <c r="R90" s="40">
        <v>5105.3999999999996</v>
      </c>
      <c r="S90" s="40"/>
      <c r="T90" s="43">
        <v>2741.1</v>
      </c>
      <c r="U90" s="86"/>
      <c r="V90" s="45">
        <f t="shared" si="3"/>
        <v>45555.595833333333</v>
      </c>
      <c r="W90" s="89">
        <f t="shared" si="1"/>
        <v>189.92916666666861</v>
      </c>
      <c r="X90" s="97"/>
      <c r="Y90" s="66"/>
      <c r="Z90" s="66"/>
      <c r="AA90" s="66"/>
      <c r="AB90" s="66"/>
      <c r="AC90" s="66"/>
    </row>
    <row r="91" spans="1:29" s="92" customFormat="1">
      <c r="A91" s="66"/>
      <c r="B91" s="67">
        <v>90</v>
      </c>
      <c r="C91" s="37">
        <v>45558</v>
      </c>
      <c r="D91" s="85">
        <v>0.57013888888888886</v>
      </c>
      <c r="E91" s="38">
        <v>6.21</v>
      </c>
      <c r="F91" s="39">
        <v>5.89</v>
      </c>
      <c r="G91" s="40">
        <v>2083971</v>
      </c>
      <c r="H91" s="36">
        <v>207453</v>
      </c>
      <c r="I91" s="40">
        <v>1100</v>
      </c>
      <c r="J91" s="36">
        <v>35</v>
      </c>
      <c r="K91" s="41">
        <v>625.9</v>
      </c>
      <c r="L91" s="41"/>
      <c r="M91" s="36">
        <v>9</v>
      </c>
      <c r="N91" s="42">
        <v>0.84899999999999998</v>
      </c>
      <c r="O91" s="43">
        <v>0.1</v>
      </c>
      <c r="P91" s="44">
        <v>0.2</v>
      </c>
      <c r="Q91" s="36">
        <v>13.8</v>
      </c>
      <c r="R91" s="40">
        <v>4930.8</v>
      </c>
      <c r="S91" s="40"/>
      <c r="T91" s="43">
        <v>2917.6</v>
      </c>
      <c r="U91" s="86"/>
      <c r="V91" s="45">
        <f t="shared" si="3"/>
        <v>45558.570138888892</v>
      </c>
      <c r="W91" s="89">
        <f t="shared" si="1"/>
        <v>192.90347222222772</v>
      </c>
      <c r="X91" s="97"/>
      <c r="Y91" s="66"/>
      <c r="Z91" s="66"/>
      <c r="AA91" s="66"/>
      <c r="AB91" s="66"/>
      <c r="AC91" s="66"/>
    </row>
    <row r="92" spans="1:29" s="92" customFormat="1">
      <c r="A92" s="66"/>
      <c r="B92" s="59">
        <v>91</v>
      </c>
      <c r="C92" s="37">
        <v>45560</v>
      </c>
      <c r="D92" s="85">
        <v>0.55625000000000002</v>
      </c>
      <c r="E92" s="38">
        <v>6.2</v>
      </c>
      <c r="F92" s="39">
        <v>5.87</v>
      </c>
      <c r="G92" s="40">
        <v>2114470</v>
      </c>
      <c r="H92" s="36">
        <v>210311</v>
      </c>
      <c r="I92" s="40">
        <v>1100</v>
      </c>
      <c r="J92" s="36">
        <v>35</v>
      </c>
      <c r="K92" s="41">
        <v>620.5</v>
      </c>
      <c r="L92" s="41"/>
      <c r="M92" s="36">
        <v>9</v>
      </c>
      <c r="N92" s="42">
        <v>0.85599999999999998</v>
      </c>
      <c r="O92" s="43">
        <v>0.1</v>
      </c>
      <c r="P92" s="44">
        <v>0.2</v>
      </c>
      <c r="Q92" s="36">
        <v>13.8</v>
      </c>
      <c r="R92" s="40">
        <v>4815.3</v>
      </c>
      <c r="S92" s="40"/>
      <c r="T92" s="43">
        <v>3022</v>
      </c>
      <c r="U92" s="86"/>
      <c r="V92" s="45">
        <f t="shared" si="3"/>
        <v>45560.556250000001</v>
      </c>
      <c r="W92" s="89">
        <f t="shared" si="1"/>
        <v>194.88958333333721</v>
      </c>
      <c r="X92" s="97"/>
      <c r="Y92" s="66"/>
      <c r="Z92" s="66"/>
      <c r="AA92" s="66"/>
      <c r="AB92" s="66"/>
      <c r="AC92" s="66"/>
    </row>
    <row r="93" spans="1:29" s="92" customFormat="1">
      <c r="A93" s="66"/>
      <c r="B93" s="67">
        <v>92</v>
      </c>
      <c r="C93" s="37">
        <v>45562</v>
      </c>
      <c r="D93" s="85">
        <v>0.57916666666666672</v>
      </c>
      <c r="E93" s="38">
        <v>6.21</v>
      </c>
      <c r="F93" s="39">
        <v>5.88</v>
      </c>
      <c r="G93" s="40">
        <v>2145546</v>
      </c>
      <c r="H93" s="36">
        <v>213222</v>
      </c>
      <c r="I93" s="40">
        <v>1100</v>
      </c>
      <c r="J93" s="36">
        <v>35</v>
      </c>
      <c r="K93" s="41">
        <v>609.20000000000005</v>
      </c>
      <c r="L93" s="41"/>
      <c r="M93" s="36">
        <v>9</v>
      </c>
      <c r="N93" s="42">
        <v>0.86199999999999999</v>
      </c>
      <c r="O93" s="43">
        <v>0.1</v>
      </c>
      <c r="P93" s="44">
        <v>0.2</v>
      </c>
      <c r="Q93" s="36">
        <v>13.8</v>
      </c>
      <c r="R93" s="40">
        <v>4697.6000000000004</v>
      </c>
      <c r="S93" s="40"/>
      <c r="T93" s="43">
        <v>3145</v>
      </c>
      <c r="U93" s="86"/>
      <c r="V93" s="45">
        <f t="shared" si="3"/>
        <v>45562.57916666667</v>
      </c>
      <c r="W93" s="89">
        <f t="shared" si="1"/>
        <v>196.91250000000582</v>
      </c>
      <c r="X93" s="97"/>
      <c r="Y93" s="66"/>
      <c r="Z93" s="66"/>
      <c r="AA93" s="66"/>
      <c r="AB93" s="66"/>
      <c r="AC93" s="66"/>
    </row>
    <row r="94" spans="1:29" s="92" customFormat="1">
      <c r="A94" s="66"/>
      <c r="B94" s="67">
        <v>93</v>
      </c>
      <c r="C94" s="37">
        <v>45565</v>
      </c>
      <c r="D94" s="85">
        <v>0.56527777777777777</v>
      </c>
      <c r="E94" s="38">
        <v>6.2</v>
      </c>
      <c r="F94" s="39">
        <v>5.87</v>
      </c>
      <c r="G94" s="40">
        <v>2191381</v>
      </c>
      <c r="H94" s="36">
        <v>217519</v>
      </c>
      <c r="I94" s="40">
        <v>1100</v>
      </c>
      <c r="J94" s="36">
        <v>35</v>
      </c>
      <c r="K94" s="41">
        <v>596.28</v>
      </c>
      <c r="L94" s="41"/>
      <c r="M94" s="36">
        <v>9</v>
      </c>
      <c r="N94" s="42">
        <v>0.85599999999999998</v>
      </c>
      <c r="O94" s="43">
        <v>0.1</v>
      </c>
      <c r="P94" s="44">
        <v>0.2</v>
      </c>
      <c r="Q94" s="36">
        <v>13.8</v>
      </c>
      <c r="R94" s="40">
        <v>4523</v>
      </c>
      <c r="S94" s="40"/>
      <c r="T94" s="43">
        <v>3317.9</v>
      </c>
      <c r="U94" s="86" t="s">
        <v>139</v>
      </c>
      <c r="V94" s="45">
        <f t="shared" si="3"/>
        <v>45565.56527777778</v>
      </c>
      <c r="W94" s="89">
        <f t="shared" si="1"/>
        <v>199.89861111111531</v>
      </c>
      <c r="X94" s="97"/>
      <c r="Y94" s="66"/>
      <c r="Z94" s="66"/>
      <c r="AA94" s="66"/>
      <c r="AB94" s="66"/>
      <c r="AC94" s="66"/>
    </row>
    <row r="95" spans="1:29" s="92" customFormat="1">
      <c r="A95" s="66"/>
      <c r="B95" s="159">
        <v>94</v>
      </c>
      <c r="C95" s="160">
        <v>45568</v>
      </c>
      <c r="D95" s="161">
        <v>0.56944444444444442</v>
      </c>
      <c r="E95" s="162">
        <v>6.2</v>
      </c>
      <c r="F95" s="162">
        <v>5.88</v>
      </c>
      <c r="G95" s="163"/>
      <c r="H95" s="163"/>
      <c r="I95" s="163">
        <v>1100</v>
      </c>
      <c r="J95" s="163">
        <v>35</v>
      </c>
      <c r="K95" s="164">
        <v>578</v>
      </c>
      <c r="L95" s="164"/>
      <c r="M95" s="163">
        <v>9</v>
      </c>
      <c r="N95" s="165"/>
      <c r="O95" s="166">
        <v>0.1</v>
      </c>
      <c r="P95" s="166">
        <v>0.2</v>
      </c>
      <c r="Q95" s="163">
        <v>13.8</v>
      </c>
      <c r="R95" s="163"/>
      <c r="S95" s="163"/>
      <c r="T95" s="166"/>
      <c r="U95" s="167" t="s">
        <v>140</v>
      </c>
      <c r="V95" s="168">
        <f t="shared" si="3"/>
        <v>45568.569444444445</v>
      </c>
      <c r="W95" s="169">
        <f t="shared" si="1"/>
        <v>202.90277777778101</v>
      </c>
      <c r="X95" s="97"/>
      <c r="Y95" s="66"/>
      <c r="Z95" s="66"/>
      <c r="AA95" s="66"/>
      <c r="AB95" s="66"/>
      <c r="AC95" s="66"/>
    </row>
    <row r="96" spans="1:29" s="92" customFormat="1">
      <c r="A96" s="142"/>
      <c r="B96" s="143"/>
      <c r="C96" s="144"/>
      <c r="D96" s="142"/>
      <c r="E96" s="97"/>
      <c r="F96" s="97"/>
      <c r="G96" s="142"/>
      <c r="H96" s="142"/>
      <c r="I96" s="142"/>
      <c r="J96" s="142"/>
      <c r="K96" s="145"/>
      <c r="L96" s="145"/>
      <c r="M96" s="142"/>
      <c r="N96" s="146"/>
      <c r="O96" s="147"/>
      <c r="P96" s="147"/>
      <c r="Q96" s="142"/>
      <c r="R96" s="142"/>
      <c r="S96" s="142"/>
      <c r="T96" s="147"/>
      <c r="U96" s="148"/>
      <c r="V96" s="149"/>
      <c r="W96" s="97"/>
      <c r="X96" s="97"/>
      <c r="Y96" s="66"/>
      <c r="Z96" s="66"/>
      <c r="AA96" s="66"/>
      <c r="AB96" s="66"/>
      <c r="AC96" s="66"/>
    </row>
    <row r="97" spans="2:2">
      <c r="B97" s="143"/>
    </row>
    <row r="98" spans="2:2">
      <c r="B98" s="143"/>
    </row>
    <row r="99" spans="2:2">
      <c r="B99" s="143"/>
    </row>
    <row r="100" spans="2:2">
      <c r="B100" s="143"/>
    </row>
    <row r="101" spans="2:2">
      <c r="B101" s="14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94"/>
  <sheetViews>
    <sheetView workbookViewId="0">
      <pane xSplit="1" ySplit="3" topLeftCell="B65" activePane="bottomRight" state="frozen"/>
      <selection pane="topRight" activeCell="B1" sqref="B1"/>
      <selection pane="bottomLeft" activeCell="A4" sqref="A4"/>
      <selection pane="bottomRight" activeCell="AE1" sqref="AE1:AE1048576"/>
    </sheetView>
  </sheetViews>
  <sheetFormatPr defaultRowHeight="15"/>
  <cols>
    <col min="1" max="1" width="9.5703125" bestFit="1" customWidth="1"/>
    <col min="2" max="3" width="9.5703125" customWidth="1"/>
    <col min="4" max="4" width="10.85546875" customWidth="1"/>
    <col min="5" max="8" width="9.5703125" customWidth="1"/>
    <col min="9" max="9" width="12.7109375" customWidth="1"/>
    <col min="10" max="10" width="12.42578125" customWidth="1"/>
    <col min="12" max="12" width="10.7109375" bestFit="1" customWidth="1"/>
    <col min="14" max="14" width="7" bestFit="1" customWidth="1"/>
    <col min="15" max="15" width="13.7109375" bestFit="1" customWidth="1"/>
    <col min="16" max="16" width="6.7109375" customWidth="1"/>
    <col min="17" max="17" width="10.7109375" customWidth="1"/>
    <col min="18" max="18" width="8.42578125" customWidth="1"/>
    <col min="19" max="19" width="6.28515625" customWidth="1"/>
    <col min="20" max="20" width="13.7109375" customWidth="1"/>
    <col min="21" max="21" width="10.5703125" customWidth="1"/>
    <col min="22" max="28" width="13.7109375" customWidth="1"/>
    <col min="29" max="29" width="8.28515625" style="156" bestFit="1" customWidth="1"/>
    <col min="30" max="30" width="12" style="156" bestFit="1" customWidth="1"/>
    <col min="31" max="31" width="11.5703125" style="156" bestFit="1" customWidth="1"/>
    <col min="32" max="32" width="11" style="156" bestFit="1" customWidth="1"/>
    <col min="33" max="33" width="11.7109375" style="156" bestFit="1" customWidth="1"/>
    <col min="34" max="34" width="9.5703125" style="156" bestFit="1" customWidth="1"/>
    <col min="35" max="35" width="10.7109375" style="156" bestFit="1" customWidth="1"/>
    <col min="36" max="36" width="13.28515625" style="156" customWidth="1"/>
    <col min="37" max="37" width="11.28515625" style="156" customWidth="1"/>
    <col min="38" max="38" width="12.7109375" style="156" customWidth="1"/>
    <col min="39" max="39" width="15.42578125" customWidth="1"/>
  </cols>
  <sheetData>
    <row r="1" spans="1:39" s="153" customFormat="1" ht="37.5" customHeight="1">
      <c r="B1" s="153" t="s">
        <v>199</v>
      </c>
      <c r="K1" s="153" t="s">
        <v>200</v>
      </c>
      <c r="AC1" s="154"/>
      <c r="AD1" s="154"/>
      <c r="AE1" s="154"/>
      <c r="AF1" s="154"/>
      <c r="AG1" s="154"/>
      <c r="AH1" s="154"/>
      <c r="AI1" s="154"/>
      <c r="AJ1" s="154"/>
      <c r="AK1" s="154"/>
      <c r="AL1" s="154"/>
    </row>
    <row r="2" spans="1:39" s="152" customFormat="1" ht="23.25" customHeight="1">
      <c r="B2" s="152" t="s">
        <v>196</v>
      </c>
      <c r="C2" s="152" t="s">
        <v>142</v>
      </c>
      <c r="D2" s="152" t="s">
        <v>142</v>
      </c>
      <c r="E2" s="152" t="s">
        <v>142</v>
      </c>
      <c r="F2" s="152" t="s">
        <v>142</v>
      </c>
      <c r="G2" s="152" t="s">
        <v>196</v>
      </c>
      <c r="H2" s="152" t="s">
        <v>142</v>
      </c>
      <c r="I2" s="152" t="s">
        <v>142</v>
      </c>
      <c r="J2" s="152" t="s">
        <v>142</v>
      </c>
      <c r="K2" s="152" t="s">
        <v>142</v>
      </c>
      <c r="L2" s="152" t="s">
        <v>142</v>
      </c>
      <c r="M2" s="152" t="s">
        <v>142</v>
      </c>
      <c r="N2" s="152" t="s">
        <v>142</v>
      </c>
      <c r="O2" s="152" t="s">
        <v>142</v>
      </c>
      <c r="P2" s="217" t="s">
        <v>152</v>
      </c>
      <c r="Q2" s="217" t="s">
        <v>152</v>
      </c>
      <c r="R2" s="217" t="s">
        <v>152</v>
      </c>
      <c r="S2" s="217" t="s">
        <v>152</v>
      </c>
      <c r="T2" s="217" t="s">
        <v>152</v>
      </c>
      <c r="U2" s="217" t="s">
        <v>152</v>
      </c>
      <c r="V2" s="217" t="s">
        <v>152</v>
      </c>
      <c r="W2" s="217" t="s">
        <v>152</v>
      </c>
      <c r="X2" s="152" t="s">
        <v>153</v>
      </c>
      <c r="Y2" s="152" t="s">
        <v>153</v>
      </c>
      <c r="Z2" s="152" t="s">
        <v>153</v>
      </c>
      <c r="AA2" s="152" t="s">
        <v>153</v>
      </c>
      <c r="AB2" s="152" t="s">
        <v>153</v>
      </c>
      <c r="AC2" s="152" t="s">
        <v>153</v>
      </c>
      <c r="AD2" s="152" t="s">
        <v>153</v>
      </c>
      <c r="AE2" s="152" t="s">
        <v>153</v>
      </c>
      <c r="AF2" s="155" t="s">
        <v>210</v>
      </c>
      <c r="AG2" s="155" t="s">
        <v>210</v>
      </c>
      <c r="AH2" s="155" t="s">
        <v>210</v>
      </c>
      <c r="AI2" s="155" t="s">
        <v>210</v>
      </c>
      <c r="AJ2" s="155" t="s">
        <v>210</v>
      </c>
      <c r="AK2" s="155" t="s">
        <v>210</v>
      </c>
      <c r="AL2" s="155" t="s">
        <v>210</v>
      </c>
      <c r="AM2" s="155" t="s">
        <v>210</v>
      </c>
    </row>
    <row r="3" spans="1:39" s="150" customFormat="1" ht="34.5" customHeight="1">
      <c r="A3" s="150" t="s">
        <v>141</v>
      </c>
      <c r="B3" s="151" t="s">
        <v>197</v>
      </c>
      <c r="C3" s="151" t="s">
        <v>143</v>
      </c>
      <c r="D3" s="151" t="s">
        <v>144</v>
      </c>
      <c r="E3" s="151" t="s">
        <v>145</v>
      </c>
      <c r="F3" s="151" t="s">
        <v>198</v>
      </c>
      <c r="G3" s="151" t="s">
        <v>197</v>
      </c>
      <c r="H3" s="151" t="s">
        <v>147</v>
      </c>
      <c r="I3" s="151" t="s">
        <v>148</v>
      </c>
      <c r="J3" s="151" t="s">
        <v>149</v>
      </c>
      <c r="K3" s="157" t="s">
        <v>143</v>
      </c>
      <c r="L3" s="157" t="s">
        <v>144</v>
      </c>
      <c r="M3" s="157" t="s">
        <v>145</v>
      </c>
      <c r="N3" s="157" t="s">
        <v>198</v>
      </c>
      <c r="O3" s="157" t="s">
        <v>29</v>
      </c>
      <c r="P3" s="117" t="s">
        <v>143</v>
      </c>
      <c r="Q3" s="117" t="s">
        <v>144</v>
      </c>
      <c r="R3" s="117" t="s">
        <v>145</v>
      </c>
      <c r="S3" s="117" t="s">
        <v>198</v>
      </c>
      <c r="T3" s="117" t="s">
        <v>29</v>
      </c>
      <c r="U3" s="117" t="s">
        <v>147</v>
      </c>
      <c r="V3" s="117" t="s">
        <v>148</v>
      </c>
      <c r="W3" s="117" t="s">
        <v>149</v>
      </c>
      <c r="X3" s="158" t="s">
        <v>143</v>
      </c>
      <c r="Y3" s="158" t="s">
        <v>144</v>
      </c>
      <c r="Z3" s="158" t="s">
        <v>145</v>
      </c>
      <c r="AA3" s="158" t="s">
        <v>198</v>
      </c>
      <c r="AB3" s="158" t="s">
        <v>29</v>
      </c>
      <c r="AC3" s="158" t="s">
        <v>147</v>
      </c>
      <c r="AD3" s="158" t="s">
        <v>148</v>
      </c>
      <c r="AE3" s="158" t="s">
        <v>149</v>
      </c>
      <c r="AF3" s="118" t="s">
        <v>143</v>
      </c>
      <c r="AG3" s="118" t="s">
        <v>144</v>
      </c>
      <c r="AH3" s="118" t="s">
        <v>145</v>
      </c>
      <c r="AI3" s="118" t="s">
        <v>198</v>
      </c>
      <c r="AJ3" s="118" t="s">
        <v>29</v>
      </c>
      <c r="AK3" s="118" t="s">
        <v>147</v>
      </c>
      <c r="AL3" s="118" t="s">
        <v>148</v>
      </c>
      <c r="AM3" s="118" t="s">
        <v>149</v>
      </c>
    </row>
    <row r="4" spans="1:39">
      <c r="A4" s="114">
        <f>'lab journal'!W2</f>
        <v>0</v>
      </c>
      <c r="B4" s="114">
        <v>20</v>
      </c>
      <c r="C4" s="114">
        <v>466.7</v>
      </c>
      <c r="D4" s="114">
        <v>5.99</v>
      </c>
      <c r="E4" s="114">
        <v>81.33</v>
      </c>
      <c r="F4" s="114">
        <v>43.1</v>
      </c>
      <c r="G4" s="114">
        <v>5</v>
      </c>
      <c r="H4">
        <v>544.12</v>
      </c>
      <c r="I4">
        <v>39.049999999999997</v>
      </c>
      <c r="J4">
        <v>24.77</v>
      </c>
      <c r="K4" s="115">
        <f t="shared" ref="K4:K35" si="0">C4*B4</f>
        <v>9334</v>
      </c>
      <c r="L4" s="115">
        <f t="shared" ref="L4:L35" si="1">D4*B4</f>
        <v>119.80000000000001</v>
      </c>
      <c r="M4" s="115">
        <f t="shared" ref="M4:M35" si="2">E4*B4</f>
        <v>1626.6</v>
      </c>
      <c r="N4" s="115">
        <f t="shared" ref="N4:N35" si="3">F4*B4</f>
        <v>862</v>
      </c>
      <c r="O4" s="115">
        <v>100</v>
      </c>
      <c r="P4" s="202">
        <f>K4/Constants!$C$12</f>
        <v>89.659909033711315</v>
      </c>
      <c r="Q4" s="202">
        <f>L4/Constants!$C$11</f>
        <v>1.3915669648042748</v>
      </c>
      <c r="R4" s="202">
        <f>M4/Constants!$C$13</f>
        <v>18.057282415630549</v>
      </c>
      <c r="S4" s="202">
        <f>N4/Constants!$C$18</f>
        <v>7.2970456276982985</v>
      </c>
      <c r="T4" s="202">
        <f>O4/Constants!$C$17</f>
        <v>0.36453909499524273</v>
      </c>
      <c r="U4" s="202">
        <f>IF(H4="n.a.", 0, H4*G4/Constants!$C$3)</f>
        <v>45.305578684429641</v>
      </c>
      <c r="V4" s="202">
        <f>IF(I4="n.a.", 0, I4*G4/Constants!$C$4)</f>
        <v>2.6356641468682507</v>
      </c>
      <c r="W4" s="202">
        <f>IF(J4="n.a.", 0, J4*G4/Constants!$C$6)</f>
        <v>1.4056293269776414</v>
      </c>
      <c r="X4" s="211">
        <f>P4*Constants!$D$12</f>
        <v>358.63963613484526</v>
      </c>
      <c r="Y4" s="211">
        <f>Q4*Constants!$D$11</f>
        <v>5.5662678592170991</v>
      </c>
      <c r="Z4" s="211">
        <f>R4*Constants!$D$13</f>
        <v>54.171847246891645</v>
      </c>
      <c r="AA4" s="211">
        <f>S4*Constants!$D$18</f>
        <v>36.485228138491493</v>
      </c>
      <c r="AB4" s="211">
        <f>T4*Constants!$D$17</f>
        <v>6.9262428049096121</v>
      </c>
      <c r="AC4" s="212">
        <f>U4*Constants!$D$3</f>
        <v>90.611157368859281</v>
      </c>
      <c r="AD4" s="212">
        <f>V4*Constants!$D$4</f>
        <v>7.9069924406047516</v>
      </c>
      <c r="AE4" s="212">
        <f>W4*Constants!$D$6</f>
        <v>5.6225173079105657</v>
      </c>
      <c r="AF4" s="156">
        <f>P4*Constants!$E$12</f>
        <v>1613.8783626068036</v>
      </c>
      <c r="AG4" s="156">
        <f>Q4*Constants!$E$11</f>
        <v>25.048205366476946</v>
      </c>
      <c r="AH4" s="156">
        <f>R4*Constants!$E$13</f>
        <v>216.68738898756658</v>
      </c>
      <c r="AI4" s="156">
        <f>S4*Constants!$E$18</f>
        <v>175.12909506475916</v>
      </c>
      <c r="AJ4" s="156">
        <f>T4*Constants!$E$17</f>
        <v>31.350362169590873</v>
      </c>
      <c r="AK4" s="156">
        <f>U4*Constants!$E$3</f>
        <v>362.44462947543713</v>
      </c>
      <c r="AL4" s="156">
        <f>V4*Constants!$E$4</f>
        <v>36.899298056155509</v>
      </c>
      <c r="AM4">
        <f>W4*Constants!$E$6</f>
        <v>28.112586539552829</v>
      </c>
    </row>
    <row r="5" spans="1:39">
      <c r="A5" s="113">
        <f>'lab journal'!W3</f>
        <v>0.95138888889050577</v>
      </c>
      <c r="B5" s="114">
        <v>20</v>
      </c>
      <c r="C5" s="113">
        <v>511.58800000000002</v>
      </c>
      <c r="D5" s="113">
        <v>20.61</v>
      </c>
      <c r="E5" s="113">
        <v>85.4</v>
      </c>
      <c r="F5" s="113">
        <v>35.456000000000003</v>
      </c>
      <c r="G5" s="114">
        <v>5</v>
      </c>
      <c r="H5">
        <v>111.59</v>
      </c>
      <c r="I5">
        <v>15.2</v>
      </c>
      <c r="J5">
        <v>7.98</v>
      </c>
      <c r="K5" s="115">
        <f t="shared" si="0"/>
        <v>10231.76</v>
      </c>
      <c r="L5" s="115">
        <f t="shared" si="1"/>
        <v>412.2</v>
      </c>
      <c r="M5" s="115">
        <f t="shared" si="2"/>
        <v>1708</v>
      </c>
      <c r="N5" s="115">
        <f t="shared" si="3"/>
        <v>709.12000000000012</v>
      </c>
      <c r="O5" s="115">
        <v>100</v>
      </c>
      <c r="P5" s="202">
        <f>K5/Constants!$C$12</f>
        <v>98.283551623608972</v>
      </c>
      <c r="Q5" s="202">
        <f>L5/Constants!$C$11</f>
        <v>4.7880125450110347</v>
      </c>
      <c r="R5" s="202">
        <f>M5/Constants!$C$13</f>
        <v>18.960923623445826</v>
      </c>
      <c r="S5" s="202">
        <f>N5/Constants!$C$18</f>
        <v>6.0028781850503696</v>
      </c>
      <c r="T5" s="202">
        <f>O5/Constants!$C$17</f>
        <v>0.36453909499524273</v>
      </c>
      <c r="U5" s="202">
        <f>IF(H5="n.a.", 0, H5*G5/Constants!$C$3)</f>
        <v>9.2914238134887608</v>
      </c>
      <c r="V5" s="202">
        <f>IF(I5="n.a.", 0, I5*G5/Constants!$C$4)</f>
        <v>1.0259179265658747</v>
      </c>
      <c r="W5" s="202">
        <f>IF(J5="n.a.", 0, J5*G5/Constants!$C$6)</f>
        <v>0.45284303711270008</v>
      </c>
      <c r="X5" s="211">
        <f>P5*Constants!$D$12</f>
        <v>393.13420649443589</v>
      </c>
      <c r="Y5" s="211">
        <f>Q5*Constants!$D$11</f>
        <v>19.152050180044139</v>
      </c>
      <c r="Z5" s="211">
        <f>R5*Constants!$D$13</f>
        <v>56.882770870337481</v>
      </c>
      <c r="AA5" s="211">
        <f>S5*Constants!$D$18</f>
        <v>30.014390925251849</v>
      </c>
      <c r="AB5" s="211">
        <f>T5*Constants!$D$17</f>
        <v>6.9262428049096121</v>
      </c>
      <c r="AC5" s="212">
        <f>U5*Constants!$D$3</f>
        <v>18.582847626977522</v>
      </c>
      <c r="AD5" s="212">
        <f>V5*Constants!$D$4</f>
        <v>3.0777537796976242</v>
      </c>
      <c r="AE5" s="212">
        <f>W5*Constants!$D$6</f>
        <v>1.8113721484508003</v>
      </c>
      <c r="AF5" s="156">
        <f>P5*Constants!$E$12</f>
        <v>1769.1039292249616</v>
      </c>
      <c r="AG5" s="156">
        <f>Q5*Constants!$E$11</f>
        <v>86.184225810198626</v>
      </c>
      <c r="AH5" s="156">
        <f>R5*Constants!$E$13</f>
        <v>227.53108348134992</v>
      </c>
      <c r="AI5" s="156">
        <f>S5*Constants!$E$18</f>
        <v>144.06907644120886</v>
      </c>
      <c r="AJ5" s="156">
        <f>T5*Constants!$E$17</f>
        <v>31.350362169590873</v>
      </c>
      <c r="AK5" s="156">
        <f>U5*Constants!$E$3</f>
        <v>74.331390507910086</v>
      </c>
      <c r="AL5" s="156">
        <f>V5*Constants!$E$4</f>
        <v>14.362850971922246</v>
      </c>
      <c r="AM5">
        <f>W5*Constants!$E$6</f>
        <v>9.0568607422540008</v>
      </c>
    </row>
    <row r="6" spans="1:39">
      <c r="A6" s="113">
        <f>'lab journal'!W4</f>
        <v>4.0208333333357587</v>
      </c>
      <c r="B6" s="114">
        <v>20</v>
      </c>
      <c r="C6" s="113">
        <v>511.58800000000002</v>
      </c>
      <c r="D6" s="113">
        <v>20.61</v>
      </c>
      <c r="E6" s="113">
        <v>85.4</v>
      </c>
      <c r="F6" s="113">
        <v>35.456000000000003</v>
      </c>
      <c r="G6" s="114">
        <v>5</v>
      </c>
      <c r="H6">
        <v>111.59</v>
      </c>
      <c r="I6">
        <v>15.2</v>
      </c>
      <c r="J6">
        <v>7.98</v>
      </c>
      <c r="K6" s="115">
        <f t="shared" si="0"/>
        <v>10231.76</v>
      </c>
      <c r="L6" s="115">
        <f t="shared" si="1"/>
        <v>412.2</v>
      </c>
      <c r="M6" s="115">
        <f t="shared" si="2"/>
        <v>1708</v>
      </c>
      <c r="N6" s="115">
        <f t="shared" si="3"/>
        <v>709.12000000000012</v>
      </c>
      <c r="O6" s="115">
        <v>100</v>
      </c>
      <c r="P6" s="202">
        <f>K6/Constants!$C$12</f>
        <v>98.283551623608972</v>
      </c>
      <c r="Q6" s="202">
        <f>L6/Constants!$C$11</f>
        <v>4.7880125450110347</v>
      </c>
      <c r="R6" s="202">
        <f>M6/Constants!$C$13</f>
        <v>18.960923623445826</v>
      </c>
      <c r="S6" s="202">
        <f>N6/Constants!$C$18</f>
        <v>6.0028781850503696</v>
      </c>
      <c r="T6" s="202">
        <f>O6/Constants!$C$17</f>
        <v>0.36453909499524273</v>
      </c>
      <c r="U6" s="202">
        <f>IF(H6="n.a.", 0, H6*G6/Constants!$C$3)</f>
        <v>9.2914238134887608</v>
      </c>
      <c r="V6" s="202">
        <f>IF(I6="n.a.", 0, I6*G6/Constants!$C$4)</f>
        <v>1.0259179265658747</v>
      </c>
      <c r="W6" s="202">
        <f>IF(J6="n.a.", 0, J6*G6/Constants!$C$6)</f>
        <v>0.45284303711270008</v>
      </c>
      <c r="X6">
        <f>P6*Constants!$D$12</f>
        <v>393.13420649443589</v>
      </c>
      <c r="Y6">
        <f>Q6*Constants!$D$11</f>
        <v>19.152050180044139</v>
      </c>
      <c r="Z6">
        <f>R6*Constants!$D$13</f>
        <v>56.882770870337481</v>
      </c>
      <c r="AA6">
        <f>S6*Constants!$D$18</f>
        <v>30.014390925251849</v>
      </c>
      <c r="AB6">
        <f>T6*Constants!$D$17</f>
        <v>6.9262428049096121</v>
      </c>
      <c r="AC6" s="156">
        <f>U6*Constants!$D$3</f>
        <v>18.582847626977522</v>
      </c>
      <c r="AD6" s="156">
        <f>V6*Constants!$D$4</f>
        <v>3.0777537796976242</v>
      </c>
      <c r="AE6" s="156">
        <f>W6*Constants!$D$6</f>
        <v>1.8113721484508003</v>
      </c>
      <c r="AF6" s="156">
        <f>P6*Constants!$E$12</f>
        <v>1769.1039292249616</v>
      </c>
      <c r="AG6" s="156">
        <f>Q6*Constants!$E$11</f>
        <v>86.184225810198626</v>
      </c>
      <c r="AH6" s="156">
        <f>R6*Constants!$E$13</f>
        <v>227.53108348134992</v>
      </c>
      <c r="AI6" s="156">
        <f>S6*Constants!$E$18</f>
        <v>144.06907644120886</v>
      </c>
      <c r="AJ6" s="156">
        <f>T6*Constants!$E$17</f>
        <v>31.350362169590873</v>
      </c>
      <c r="AK6" s="156">
        <f>U6*Constants!$E$3</f>
        <v>74.331390507910086</v>
      </c>
      <c r="AL6" s="156">
        <f>V6*Constants!$E$4</f>
        <v>14.362850971922246</v>
      </c>
      <c r="AM6">
        <f>W6*Constants!$E$6</f>
        <v>9.0568607422540008</v>
      </c>
    </row>
    <row r="7" spans="1:39" s="226" customFormat="1">
      <c r="A7" s="225">
        <f>'lab journal'!W5</f>
        <v>5.7222222222262644</v>
      </c>
      <c r="B7" s="250">
        <v>20</v>
      </c>
      <c r="C7" s="225">
        <v>511.58800000000002</v>
      </c>
      <c r="D7" s="225">
        <v>20.61</v>
      </c>
      <c r="E7" s="225">
        <v>85.4</v>
      </c>
      <c r="F7" s="225">
        <v>35.456000000000003</v>
      </c>
      <c r="G7" s="250">
        <v>5</v>
      </c>
      <c r="H7" s="226">
        <v>111.59</v>
      </c>
      <c r="I7" s="226">
        <v>15.2</v>
      </c>
      <c r="J7" s="226">
        <v>7.98</v>
      </c>
      <c r="K7" s="251">
        <f t="shared" si="0"/>
        <v>10231.76</v>
      </c>
      <c r="L7" s="251">
        <f t="shared" si="1"/>
        <v>412.2</v>
      </c>
      <c r="M7" s="251">
        <f t="shared" si="2"/>
        <v>1708</v>
      </c>
      <c r="N7" s="251">
        <f t="shared" si="3"/>
        <v>709.12000000000012</v>
      </c>
      <c r="O7" s="251">
        <v>100</v>
      </c>
      <c r="P7" s="252">
        <f>K7/Constants!$C$12</f>
        <v>98.283551623608972</v>
      </c>
      <c r="Q7" s="252">
        <f>L7/Constants!$C$11</f>
        <v>4.7880125450110347</v>
      </c>
      <c r="R7" s="252">
        <f>M7/Constants!$C$13</f>
        <v>18.960923623445826</v>
      </c>
      <c r="S7" s="252">
        <f>N7/Constants!$C$18</f>
        <v>6.0028781850503696</v>
      </c>
      <c r="T7" s="252">
        <f>O7/Constants!$C$17</f>
        <v>0.36453909499524273</v>
      </c>
      <c r="U7" s="252">
        <f>IF(H7="n.a.", 0, H7*G7/Constants!$C$3)</f>
        <v>9.2914238134887608</v>
      </c>
      <c r="V7" s="252">
        <f>IF(I7="n.a.", 0, I7*G7/Constants!$C$4)</f>
        <v>1.0259179265658747</v>
      </c>
      <c r="W7" s="252">
        <f>IF(J7="n.a.", 0, J7*G7/Constants!$C$6)</f>
        <v>0.45284303711270008</v>
      </c>
      <c r="X7" s="226">
        <f>P7*Constants!$D$12</f>
        <v>393.13420649443589</v>
      </c>
      <c r="Y7" s="226">
        <f>Q7*Constants!$D$11</f>
        <v>19.152050180044139</v>
      </c>
      <c r="Z7" s="226">
        <f>R7*Constants!$D$13</f>
        <v>56.882770870337481</v>
      </c>
      <c r="AA7" s="226">
        <f>S7*Constants!$D$18</f>
        <v>30.014390925251849</v>
      </c>
      <c r="AB7" s="226">
        <f>T7*Constants!$D$17</f>
        <v>6.9262428049096121</v>
      </c>
      <c r="AC7" s="240">
        <f>U7*Constants!$D$3</f>
        <v>18.582847626977522</v>
      </c>
      <c r="AD7" s="240">
        <f>V7*Constants!$D$4</f>
        <v>3.0777537796976242</v>
      </c>
      <c r="AE7" s="240">
        <f>W7*Constants!$D$6</f>
        <v>1.8113721484508003</v>
      </c>
      <c r="AF7" s="240">
        <f>P7*Constants!$E$12</f>
        <v>1769.1039292249616</v>
      </c>
      <c r="AG7" s="240">
        <f>Q7*Constants!$E$11</f>
        <v>86.184225810198626</v>
      </c>
      <c r="AH7" s="240">
        <f>R7*Constants!$E$13</f>
        <v>227.53108348134992</v>
      </c>
      <c r="AI7" s="240">
        <f>S7*Constants!$E$18</f>
        <v>144.06907644120886</v>
      </c>
      <c r="AJ7" s="240">
        <f>T7*Constants!$E$17</f>
        <v>31.350362169590873</v>
      </c>
      <c r="AK7" s="240">
        <f>U7*Constants!$E$3</f>
        <v>74.331390507910086</v>
      </c>
      <c r="AL7" s="240">
        <f>V7*Constants!$E$4</f>
        <v>14.362850971922246</v>
      </c>
      <c r="AM7" s="226">
        <f>W7*Constants!$E$6</f>
        <v>9.0568607422540008</v>
      </c>
    </row>
    <row r="8" spans="1:39">
      <c r="A8" s="113">
        <f>'lab journal'!W6</f>
        <v>6.7687500000029104</v>
      </c>
      <c r="B8" s="114">
        <v>20</v>
      </c>
      <c r="C8" s="113">
        <v>568.58000000000004</v>
      </c>
      <c r="D8" s="113">
        <v>5.54</v>
      </c>
      <c r="E8" s="113">
        <v>87.62</v>
      </c>
      <c r="F8" s="113">
        <v>15.79</v>
      </c>
      <c r="G8" s="114">
        <v>5</v>
      </c>
      <c r="H8">
        <v>62.23</v>
      </c>
      <c r="I8">
        <v>13.59</v>
      </c>
      <c r="J8">
        <v>5.62</v>
      </c>
      <c r="K8" s="249">
        <f t="shared" si="0"/>
        <v>11371.6</v>
      </c>
      <c r="L8" s="249">
        <f t="shared" si="1"/>
        <v>110.8</v>
      </c>
      <c r="M8" s="249">
        <f t="shared" si="2"/>
        <v>1752.4</v>
      </c>
      <c r="N8" s="249">
        <f t="shared" si="3"/>
        <v>315.79999999999995</v>
      </c>
      <c r="O8" s="249">
        <v>100</v>
      </c>
      <c r="P8" s="202">
        <f>K8/Constants!$C$12</f>
        <v>109.23254998583154</v>
      </c>
      <c r="Q8" s="202">
        <f>L8/Constants!$C$11</f>
        <v>1.2870252061795795</v>
      </c>
      <c r="R8" s="202">
        <f>M8/Constants!$C$13</f>
        <v>19.453818827708705</v>
      </c>
      <c r="S8" s="202">
        <f>N8/Constants!$C$18</f>
        <v>2.6733259967832046</v>
      </c>
      <c r="T8" s="202">
        <f>O8/Constants!$C$17</f>
        <v>0.36453909499524273</v>
      </c>
      <c r="U8" s="202">
        <f>IF(H8="n.a.", 0, H8*G8/Constants!$C$3)</f>
        <v>5.181515403830141</v>
      </c>
      <c r="V8" s="202">
        <f>IF(I8="n.a.", 0, I8*G8/Constants!$C$4)</f>
        <v>0.91725161987041037</v>
      </c>
      <c r="W8" s="202">
        <f>IF(J8="n.a.", 0, J8*G8/Constants!$C$6)</f>
        <v>0.31891953240267851</v>
      </c>
      <c r="X8">
        <f>P8*Constants!$D$12</f>
        <v>436.93019994332616</v>
      </c>
      <c r="Y8">
        <f>Q8*Constants!$D$11</f>
        <v>5.148100824718318</v>
      </c>
      <c r="Z8">
        <f>R8*Constants!$D$13</f>
        <v>58.361456483126119</v>
      </c>
      <c r="AA8">
        <f>S8*Constants!$D$18</f>
        <v>13.366629983916024</v>
      </c>
      <c r="AB8">
        <f>T8*Constants!$D$17</f>
        <v>6.9262428049096121</v>
      </c>
      <c r="AC8" s="156">
        <f>U8*Constants!$D$3</f>
        <v>10.363030807660282</v>
      </c>
      <c r="AD8" s="156">
        <f>V8*Constants!$D$4</f>
        <v>2.7517548596112311</v>
      </c>
      <c r="AE8" s="156">
        <f>W8*Constants!$D$6</f>
        <v>1.275678129610714</v>
      </c>
      <c r="AF8" s="156">
        <f>P8*Constants!$E$12</f>
        <v>1966.1858997449676</v>
      </c>
      <c r="AG8" s="156">
        <f>Q8*Constants!$E$11</f>
        <v>23.166453711232432</v>
      </c>
      <c r="AH8" s="156">
        <f>R8*Constants!$E$13</f>
        <v>233.44582593250448</v>
      </c>
      <c r="AI8" s="156">
        <f>S8*Constants!$E$18</f>
        <v>64.159823922796903</v>
      </c>
      <c r="AJ8" s="156">
        <f>T8*Constants!$E$17</f>
        <v>31.350362169590873</v>
      </c>
      <c r="AK8" s="156">
        <f>U8*Constants!$E$3</f>
        <v>41.452123230641128</v>
      </c>
      <c r="AL8" s="156">
        <f>V8*Constants!$E$4</f>
        <v>12.841522678185745</v>
      </c>
      <c r="AM8">
        <f>W8*Constants!$E$6</f>
        <v>6.3783906480535704</v>
      </c>
    </row>
    <row r="9" spans="1:39">
      <c r="A9" s="113">
        <f>'lab journal'!W7</f>
        <v>7.7881944444452529</v>
      </c>
      <c r="B9" s="114">
        <v>20</v>
      </c>
      <c r="C9" s="113">
        <v>568.58000000000004</v>
      </c>
      <c r="D9" s="113">
        <v>5.54</v>
      </c>
      <c r="E9" s="113">
        <v>87.62</v>
      </c>
      <c r="F9" s="113">
        <v>15.79</v>
      </c>
      <c r="G9" s="114">
        <v>5</v>
      </c>
      <c r="H9">
        <v>62.23</v>
      </c>
      <c r="I9">
        <v>13.59</v>
      </c>
      <c r="J9">
        <v>5.62</v>
      </c>
      <c r="K9" s="115">
        <f t="shared" si="0"/>
        <v>11371.6</v>
      </c>
      <c r="L9" s="115">
        <f t="shared" si="1"/>
        <v>110.8</v>
      </c>
      <c r="M9" s="115">
        <f t="shared" si="2"/>
        <v>1752.4</v>
      </c>
      <c r="N9" s="115">
        <f t="shared" si="3"/>
        <v>315.79999999999995</v>
      </c>
      <c r="O9" s="115">
        <v>100</v>
      </c>
      <c r="P9" s="202">
        <f>K9/Constants!$C$12</f>
        <v>109.23254998583154</v>
      </c>
      <c r="Q9" s="202">
        <f>L9/Constants!$C$11</f>
        <v>1.2870252061795795</v>
      </c>
      <c r="R9" s="202">
        <f>M9/Constants!$C$13</f>
        <v>19.453818827708705</v>
      </c>
      <c r="S9" s="202">
        <f>N9/Constants!$C$18</f>
        <v>2.6733259967832046</v>
      </c>
      <c r="T9" s="202">
        <f>O9/Constants!$C$17</f>
        <v>0.36453909499524273</v>
      </c>
      <c r="U9" s="202">
        <f>IF(H9="n.a.", 0, H9*G9/Constants!$C$3)</f>
        <v>5.181515403830141</v>
      </c>
      <c r="V9" s="202">
        <f>IF(I9="n.a.", 0, I9*G9/Constants!$C$4)</f>
        <v>0.91725161987041037</v>
      </c>
      <c r="W9" s="202">
        <f>IF(J9="n.a.", 0, J9*G9/Constants!$C$6)</f>
        <v>0.31891953240267851</v>
      </c>
      <c r="X9">
        <f>P9*Constants!$D$12</f>
        <v>436.93019994332616</v>
      </c>
      <c r="Y9">
        <f>Q9*Constants!$D$11</f>
        <v>5.148100824718318</v>
      </c>
      <c r="Z9">
        <f>R9*Constants!$D$13</f>
        <v>58.361456483126119</v>
      </c>
      <c r="AA9">
        <f>S9*Constants!$D$18</f>
        <v>13.366629983916024</v>
      </c>
      <c r="AB9">
        <f>T9*Constants!$D$17</f>
        <v>6.9262428049096121</v>
      </c>
      <c r="AC9" s="156">
        <f>U9*Constants!$D$3</f>
        <v>10.363030807660282</v>
      </c>
      <c r="AD9" s="156">
        <f>V9*Constants!$D$4</f>
        <v>2.7517548596112311</v>
      </c>
      <c r="AE9" s="156">
        <f>W9*Constants!$D$6</f>
        <v>1.275678129610714</v>
      </c>
      <c r="AF9" s="156">
        <f>P9*Constants!$E$12</f>
        <v>1966.1858997449676</v>
      </c>
      <c r="AG9" s="156">
        <f>Q9*Constants!$E$11</f>
        <v>23.166453711232432</v>
      </c>
      <c r="AH9" s="156">
        <f>R9*Constants!$E$13</f>
        <v>233.44582593250448</v>
      </c>
      <c r="AI9" s="156">
        <f>S9*Constants!$E$18</f>
        <v>64.159823922796903</v>
      </c>
      <c r="AJ9" s="156">
        <f>T9*Constants!$E$17</f>
        <v>31.350362169590873</v>
      </c>
      <c r="AK9" s="156">
        <f>U9*Constants!$E$3</f>
        <v>41.452123230641128</v>
      </c>
      <c r="AL9" s="156">
        <f>V9*Constants!$E$4</f>
        <v>12.841522678185745</v>
      </c>
      <c r="AM9">
        <f>W9*Constants!$E$6</f>
        <v>6.3783906480535704</v>
      </c>
    </row>
    <row r="10" spans="1:39">
      <c r="A10" s="113">
        <f>'lab journal'!W8</f>
        <v>10.788194444445253</v>
      </c>
      <c r="B10" s="114">
        <v>20</v>
      </c>
      <c r="C10" s="113">
        <v>568.58000000000004</v>
      </c>
      <c r="D10" s="113">
        <v>5.54</v>
      </c>
      <c r="E10" s="113">
        <v>87.62</v>
      </c>
      <c r="F10" s="113">
        <v>15.79</v>
      </c>
      <c r="G10" s="114">
        <v>5</v>
      </c>
      <c r="H10">
        <v>62.23</v>
      </c>
      <c r="I10">
        <v>13.59</v>
      </c>
      <c r="J10">
        <v>5.62</v>
      </c>
      <c r="K10" s="115">
        <f t="shared" si="0"/>
        <v>11371.6</v>
      </c>
      <c r="L10" s="115">
        <f t="shared" si="1"/>
        <v>110.8</v>
      </c>
      <c r="M10" s="115">
        <f t="shared" si="2"/>
        <v>1752.4</v>
      </c>
      <c r="N10" s="115">
        <f t="shared" si="3"/>
        <v>315.79999999999995</v>
      </c>
      <c r="O10" s="115">
        <v>100</v>
      </c>
      <c r="P10" s="202">
        <f>K10/Constants!$C$12</f>
        <v>109.23254998583154</v>
      </c>
      <c r="Q10" s="202">
        <f>L10/Constants!$C$11</f>
        <v>1.2870252061795795</v>
      </c>
      <c r="R10" s="202">
        <f>M10/Constants!$C$13</f>
        <v>19.453818827708705</v>
      </c>
      <c r="S10" s="202">
        <f>N10/Constants!$C$18</f>
        <v>2.6733259967832046</v>
      </c>
      <c r="T10" s="202">
        <f>O10/Constants!$C$17</f>
        <v>0.36453909499524273</v>
      </c>
      <c r="U10" s="202">
        <f>IF(H10="n.a.", 0, H10*G10/Constants!$C$3)</f>
        <v>5.181515403830141</v>
      </c>
      <c r="V10" s="202">
        <f>IF(I10="n.a.", 0, I10*G10/Constants!$C$4)</f>
        <v>0.91725161987041037</v>
      </c>
      <c r="W10" s="202">
        <f>IF(J10="n.a.", 0, J10*G10/Constants!$C$6)</f>
        <v>0.31891953240267851</v>
      </c>
      <c r="X10">
        <f>P10*Constants!$D$12</f>
        <v>436.93019994332616</v>
      </c>
      <c r="Y10">
        <f>Q10*Constants!$D$11</f>
        <v>5.148100824718318</v>
      </c>
      <c r="Z10">
        <f>R10*Constants!$D$13</f>
        <v>58.361456483126119</v>
      </c>
      <c r="AA10">
        <f>S10*Constants!$D$18</f>
        <v>13.366629983916024</v>
      </c>
      <c r="AB10">
        <f>T10*Constants!$D$17</f>
        <v>6.9262428049096121</v>
      </c>
      <c r="AC10" s="156">
        <f>U10*Constants!$D$3</f>
        <v>10.363030807660282</v>
      </c>
      <c r="AD10" s="156">
        <f>V10*Constants!$D$4</f>
        <v>2.7517548596112311</v>
      </c>
      <c r="AE10" s="156">
        <f>W10*Constants!$D$6</f>
        <v>1.275678129610714</v>
      </c>
      <c r="AF10" s="156">
        <f>P10*Constants!$E$12</f>
        <v>1966.1858997449676</v>
      </c>
      <c r="AG10" s="156">
        <f>Q10*Constants!$E$11</f>
        <v>23.166453711232432</v>
      </c>
      <c r="AH10" s="156">
        <f>R10*Constants!$E$13</f>
        <v>233.44582593250448</v>
      </c>
      <c r="AI10" s="156">
        <f>S10*Constants!$E$18</f>
        <v>64.159823922796903</v>
      </c>
      <c r="AJ10" s="156">
        <f>T10*Constants!$E$17</f>
        <v>31.350362169590873</v>
      </c>
      <c r="AK10" s="156">
        <f>U10*Constants!$E$3</f>
        <v>41.452123230641128</v>
      </c>
      <c r="AL10" s="156">
        <f>V10*Constants!$E$4</f>
        <v>12.841522678185745</v>
      </c>
      <c r="AM10">
        <f>W10*Constants!$E$6</f>
        <v>6.3783906480535704</v>
      </c>
    </row>
    <row r="11" spans="1:39">
      <c r="A11" s="113">
        <f>'lab journal'!W9</f>
        <v>12.790972222224809</v>
      </c>
      <c r="B11" s="114">
        <v>20</v>
      </c>
      <c r="C11" s="113">
        <v>568.58000000000004</v>
      </c>
      <c r="D11" s="113">
        <v>5.54</v>
      </c>
      <c r="E11" s="113">
        <v>87.62</v>
      </c>
      <c r="F11" s="113">
        <v>15.79</v>
      </c>
      <c r="G11" s="114">
        <v>5</v>
      </c>
      <c r="H11">
        <v>62.23</v>
      </c>
      <c r="I11">
        <v>13.59</v>
      </c>
      <c r="J11">
        <v>5.62</v>
      </c>
      <c r="K11" s="115">
        <f t="shared" si="0"/>
        <v>11371.6</v>
      </c>
      <c r="L11" s="115">
        <f t="shared" si="1"/>
        <v>110.8</v>
      </c>
      <c r="M11" s="115">
        <f t="shared" si="2"/>
        <v>1752.4</v>
      </c>
      <c r="N11" s="115">
        <f t="shared" si="3"/>
        <v>315.79999999999995</v>
      </c>
      <c r="O11" s="115">
        <v>100</v>
      </c>
      <c r="P11" s="202">
        <f>K11/Constants!$C$12</f>
        <v>109.23254998583154</v>
      </c>
      <c r="Q11" s="202">
        <f>L11/Constants!$C$11</f>
        <v>1.2870252061795795</v>
      </c>
      <c r="R11" s="202">
        <f>M11/Constants!$C$13</f>
        <v>19.453818827708705</v>
      </c>
      <c r="S11" s="202">
        <f>N11/Constants!$C$18</f>
        <v>2.6733259967832046</v>
      </c>
      <c r="T11" s="202">
        <f>O11/Constants!$C$17</f>
        <v>0.36453909499524273</v>
      </c>
      <c r="U11" s="202">
        <f>IF(H11="n.a.", 0, H11*G11/Constants!$C$3)</f>
        <v>5.181515403830141</v>
      </c>
      <c r="V11" s="202">
        <f>IF(I11="n.a.", 0, I11*G11/Constants!$C$4)</f>
        <v>0.91725161987041037</v>
      </c>
      <c r="W11" s="202">
        <f>IF(J11="n.a.", 0, J11*G11/Constants!$C$6)</f>
        <v>0.31891953240267851</v>
      </c>
      <c r="X11">
        <f>P11*Constants!$D$12</f>
        <v>436.93019994332616</v>
      </c>
      <c r="Y11">
        <f>Q11*Constants!$D$11</f>
        <v>5.148100824718318</v>
      </c>
      <c r="Z11">
        <f>R11*Constants!$D$13</f>
        <v>58.361456483126119</v>
      </c>
      <c r="AA11">
        <f>S11*Constants!$D$18</f>
        <v>13.366629983916024</v>
      </c>
      <c r="AB11">
        <f>T11*Constants!$D$17</f>
        <v>6.9262428049096121</v>
      </c>
      <c r="AC11" s="156">
        <f>U11*Constants!$D$3</f>
        <v>10.363030807660282</v>
      </c>
      <c r="AD11" s="156">
        <f>V11*Constants!$D$4</f>
        <v>2.7517548596112311</v>
      </c>
      <c r="AE11" s="156">
        <f>W11*Constants!$D$6</f>
        <v>1.275678129610714</v>
      </c>
      <c r="AF11" s="156">
        <f>P11*Constants!$E$12</f>
        <v>1966.1858997449676</v>
      </c>
      <c r="AG11" s="156">
        <f>Q11*Constants!$E$11</f>
        <v>23.166453711232432</v>
      </c>
      <c r="AH11" s="156">
        <f>R11*Constants!$E$13</f>
        <v>233.44582593250448</v>
      </c>
      <c r="AI11" s="156">
        <f>S11*Constants!$E$18</f>
        <v>64.159823922796903</v>
      </c>
      <c r="AJ11" s="156">
        <f>T11*Constants!$E$17</f>
        <v>31.350362169590873</v>
      </c>
      <c r="AK11" s="156">
        <f>U11*Constants!$E$3</f>
        <v>41.452123230641128</v>
      </c>
      <c r="AL11" s="156">
        <f>V11*Constants!$E$4</f>
        <v>12.841522678185745</v>
      </c>
      <c r="AM11">
        <f>W11*Constants!$E$6</f>
        <v>6.3783906480535704</v>
      </c>
    </row>
    <row r="12" spans="1:39">
      <c r="A12" s="113">
        <f>'lab journal'!W11</f>
        <v>14.790277777778101</v>
      </c>
      <c r="B12" s="114">
        <v>20</v>
      </c>
      <c r="C12" s="113">
        <v>429.46</v>
      </c>
      <c r="D12" s="113">
        <v>0.33</v>
      </c>
      <c r="E12" s="113">
        <v>72.42</v>
      </c>
      <c r="F12" s="113">
        <v>51.31</v>
      </c>
      <c r="G12" s="114">
        <v>5</v>
      </c>
      <c r="H12">
        <v>100.79</v>
      </c>
      <c r="I12">
        <v>10.94</v>
      </c>
      <c r="J12">
        <v>5.89</v>
      </c>
      <c r="K12" s="115">
        <f t="shared" si="0"/>
        <v>8589.1999999999989</v>
      </c>
      <c r="L12" s="115">
        <f t="shared" si="1"/>
        <v>6.6000000000000005</v>
      </c>
      <c r="M12" s="115">
        <f t="shared" si="2"/>
        <v>1448.4</v>
      </c>
      <c r="N12" s="115">
        <f t="shared" si="3"/>
        <v>1026.2</v>
      </c>
      <c r="O12" s="115">
        <v>100</v>
      </c>
      <c r="P12" s="202">
        <f>K12/Constants!$C$12</f>
        <v>82.505559317800845</v>
      </c>
      <c r="Q12" s="202">
        <f>L12/Constants!$C$11</f>
        <v>7.6663956324776406E-2</v>
      </c>
      <c r="R12" s="202">
        <f>M12/Constants!$C$13</f>
        <v>16.079040852575488</v>
      </c>
      <c r="S12" s="202">
        <f>N12/Constants!$C$18</f>
        <v>8.6870397020231955</v>
      </c>
      <c r="T12" s="202">
        <f>O12/Constants!$C$17</f>
        <v>0.36453909499524273</v>
      </c>
      <c r="U12" s="202">
        <f>IF(H12="n.a.", 0, H12*G12/Constants!$C$3)</f>
        <v>8.39217318900916</v>
      </c>
      <c r="V12" s="202">
        <f>IF(I12="n.a.", 0, I12*G12/Constants!$C$4)</f>
        <v>0.73839092872570189</v>
      </c>
      <c r="W12" s="202">
        <f>IF(J12="n.a.", 0, J12*G12/Constants!$C$6)</f>
        <v>0.33424128929746905</v>
      </c>
      <c r="X12">
        <f>P12*Constants!$D$12</f>
        <v>330.02223727120338</v>
      </c>
      <c r="Y12">
        <f>Q12*Constants!$D$11</f>
        <v>0.30665582529910562</v>
      </c>
      <c r="Z12">
        <f>R12*Constants!$D$13</f>
        <v>48.237122557726465</v>
      </c>
      <c r="AA12">
        <f>S12*Constants!$D$18</f>
        <v>43.435198510115981</v>
      </c>
      <c r="AB12">
        <f>T12*Constants!$D$17</f>
        <v>6.9262428049096121</v>
      </c>
      <c r="AC12" s="156">
        <f>U12*Constants!$D$3</f>
        <v>16.78434637801832</v>
      </c>
      <c r="AD12" s="156">
        <f>V12*Constants!$D$4</f>
        <v>2.2151727861771056</v>
      </c>
      <c r="AE12" s="156">
        <f>W12*Constants!$D$6</f>
        <v>1.3369651571898762</v>
      </c>
      <c r="AF12" s="156">
        <f>P12*Constants!$E$12</f>
        <v>1485.1000677204152</v>
      </c>
      <c r="AG12" s="156">
        <f>Q12*Constants!$E$11</f>
        <v>1.3799512138459753</v>
      </c>
      <c r="AH12" s="156">
        <f>R12*Constants!$E$13</f>
        <v>192.94849023090586</v>
      </c>
      <c r="AI12" s="156">
        <f>S12*Constants!$E$18</f>
        <v>208.48895284855669</v>
      </c>
      <c r="AJ12" s="156">
        <f>T12*Constants!$E$17</f>
        <v>31.350362169590873</v>
      </c>
      <c r="AK12" s="156">
        <f>U12*Constants!$E$3</f>
        <v>67.13738551207328</v>
      </c>
      <c r="AL12" s="156">
        <f>V12*Constants!$E$4</f>
        <v>10.337473002159827</v>
      </c>
      <c r="AM12">
        <f>W12*Constants!$E$6</f>
        <v>6.6848257859493811</v>
      </c>
    </row>
    <row r="13" spans="1:39">
      <c r="A13" s="113">
        <f>'lab journal'!W12</f>
        <v>17.790277777778101</v>
      </c>
      <c r="B13" s="114">
        <v>20</v>
      </c>
      <c r="C13" s="113">
        <v>429.46</v>
      </c>
      <c r="D13" s="113">
        <v>0.33</v>
      </c>
      <c r="E13" s="113">
        <v>72.42</v>
      </c>
      <c r="F13" s="113">
        <v>51.31</v>
      </c>
      <c r="G13" s="114">
        <v>5</v>
      </c>
      <c r="H13">
        <v>100.79</v>
      </c>
      <c r="I13">
        <v>10.94</v>
      </c>
      <c r="J13">
        <v>5.89</v>
      </c>
      <c r="K13" s="115">
        <f t="shared" si="0"/>
        <v>8589.1999999999989</v>
      </c>
      <c r="L13" s="115">
        <f t="shared" si="1"/>
        <v>6.6000000000000005</v>
      </c>
      <c r="M13" s="115">
        <f t="shared" si="2"/>
        <v>1448.4</v>
      </c>
      <c r="N13" s="115">
        <f t="shared" si="3"/>
        <v>1026.2</v>
      </c>
      <c r="O13" s="115">
        <v>100</v>
      </c>
      <c r="P13" s="202">
        <f>K13/Constants!$C$12</f>
        <v>82.505559317800845</v>
      </c>
      <c r="Q13" s="202">
        <f>L13/Constants!$C$11</f>
        <v>7.6663956324776406E-2</v>
      </c>
      <c r="R13" s="202">
        <f>M13/Constants!$C$13</f>
        <v>16.079040852575488</v>
      </c>
      <c r="S13" s="202">
        <f>N13/Constants!$C$18</f>
        <v>8.6870397020231955</v>
      </c>
      <c r="T13" s="202">
        <f>O13/Constants!$C$17</f>
        <v>0.36453909499524273</v>
      </c>
      <c r="U13" s="202">
        <f>IF(H13="n.a.", 0, H13*G13/Constants!$C$3)</f>
        <v>8.39217318900916</v>
      </c>
      <c r="V13" s="202">
        <f>IF(I13="n.a.", 0, I13*G13/Constants!$C$4)</f>
        <v>0.73839092872570189</v>
      </c>
      <c r="W13" s="202">
        <f>IF(J13="n.a.", 0, J13*G13/Constants!$C$6)</f>
        <v>0.33424128929746905</v>
      </c>
      <c r="X13">
        <f>P13*Constants!$D$12</f>
        <v>330.02223727120338</v>
      </c>
      <c r="Y13">
        <f>Q13*Constants!$D$11</f>
        <v>0.30665582529910562</v>
      </c>
      <c r="Z13">
        <f>R13*Constants!$D$13</f>
        <v>48.237122557726465</v>
      </c>
      <c r="AA13">
        <f>S13*Constants!$D$18</f>
        <v>43.435198510115981</v>
      </c>
      <c r="AB13">
        <f>T13*Constants!$D$17</f>
        <v>6.9262428049096121</v>
      </c>
      <c r="AC13" s="156">
        <f>U13*Constants!$D$3</f>
        <v>16.78434637801832</v>
      </c>
      <c r="AD13" s="156">
        <f>V13*Constants!$D$4</f>
        <v>2.2151727861771056</v>
      </c>
      <c r="AE13" s="156">
        <f>W13*Constants!$D$6</f>
        <v>1.3369651571898762</v>
      </c>
      <c r="AF13" s="156">
        <f>P13*Constants!$E$12</f>
        <v>1485.1000677204152</v>
      </c>
      <c r="AG13" s="156">
        <f>Q13*Constants!$E$11</f>
        <v>1.3799512138459753</v>
      </c>
      <c r="AH13" s="156">
        <f>R13*Constants!$E$13</f>
        <v>192.94849023090586</v>
      </c>
      <c r="AI13" s="156">
        <f>S13*Constants!$E$18</f>
        <v>208.48895284855669</v>
      </c>
      <c r="AJ13" s="156">
        <f>T13*Constants!$E$17</f>
        <v>31.350362169590873</v>
      </c>
      <c r="AK13" s="156">
        <f>U13*Constants!$E$3</f>
        <v>67.13738551207328</v>
      </c>
      <c r="AL13" s="156">
        <f>V13*Constants!$E$4</f>
        <v>10.337473002159827</v>
      </c>
      <c r="AM13">
        <f>W13*Constants!$E$6</f>
        <v>6.6848257859493811</v>
      </c>
    </row>
    <row r="14" spans="1:39">
      <c r="A14" s="113">
        <f>'lab journal'!W13</f>
        <v>19.788194444445253</v>
      </c>
      <c r="B14" s="114">
        <v>20</v>
      </c>
      <c r="C14" s="113">
        <v>429.46</v>
      </c>
      <c r="D14" s="113">
        <v>0.33</v>
      </c>
      <c r="E14" s="113">
        <v>72.42</v>
      </c>
      <c r="F14" s="113">
        <v>51.31</v>
      </c>
      <c r="G14" s="114">
        <v>5</v>
      </c>
      <c r="H14">
        <v>100.79</v>
      </c>
      <c r="I14">
        <v>10.94</v>
      </c>
      <c r="J14">
        <v>5.89</v>
      </c>
      <c r="K14" s="115">
        <f t="shared" si="0"/>
        <v>8589.1999999999989</v>
      </c>
      <c r="L14" s="115">
        <f t="shared" si="1"/>
        <v>6.6000000000000005</v>
      </c>
      <c r="M14" s="115">
        <f t="shared" si="2"/>
        <v>1448.4</v>
      </c>
      <c r="N14" s="115">
        <f t="shared" si="3"/>
        <v>1026.2</v>
      </c>
      <c r="O14" s="115">
        <v>100</v>
      </c>
      <c r="P14" s="202">
        <f>K14/Constants!$C$12</f>
        <v>82.505559317800845</v>
      </c>
      <c r="Q14" s="202">
        <f>L14/Constants!$C$11</f>
        <v>7.6663956324776406E-2</v>
      </c>
      <c r="R14" s="202">
        <f>M14/Constants!$C$13</f>
        <v>16.079040852575488</v>
      </c>
      <c r="S14" s="202">
        <f>N14/Constants!$C$18</f>
        <v>8.6870397020231955</v>
      </c>
      <c r="T14" s="202">
        <f>O14/Constants!$C$17</f>
        <v>0.36453909499524273</v>
      </c>
      <c r="U14" s="202">
        <f>IF(H14="n.a.", 0, H14*G14/Constants!$C$3)</f>
        <v>8.39217318900916</v>
      </c>
      <c r="V14" s="202">
        <f>IF(I14="n.a.", 0, I14*G14/Constants!$C$4)</f>
        <v>0.73839092872570189</v>
      </c>
      <c r="W14" s="202">
        <f>IF(J14="n.a.", 0, J14*G14/Constants!$C$6)</f>
        <v>0.33424128929746905</v>
      </c>
      <c r="X14">
        <f>P14*Constants!$D$12</f>
        <v>330.02223727120338</v>
      </c>
      <c r="Y14">
        <f>Q14*Constants!$D$11</f>
        <v>0.30665582529910562</v>
      </c>
      <c r="Z14">
        <f>R14*Constants!$D$13</f>
        <v>48.237122557726465</v>
      </c>
      <c r="AA14">
        <f>S14*Constants!$D$18</f>
        <v>43.435198510115981</v>
      </c>
      <c r="AB14">
        <f>T14*Constants!$D$17</f>
        <v>6.9262428049096121</v>
      </c>
      <c r="AC14" s="156">
        <f>U14*Constants!$D$3</f>
        <v>16.78434637801832</v>
      </c>
      <c r="AD14" s="156">
        <f>V14*Constants!$D$4</f>
        <v>2.2151727861771056</v>
      </c>
      <c r="AE14" s="156">
        <f>W14*Constants!$D$6</f>
        <v>1.3369651571898762</v>
      </c>
      <c r="AF14" s="156">
        <f>P14*Constants!$E$12</f>
        <v>1485.1000677204152</v>
      </c>
      <c r="AG14" s="156">
        <f>Q14*Constants!$E$11</f>
        <v>1.3799512138459753</v>
      </c>
      <c r="AH14" s="156">
        <f>R14*Constants!$E$13</f>
        <v>192.94849023090586</v>
      </c>
      <c r="AI14" s="156">
        <f>S14*Constants!$E$18</f>
        <v>208.48895284855669</v>
      </c>
      <c r="AJ14" s="156">
        <f>T14*Constants!$E$17</f>
        <v>31.350362169590873</v>
      </c>
      <c r="AK14" s="156">
        <f>U14*Constants!$E$3</f>
        <v>67.13738551207328</v>
      </c>
      <c r="AL14" s="156">
        <f>V14*Constants!$E$4</f>
        <v>10.337473002159827</v>
      </c>
      <c r="AM14">
        <f>W14*Constants!$E$6</f>
        <v>6.6848257859493811</v>
      </c>
    </row>
    <row r="15" spans="1:39">
      <c r="A15" s="113">
        <f>'lab journal'!W14</f>
        <v>21.788194444445253</v>
      </c>
      <c r="B15" s="114">
        <v>20</v>
      </c>
      <c r="C15" s="113">
        <v>429.46</v>
      </c>
      <c r="D15" s="113">
        <v>0.33</v>
      </c>
      <c r="E15" s="113">
        <v>72.42</v>
      </c>
      <c r="F15" s="113">
        <v>51.31</v>
      </c>
      <c r="G15" s="114">
        <v>5</v>
      </c>
      <c r="H15">
        <v>100.79</v>
      </c>
      <c r="I15">
        <v>10.94</v>
      </c>
      <c r="J15">
        <v>5.89</v>
      </c>
      <c r="K15" s="115">
        <f t="shared" si="0"/>
        <v>8589.1999999999989</v>
      </c>
      <c r="L15" s="115">
        <f t="shared" si="1"/>
        <v>6.6000000000000005</v>
      </c>
      <c r="M15" s="115">
        <f t="shared" si="2"/>
        <v>1448.4</v>
      </c>
      <c r="N15" s="115">
        <f t="shared" si="3"/>
        <v>1026.2</v>
      </c>
      <c r="O15" s="115">
        <v>100</v>
      </c>
      <c r="P15" s="202">
        <f>K15/Constants!$C$12</f>
        <v>82.505559317800845</v>
      </c>
      <c r="Q15" s="202">
        <f>L15/Constants!$C$11</f>
        <v>7.6663956324776406E-2</v>
      </c>
      <c r="R15" s="202">
        <f>M15/Constants!$C$13</f>
        <v>16.079040852575488</v>
      </c>
      <c r="S15" s="202">
        <f>N15/Constants!$C$18</f>
        <v>8.6870397020231955</v>
      </c>
      <c r="T15" s="202">
        <f>O15/Constants!$C$17</f>
        <v>0.36453909499524273</v>
      </c>
      <c r="U15" s="202">
        <f>IF(H15="n.a.", 0, H15*G15/Constants!$C$3)</f>
        <v>8.39217318900916</v>
      </c>
      <c r="V15" s="202">
        <f>IF(I15="n.a.", 0, I15*G15/Constants!$C$4)</f>
        <v>0.73839092872570189</v>
      </c>
      <c r="W15" s="202">
        <f>IF(J15="n.a.", 0, J15*G15/Constants!$C$6)</f>
        <v>0.33424128929746905</v>
      </c>
      <c r="X15">
        <f>P15*Constants!$D$12</f>
        <v>330.02223727120338</v>
      </c>
      <c r="Y15">
        <f>Q15*Constants!$D$11</f>
        <v>0.30665582529910562</v>
      </c>
      <c r="Z15">
        <f>R15*Constants!$D$13</f>
        <v>48.237122557726465</v>
      </c>
      <c r="AA15">
        <f>S15*Constants!$D$18</f>
        <v>43.435198510115981</v>
      </c>
      <c r="AB15">
        <f>T15*Constants!$D$17</f>
        <v>6.9262428049096121</v>
      </c>
      <c r="AC15" s="156">
        <f>U15*Constants!$D$3</f>
        <v>16.78434637801832</v>
      </c>
      <c r="AD15" s="156">
        <f>V15*Constants!$D$4</f>
        <v>2.2151727861771056</v>
      </c>
      <c r="AE15" s="156">
        <f>W15*Constants!$D$6</f>
        <v>1.3369651571898762</v>
      </c>
      <c r="AF15" s="156">
        <f>P15*Constants!$E$12</f>
        <v>1485.1000677204152</v>
      </c>
      <c r="AG15" s="156">
        <f>Q15*Constants!$E$11</f>
        <v>1.3799512138459753</v>
      </c>
      <c r="AH15" s="156">
        <f>R15*Constants!$E$13</f>
        <v>192.94849023090586</v>
      </c>
      <c r="AI15" s="156">
        <f>S15*Constants!$E$18</f>
        <v>208.48895284855669</v>
      </c>
      <c r="AJ15" s="156">
        <f>T15*Constants!$E$17</f>
        <v>31.350362169590873</v>
      </c>
      <c r="AK15" s="156">
        <f>U15*Constants!$E$3</f>
        <v>67.13738551207328</v>
      </c>
      <c r="AL15" s="156">
        <f>V15*Constants!$E$4</f>
        <v>10.337473002159827</v>
      </c>
      <c r="AM15">
        <f>W15*Constants!$E$6</f>
        <v>6.6848257859493811</v>
      </c>
    </row>
    <row r="16" spans="1:39">
      <c r="A16" s="113">
        <f>'lab journal'!W16</f>
        <v>24.75</v>
      </c>
      <c r="B16" s="114">
        <v>20</v>
      </c>
      <c r="C16" s="113">
        <v>424.25</v>
      </c>
      <c r="D16" s="113">
        <v>0.21</v>
      </c>
      <c r="E16" s="113">
        <v>62.79</v>
      </c>
      <c r="F16" s="113">
        <v>47.79</v>
      </c>
      <c r="G16" s="114">
        <v>5</v>
      </c>
      <c r="H16">
        <v>84.73</v>
      </c>
      <c r="I16">
        <v>9.35</v>
      </c>
      <c r="J16">
        <v>2.65</v>
      </c>
      <c r="K16" s="115">
        <f t="shared" si="0"/>
        <v>8485</v>
      </c>
      <c r="L16" s="115">
        <f t="shared" si="1"/>
        <v>4.2</v>
      </c>
      <c r="M16" s="115">
        <f t="shared" si="2"/>
        <v>1255.8</v>
      </c>
      <c r="N16" s="115">
        <f t="shared" si="3"/>
        <v>955.8</v>
      </c>
      <c r="O16" s="115">
        <v>100</v>
      </c>
      <c r="P16" s="202">
        <f>K16/Constants!$C$12</f>
        <v>81.504641970327896</v>
      </c>
      <c r="Q16" s="202">
        <f>L16/Constants!$C$11</f>
        <v>4.8786154024857704E-2</v>
      </c>
      <c r="R16" s="202">
        <f>M16/Constants!$C$13</f>
        <v>13.940941385435169</v>
      </c>
      <c r="S16" s="202">
        <f>N16/Constants!$C$18</f>
        <v>8.0910860915940059</v>
      </c>
      <c r="T16" s="202">
        <f>O16/Constants!$C$17</f>
        <v>0.36453909499524273</v>
      </c>
      <c r="U16" s="202">
        <f>IF(H16="n.a.", 0, H16*G16/Constants!$C$3)</f>
        <v>7.0549542048293095</v>
      </c>
      <c r="V16" s="202">
        <f>IF(I16="n.a.", 0, I16*G16/Constants!$C$4)</f>
        <v>0.63107451403887693</v>
      </c>
      <c r="W16" s="202">
        <f>IF(J16="n.a.", 0, J16*G16/Constants!$C$6)</f>
        <v>0.15038020655998185</v>
      </c>
      <c r="X16">
        <f>P16*Constants!$D$12</f>
        <v>326.01856788131158</v>
      </c>
      <c r="Y16">
        <f>Q16*Constants!$D$11</f>
        <v>0.19514461609943082</v>
      </c>
      <c r="Z16">
        <f>R16*Constants!$D$13</f>
        <v>41.822824156305508</v>
      </c>
      <c r="AA16">
        <f>S16*Constants!$D$18</f>
        <v>40.455430457970031</v>
      </c>
      <c r="AB16">
        <f>T16*Constants!$D$17</f>
        <v>6.9262428049096121</v>
      </c>
      <c r="AC16" s="156">
        <f>U16*Constants!$D$3</f>
        <v>14.109908409658619</v>
      </c>
      <c r="AD16" s="156">
        <f>V16*Constants!$D$4</f>
        <v>1.8932235421166308</v>
      </c>
      <c r="AE16" s="156">
        <f>W16*Constants!$D$6</f>
        <v>0.60152082623992742</v>
      </c>
      <c r="AF16" s="156">
        <f>P16*Constants!$E$12</f>
        <v>1467.083555465902</v>
      </c>
      <c r="AG16" s="156">
        <f>Q16*Constants!$E$11</f>
        <v>0.87815077244743867</v>
      </c>
      <c r="AH16" s="156">
        <f>R16*Constants!$E$13</f>
        <v>167.29129662522203</v>
      </c>
      <c r="AI16" s="156">
        <f>S16*Constants!$E$18</f>
        <v>194.18606619825613</v>
      </c>
      <c r="AJ16" s="156">
        <f>T16*Constants!$E$17</f>
        <v>31.350362169590873</v>
      </c>
      <c r="AK16" s="156">
        <f>U16*Constants!$E$3</f>
        <v>56.439633638634476</v>
      </c>
      <c r="AL16" s="156">
        <f>V16*Constants!$E$4</f>
        <v>8.8350431965442766</v>
      </c>
      <c r="AM16">
        <f>W16*Constants!$E$6</f>
        <v>3.0076041311996371</v>
      </c>
    </row>
    <row r="17" spans="1:39">
      <c r="A17" s="113">
        <f>'lab journal'!W17</f>
        <v>26.75</v>
      </c>
      <c r="B17" s="114">
        <v>20</v>
      </c>
      <c r="C17" s="113">
        <v>424.25</v>
      </c>
      <c r="D17" s="113">
        <v>0.21</v>
      </c>
      <c r="E17" s="113">
        <v>62.79</v>
      </c>
      <c r="F17" s="113">
        <v>47.79</v>
      </c>
      <c r="G17" s="114">
        <v>5</v>
      </c>
      <c r="H17">
        <v>84.73</v>
      </c>
      <c r="I17">
        <v>9.35</v>
      </c>
      <c r="J17">
        <v>2.65</v>
      </c>
      <c r="K17" s="115">
        <f t="shared" si="0"/>
        <v>8485</v>
      </c>
      <c r="L17" s="115">
        <f t="shared" si="1"/>
        <v>4.2</v>
      </c>
      <c r="M17" s="115">
        <f t="shared" si="2"/>
        <v>1255.8</v>
      </c>
      <c r="N17" s="115">
        <f t="shared" si="3"/>
        <v>955.8</v>
      </c>
      <c r="O17" s="115">
        <v>100</v>
      </c>
      <c r="P17" s="202">
        <f>K17/Constants!$C$12</f>
        <v>81.504641970327896</v>
      </c>
      <c r="Q17" s="202">
        <f>L17/Constants!$C$11</f>
        <v>4.8786154024857704E-2</v>
      </c>
      <c r="R17" s="202">
        <f>M17/Constants!$C$13</f>
        <v>13.940941385435169</v>
      </c>
      <c r="S17" s="202">
        <f>N17/Constants!$C$18</f>
        <v>8.0910860915940059</v>
      </c>
      <c r="T17" s="202">
        <f>O17/Constants!$C$17</f>
        <v>0.36453909499524273</v>
      </c>
      <c r="U17" s="202">
        <f>IF(H17="n.a.", 0, H17*G17/Constants!$C$3)</f>
        <v>7.0549542048293095</v>
      </c>
      <c r="V17" s="202">
        <f>IF(I17="n.a.", 0, I17*G17/Constants!$C$4)</f>
        <v>0.63107451403887693</v>
      </c>
      <c r="W17" s="202">
        <f>IF(J17="n.a.", 0, J17*G17/Constants!$C$6)</f>
        <v>0.15038020655998185</v>
      </c>
      <c r="X17">
        <f>P17*Constants!$D$12</f>
        <v>326.01856788131158</v>
      </c>
      <c r="Y17">
        <f>Q17*Constants!$D$11</f>
        <v>0.19514461609943082</v>
      </c>
      <c r="Z17">
        <f>R17*Constants!$D$13</f>
        <v>41.822824156305508</v>
      </c>
      <c r="AA17">
        <f>S17*Constants!$D$18</f>
        <v>40.455430457970031</v>
      </c>
      <c r="AB17">
        <f>T17*Constants!$D$17</f>
        <v>6.9262428049096121</v>
      </c>
      <c r="AC17" s="156">
        <f>U17*Constants!$D$3</f>
        <v>14.109908409658619</v>
      </c>
      <c r="AD17" s="156">
        <f>V17*Constants!$D$4</f>
        <v>1.8932235421166308</v>
      </c>
      <c r="AE17" s="156">
        <f>W17*Constants!$D$6</f>
        <v>0.60152082623992742</v>
      </c>
      <c r="AF17" s="156">
        <f>P17*Constants!$E$12</f>
        <v>1467.083555465902</v>
      </c>
      <c r="AG17" s="156">
        <f>Q17*Constants!$E$11</f>
        <v>0.87815077244743867</v>
      </c>
      <c r="AH17" s="156">
        <f>R17*Constants!$E$13</f>
        <v>167.29129662522203</v>
      </c>
      <c r="AI17" s="156">
        <f>S17*Constants!$E$18</f>
        <v>194.18606619825613</v>
      </c>
      <c r="AJ17" s="156">
        <f>T17*Constants!$E$17</f>
        <v>31.350362169590873</v>
      </c>
      <c r="AK17" s="156">
        <f>U17*Constants!$E$3</f>
        <v>56.439633638634476</v>
      </c>
      <c r="AL17" s="156">
        <f>V17*Constants!$E$4</f>
        <v>8.8350431965442766</v>
      </c>
      <c r="AM17">
        <f>W17*Constants!$E$6</f>
        <v>3.0076041311996371</v>
      </c>
    </row>
    <row r="18" spans="1:39">
      <c r="A18" s="113">
        <f>'lab journal'!W18</f>
        <v>28.75</v>
      </c>
      <c r="B18" s="114">
        <v>20</v>
      </c>
      <c r="C18" s="113">
        <v>424.25</v>
      </c>
      <c r="D18" s="113">
        <v>0.21</v>
      </c>
      <c r="E18" s="113">
        <v>62.79</v>
      </c>
      <c r="F18" s="113">
        <v>47.79</v>
      </c>
      <c r="G18" s="114">
        <v>5</v>
      </c>
      <c r="H18">
        <v>84.73</v>
      </c>
      <c r="I18">
        <v>9.35</v>
      </c>
      <c r="J18">
        <v>2.65</v>
      </c>
      <c r="K18" s="115">
        <f t="shared" si="0"/>
        <v>8485</v>
      </c>
      <c r="L18" s="115">
        <f t="shared" si="1"/>
        <v>4.2</v>
      </c>
      <c r="M18" s="115">
        <f t="shared" si="2"/>
        <v>1255.8</v>
      </c>
      <c r="N18" s="115">
        <f t="shared" si="3"/>
        <v>955.8</v>
      </c>
      <c r="O18" s="115">
        <v>100</v>
      </c>
      <c r="P18" s="202">
        <f>K18/Constants!$C$12</f>
        <v>81.504641970327896</v>
      </c>
      <c r="Q18" s="202">
        <f>L18/Constants!$C$11</f>
        <v>4.8786154024857704E-2</v>
      </c>
      <c r="R18" s="202">
        <f>M18/Constants!$C$13</f>
        <v>13.940941385435169</v>
      </c>
      <c r="S18" s="202">
        <f>N18/Constants!$C$18</f>
        <v>8.0910860915940059</v>
      </c>
      <c r="T18" s="202">
        <f>O18/Constants!$C$17</f>
        <v>0.36453909499524273</v>
      </c>
      <c r="U18" s="202">
        <f>IF(H18="n.a.", 0, H18*G18/Constants!$C$3)</f>
        <v>7.0549542048293095</v>
      </c>
      <c r="V18" s="202">
        <f>IF(I18="n.a.", 0, I18*G18/Constants!$C$4)</f>
        <v>0.63107451403887693</v>
      </c>
      <c r="W18" s="202">
        <f>IF(J18="n.a.", 0, J18*G18/Constants!$C$6)</f>
        <v>0.15038020655998185</v>
      </c>
      <c r="X18">
        <f>P18*Constants!$D$12</f>
        <v>326.01856788131158</v>
      </c>
      <c r="Y18">
        <f>Q18*Constants!$D$11</f>
        <v>0.19514461609943082</v>
      </c>
      <c r="Z18">
        <f>R18*Constants!$D$13</f>
        <v>41.822824156305508</v>
      </c>
      <c r="AA18">
        <f>S18*Constants!$D$18</f>
        <v>40.455430457970031</v>
      </c>
      <c r="AB18">
        <f>T18*Constants!$D$17</f>
        <v>6.9262428049096121</v>
      </c>
      <c r="AC18" s="156">
        <f>U18*Constants!$D$3</f>
        <v>14.109908409658619</v>
      </c>
      <c r="AD18" s="156">
        <f>V18*Constants!$D$4</f>
        <v>1.8932235421166308</v>
      </c>
      <c r="AE18" s="156">
        <f>W18*Constants!$D$6</f>
        <v>0.60152082623992742</v>
      </c>
      <c r="AF18" s="156">
        <f>P18*Constants!$E$12</f>
        <v>1467.083555465902</v>
      </c>
      <c r="AG18" s="156">
        <f>Q18*Constants!$E$11</f>
        <v>0.87815077244743867</v>
      </c>
      <c r="AH18" s="156">
        <f>R18*Constants!$E$13</f>
        <v>167.29129662522203</v>
      </c>
      <c r="AI18" s="156">
        <f>S18*Constants!$E$18</f>
        <v>194.18606619825613</v>
      </c>
      <c r="AJ18" s="156">
        <f>T18*Constants!$E$17</f>
        <v>31.350362169590873</v>
      </c>
      <c r="AK18" s="156">
        <f>U18*Constants!$E$3</f>
        <v>56.439633638634476</v>
      </c>
      <c r="AL18" s="156">
        <f>V18*Constants!$E$4</f>
        <v>8.8350431965442766</v>
      </c>
      <c r="AM18">
        <f>W18*Constants!$E$6</f>
        <v>3.0076041311996371</v>
      </c>
    </row>
    <row r="19" spans="1:39">
      <c r="A19" s="113">
        <f>'lab journal'!W19</f>
        <v>31.75</v>
      </c>
      <c r="B19" s="114">
        <v>20</v>
      </c>
      <c r="C19" s="113">
        <v>424.25</v>
      </c>
      <c r="D19" s="113">
        <v>0.21</v>
      </c>
      <c r="E19" s="113">
        <v>62.79</v>
      </c>
      <c r="F19" s="113">
        <v>47.79</v>
      </c>
      <c r="G19" s="114">
        <v>5</v>
      </c>
      <c r="H19">
        <v>84.73</v>
      </c>
      <c r="I19">
        <v>9.35</v>
      </c>
      <c r="J19">
        <v>2.65</v>
      </c>
      <c r="K19" s="115">
        <f t="shared" si="0"/>
        <v>8485</v>
      </c>
      <c r="L19" s="115">
        <f t="shared" si="1"/>
        <v>4.2</v>
      </c>
      <c r="M19" s="115">
        <f t="shared" si="2"/>
        <v>1255.8</v>
      </c>
      <c r="N19" s="115">
        <f t="shared" si="3"/>
        <v>955.8</v>
      </c>
      <c r="O19" s="115">
        <v>100</v>
      </c>
      <c r="P19" s="202">
        <f>K19/Constants!$C$12</f>
        <v>81.504641970327896</v>
      </c>
      <c r="Q19" s="202">
        <f>L19/Constants!$C$11</f>
        <v>4.8786154024857704E-2</v>
      </c>
      <c r="R19" s="202">
        <f>M19/Constants!$C$13</f>
        <v>13.940941385435169</v>
      </c>
      <c r="S19" s="202">
        <f>N19/Constants!$C$18</f>
        <v>8.0910860915940059</v>
      </c>
      <c r="T19" s="202">
        <f>O19/Constants!$C$17</f>
        <v>0.36453909499524273</v>
      </c>
      <c r="U19" s="202">
        <f>IF(H19="n.a.", 0, H19*G19/Constants!$C$3)</f>
        <v>7.0549542048293095</v>
      </c>
      <c r="V19" s="202">
        <f>IF(I19="n.a.", 0, I19*G19/Constants!$C$4)</f>
        <v>0.63107451403887693</v>
      </c>
      <c r="W19" s="202">
        <f>IF(J19="n.a.", 0, J19*G19/Constants!$C$6)</f>
        <v>0.15038020655998185</v>
      </c>
      <c r="X19">
        <f>P19*Constants!$D$12</f>
        <v>326.01856788131158</v>
      </c>
      <c r="Y19">
        <f>Q19*Constants!$D$11</f>
        <v>0.19514461609943082</v>
      </c>
      <c r="Z19">
        <f>R19*Constants!$D$13</f>
        <v>41.822824156305508</v>
      </c>
      <c r="AA19">
        <f>S19*Constants!$D$18</f>
        <v>40.455430457970031</v>
      </c>
      <c r="AB19">
        <f>T19*Constants!$D$17</f>
        <v>6.9262428049096121</v>
      </c>
      <c r="AC19" s="156">
        <f>U19*Constants!$D$3</f>
        <v>14.109908409658619</v>
      </c>
      <c r="AD19" s="156">
        <f>V19*Constants!$D$4</f>
        <v>1.8932235421166308</v>
      </c>
      <c r="AE19" s="156">
        <f>W19*Constants!$D$6</f>
        <v>0.60152082623992742</v>
      </c>
      <c r="AF19" s="156">
        <f>P19*Constants!$E$12</f>
        <v>1467.083555465902</v>
      </c>
      <c r="AG19" s="156">
        <f>Q19*Constants!$E$11</f>
        <v>0.87815077244743867</v>
      </c>
      <c r="AH19" s="156">
        <f>R19*Constants!$E$13</f>
        <v>167.29129662522203</v>
      </c>
      <c r="AI19" s="156">
        <f>S19*Constants!$E$18</f>
        <v>194.18606619825613</v>
      </c>
      <c r="AJ19" s="156">
        <f>T19*Constants!$E$17</f>
        <v>31.350362169590873</v>
      </c>
      <c r="AK19" s="156">
        <f>U19*Constants!$E$3</f>
        <v>56.439633638634476</v>
      </c>
      <c r="AL19" s="156">
        <f>V19*Constants!$E$4</f>
        <v>8.8350431965442766</v>
      </c>
      <c r="AM19">
        <f>W19*Constants!$E$6</f>
        <v>3.0076041311996371</v>
      </c>
    </row>
    <row r="20" spans="1:39">
      <c r="A20" s="113">
        <f>'lab journal'!W20</f>
        <v>33.761111111110949</v>
      </c>
      <c r="B20" s="114">
        <v>20</v>
      </c>
      <c r="C20" s="113">
        <v>446.16</v>
      </c>
      <c r="D20" s="113">
        <v>0.2</v>
      </c>
      <c r="E20" s="113">
        <v>71.69</v>
      </c>
      <c r="F20" s="113">
        <v>42.39</v>
      </c>
      <c r="G20" s="114">
        <v>5</v>
      </c>
      <c r="H20">
        <v>113</v>
      </c>
      <c r="I20">
        <v>11.77</v>
      </c>
      <c r="J20">
        <v>6.41</v>
      </c>
      <c r="K20" s="115">
        <f t="shared" si="0"/>
        <v>8923.2000000000007</v>
      </c>
      <c r="L20" s="115">
        <f t="shared" si="1"/>
        <v>4</v>
      </c>
      <c r="M20" s="115">
        <f t="shared" si="2"/>
        <v>1433.8</v>
      </c>
      <c r="N20" s="115">
        <f t="shared" si="3"/>
        <v>847.8</v>
      </c>
      <c r="O20" s="115">
        <v>100</v>
      </c>
      <c r="P20" s="202">
        <f>K20/Constants!$C$12</f>
        <v>85.713874040027093</v>
      </c>
      <c r="Q20" s="202">
        <f>L20/Constants!$C$11</f>
        <v>4.6463003833197812E-2</v>
      </c>
      <c r="R20" s="202">
        <f>M20/Constants!$C$13</f>
        <v>15.916962699822379</v>
      </c>
      <c r="S20" s="202">
        <f>N20/Constants!$C$18</f>
        <v>7.1768390755946836</v>
      </c>
      <c r="T20" s="202">
        <f>O20/Constants!$C$17</f>
        <v>0.36453909499524273</v>
      </c>
      <c r="U20" s="202">
        <f>IF(H20="n.a.", 0, H20*G20/Constants!$C$3)</f>
        <v>9.4088259783513735</v>
      </c>
      <c r="V20" s="202">
        <f>IF(I20="n.a.", 0, I20*G20/Constants!$C$4)</f>
        <v>0.79441144708423317</v>
      </c>
      <c r="W20" s="202">
        <f>IF(J20="n.a.", 0, J20*G20/Constants!$C$6)</f>
        <v>0.3637498581318806</v>
      </c>
      <c r="X20">
        <f>P20*Constants!$D$12</f>
        <v>342.85549616010837</v>
      </c>
      <c r="Y20">
        <f>Q20*Constants!$D$11</f>
        <v>0.18585201533279125</v>
      </c>
      <c r="Z20">
        <f>R20*Constants!$D$13</f>
        <v>47.75088809946714</v>
      </c>
      <c r="AA20">
        <f>S20*Constants!$D$18</f>
        <v>35.88419537797342</v>
      </c>
      <c r="AB20">
        <f>T20*Constants!$D$17</f>
        <v>6.9262428049096121</v>
      </c>
      <c r="AC20" s="156">
        <f>U20*Constants!$D$3</f>
        <v>18.817651956702747</v>
      </c>
      <c r="AD20" s="156">
        <f>V20*Constants!$D$4</f>
        <v>2.3832343412526997</v>
      </c>
      <c r="AE20" s="156">
        <f>W20*Constants!$D$6</f>
        <v>1.4549994325275224</v>
      </c>
      <c r="AF20" s="156">
        <f>P20*Constants!$E$12</f>
        <v>1542.8497327204877</v>
      </c>
      <c r="AG20" s="156">
        <f>Q20*Constants!$E$11</f>
        <v>0.83633406899756058</v>
      </c>
      <c r="AH20" s="156">
        <f>R20*Constants!$E$13</f>
        <v>191.00355239786856</v>
      </c>
      <c r="AI20" s="156">
        <f>S20*Constants!$E$18</f>
        <v>172.24413781427239</v>
      </c>
      <c r="AJ20" s="156">
        <f>T20*Constants!$E$17</f>
        <v>31.350362169590873</v>
      </c>
      <c r="AK20" s="156">
        <f>U20*Constants!$E$3</f>
        <v>75.270607826810988</v>
      </c>
      <c r="AL20" s="156">
        <f>V20*Constants!$E$4</f>
        <v>11.121760259179265</v>
      </c>
      <c r="AM20">
        <f>W20*Constants!$E$6</f>
        <v>7.2749971626376118</v>
      </c>
    </row>
    <row r="21" spans="1:39">
      <c r="A21" s="113">
        <f>'lab journal'!W21</f>
        <v>35.759722222224809</v>
      </c>
      <c r="B21" s="114">
        <v>20</v>
      </c>
      <c r="C21" s="113">
        <v>446.16</v>
      </c>
      <c r="D21" s="113">
        <v>0.2</v>
      </c>
      <c r="E21" s="113">
        <v>71.69</v>
      </c>
      <c r="F21" s="113">
        <v>42.39</v>
      </c>
      <c r="G21" s="114">
        <v>5</v>
      </c>
      <c r="H21">
        <v>113</v>
      </c>
      <c r="I21">
        <v>11.77</v>
      </c>
      <c r="J21">
        <v>6.41</v>
      </c>
      <c r="K21" s="115">
        <f t="shared" si="0"/>
        <v>8923.2000000000007</v>
      </c>
      <c r="L21" s="115">
        <f t="shared" si="1"/>
        <v>4</v>
      </c>
      <c r="M21" s="115">
        <f t="shared" si="2"/>
        <v>1433.8</v>
      </c>
      <c r="N21" s="115">
        <f t="shared" si="3"/>
        <v>847.8</v>
      </c>
      <c r="O21" s="115">
        <v>100</v>
      </c>
      <c r="P21" s="202">
        <f>K21/Constants!$C$12</f>
        <v>85.713874040027093</v>
      </c>
      <c r="Q21" s="202">
        <f>L21/Constants!$C$11</f>
        <v>4.6463003833197812E-2</v>
      </c>
      <c r="R21" s="202">
        <f>M21/Constants!$C$13</f>
        <v>15.916962699822379</v>
      </c>
      <c r="S21" s="202">
        <f>N21/Constants!$C$18</f>
        <v>7.1768390755946836</v>
      </c>
      <c r="T21" s="202">
        <f>O21/Constants!$C$17</f>
        <v>0.36453909499524273</v>
      </c>
      <c r="U21" s="202">
        <f>IF(H21="n.a.", 0, H21*G21/Constants!$C$3)</f>
        <v>9.4088259783513735</v>
      </c>
      <c r="V21" s="202">
        <f>IF(I21="n.a.", 0, I21*G21/Constants!$C$4)</f>
        <v>0.79441144708423317</v>
      </c>
      <c r="W21" s="202">
        <f>IF(J21="n.a.", 0, J21*G21/Constants!$C$6)</f>
        <v>0.3637498581318806</v>
      </c>
      <c r="X21">
        <f>P21*Constants!$D$12</f>
        <v>342.85549616010837</v>
      </c>
      <c r="Y21">
        <f>Q21*Constants!$D$11</f>
        <v>0.18585201533279125</v>
      </c>
      <c r="Z21">
        <f>R21*Constants!$D$13</f>
        <v>47.75088809946714</v>
      </c>
      <c r="AA21">
        <f>S21*Constants!$D$18</f>
        <v>35.88419537797342</v>
      </c>
      <c r="AB21">
        <f>T21*Constants!$D$17</f>
        <v>6.9262428049096121</v>
      </c>
      <c r="AC21" s="156">
        <f>U21*Constants!$D$3</f>
        <v>18.817651956702747</v>
      </c>
      <c r="AD21" s="156">
        <f>V21*Constants!$D$4</f>
        <v>2.3832343412526997</v>
      </c>
      <c r="AE21" s="156">
        <f>W21*Constants!$D$6</f>
        <v>1.4549994325275224</v>
      </c>
      <c r="AF21" s="156">
        <f>P21*Constants!$E$12</f>
        <v>1542.8497327204877</v>
      </c>
      <c r="AG21" s="156">
        <f>Q21*Constants!$E$11</f>
        <v>0.83633406899756058</v>
      </c>
      <c r="AH21" s="156">
        <f>R21*Constants!$E$13</f>
        <v>191.00355239786856</v>
      </c>
      <c r="AI21" s="156">
        <f>S21*Constants!$E$18</f>
        <v>172.24413781427239</v>
      </c>
      <c r="AJ21" s="156">
        <f>T21*Constants!$E$17</f>
        <v>31.350362169590873</v>
      </c>
      <c r="AK21" s="156">
        <f>U21*Constants!$E$3</f>
        <v>75.270607826810988</v>
      </c>
      <c r="AL21" s="156">
        <f>V21*Constants!$E$4</f>
        <v>11.121760259179265</v>
      </c>
      <c r="AM21">
        <f>W21*Constants!$E$6</f>
        <v>7.2749971626376118</v>
      </c>
    </row>
    <row r="22" spans="1:39">
      <c r="A22" s="113">
        <f>'lab journal'!W22</f>
        <v>38.75</v>
      </c>
      <c r="B22" s="114">
        <v>20</v>
      </c>
      <c r="C22" s="113">
        <v>446.16</v>
      </c>
      <c r="D22" s="113">
        <v>0.2</v>
      </c>
      <c r="E22" s="113">
        <v>71.69</v>
      </c>
      <c r="F22" s="113">
        <v>42.39</v>
      </c>
      <c r="G22" s="114">
        <v>5</v>
      </c>
      <c r="H22">
        <v>113</v>
      </c>
      <c r="I22">
        <v>11.77</v>
      </c>
      <c r="J22">
        <v>6.41</v>
      </c>
      <c r="K22" s="115">
        <f t="shared" si="0"/>
        <v>8923.2000000000007</v>
      </c>
      <c r="L22" s="115">
        <f t="shared" si="1"/>
        <v>4</v>
      </c>
      <c r="M22" s="115">
        <f t="shared" si="2"/>
        <v>1433.8</v>
      </c>
      <c r="N22" s="115">
        <f t="shared" si="3"/>
        <v>847.8</v>
      </c>
      <c r="O22" s="115">
        <v>100</v>
      </c>
      <c r="P22" s="202">
        <f>K22/Constants!$C$12</f>
        <v>85.713874040027093</v>
      </c>
      <c r="Q22" s="202">
        <f>L22/Constants!$C$11</f>
        <v>4.6463003833197812E-2</v>
      </c>
      <c r="R22" s="202">
        <f>M22/Constants!$C$13</f>
        <v>15.916962699822379</v>
      </c>
      <c r="S22" s="202">
        <f>N22/Constants!$C$18</f>
        <v>7.1768390755946836</v>
      </c>
      <c r="T22" s="202">
        <f>O22/Constants!$C$17</f>
        <v>0.36453909499524273</v>
      </c>
      <c r="U22" s="202">
        <f>IF(H22="n.a.", 0, H22*G22/Constants!$C$3)</f>
        <v>9.4088259783513735</v>
      </c>
      <c r="V22" s="202">
        <f>IF(I22="n.a.", 0, I22*G22/Constants!$C$4)</f>
        <v>0.79441144708423317</v>
      </c>
      <c r="W22" s="202">
        <f>IF(J22="n.a.", 0, J22*G22/Constants!$C$6)</f>
        <v>0.3637498581318806</v>
      </c>
      <c r="X22">
        <f>P22*Constants!$D$12</f>
        <v>342.85549616010837</v>
      </c>
      <c r="Y22">
        <f>Q22*Constants!$D$11</f>
        <v>0.18585201533279125</v>
      </c>
      <c r="Z22">
        <f>R22*Constants!$D$13</f>
        <v>47.75088809946714</v>
      </c>
      <c r="AA22">
        <f>S22*Constants!$D$18</f>
        <v>35.88419537797342</v>
      </c>
      <c r="AB22">
        <f>T22*Constants!$D$17</f>
        <v>6.9262428049096121</v>
      </c>
      <c r="AC22" s="156">
        <f>U22*Constants!$D$3</f>
        <v>18.817651956702747</v>
      </c>
      <c r="AD22" s="156">
        <f>V22*Constants!$D$4</f>
        <v>2.3832343412526997</v>
      </c>
      <c r="AE22" s="156">
        <f>W22*Constants!$D$6</f>
        <v>1.4549994325275224</v>
      </c>
      <c r="AF22" s="156">
        <f>P22*Constants!$E$12</f>
        <v>1542.8497327204877</v>
      </c>
      <c r="AG22" s="156">
        <f>Q22*Constants!$E$11</f>
        <v>0.83633406899756058</v>
      </c>
      <c r="AH22" s="156">
        <f>R22*Constants!$E$13</f>
        <v>191.00355239786856</v>
      </c>
      <c r="AI22" s="156">
        <f>S22*Constants!$E$18</f>
        <v>172.24413781427239</v>
      </c>
      <c r="AJ22" s="156">
        <f>T22*Constants!$E$17</f>
        <v>31.350362169590873</v>
      </c>
      <c r="AK22" s="156">
        <f>U22*Constants!$E$3</f>
        <v>75.270607826810988</v>
      </c>
      <c r="AL22" s="156">
        <f>V22*Constants!$E$4</f>
        <v>11.121760259179265</v>
      </c>
      <c r="AM22">
        <f>W22*Constants!$E$6</f>
        <v>7.2749971626376118</v>
      </c>
    </row>
    <row r="23" spans="1:39">
      <c r="A23" s="113">
        <f>'lab journal'!W23</f>
        <v>40.759722222224809</v>
      </c>
      <c r="B23" s="114">
        <v>20</v>
      </c>
      <c r="C23" s="113">
        <v>499.96</v>
      </c>
      <c r="D23" s="113">
        <v>1.34</v>
      </c>
      <c r="E23" s="113">
        <v>72.150000000000006</v>
      </c>
      <c r="F23" s="113">
        <v>57.11</v>
      </c>
      <c r="G23" s="114">
        <v>5</v>
      </c>
      <c r="H23">
        <v>74.08</v>
      </c>
      <c r="I23">
        <v>10.130000000000001</v>
      </c>
      <c r="J23">
        <v>5.75</v>
      </c>
      <c r="K23" s="115">
        <f t="shared" si="0"/>
        <v>9999.1999999999989</v>
      </c>
      <c r="L23" s="115">
        <f t="shared" si="1"/>
        <v>26.8</v>
      </c>
      <c r="M23" s="115">
        <f t="shared" si="2"/>
        <v>1443</v>
      </c>
      <c r="N23" s="115">
        <f t="shared" si="3"/>
        <v>1142.2</v>
      </c>
      <c r="O23" s="115">
        <v>100</v>
      </c>
      <c r="P23" s="202">
        <f>K23/Constants!$C$12</f>
        <v>96.049642426600187</v>
      </c>
      <c r="Q23" s="202">
        <f>L23/Constants!$C$11</f>
        <v>0.31130212568242538</v>
      </c>
      <c r="R23" s="202">
        <f>M23/Constants!$C$13</f>
        <v>16.019094138543519</v>
      </c>
      <c r="S23" s="202">
        <f>N23/Constants!$C$18</f>
        <v>9.6690087192076533</v>
      </c>
      <c r="T23" s="202">
        <f>O23/Constants!$C$17</f>
        <v>0.36453909499524273</v>
      </c>
      <c r="U23" s="202">
        <f>IF(H23="n.a.", 0, H23*G23/Constants!$C$3)</f>
        <v>6.1681931723563697</v>
      </c>
      <c r="V23" s="202">
        <f>IF(I23="n.a.", 0, I23*G23/Constants!$C$4)</f>
        <v>0.68372030237581005</v>
      </c>
      <c r="W23" s="202">
        <f>IF(J23="n.a.", 0, J23*G23/Constants!$C$6)</f>
        <v>0.32629667461128137</v>
      </c>
      <c r="X23">
        <f>P23*Constants!$D$12</f>
        <v>384.19856970640075</v>
      </c>
      <c r="Y23">
        <f>Q23*Constants!$D$11</f>
        <v>1.2452085027297015</v>
      </c>
      <c r="Z23">
        <f>R23*Constants!$D$13</f>
        <v>48.057282415630553</v>
      </c>
      <c r="AA23">
        <f>S23*Constants!$D$18</f>
        <v>48.345043596038266</v>
      </c>
      <c r="AB23">
        <f>T23*Constants!$D$17</f>
        <v>6.9262428049096121</v>
      </c>
      <c r="AC23" s="156">
        <f>U23*Constants!$D$3</f>
        <v>12.336386344712739</v>
      </c>
      <c r="AD23" s="156">
        <f>V23*Constants!$D$4</f>
        <v>2.0511609071274304</v>
      </c>
      <c r="AE23" s="156">
        <f>W23*Constants!$D$6</f>
        <v>1.3051866984451255</v>
      </c>
      <c r="AF23" s="156">
        <f>P23*Constants!$E$12</f>
        <v>1728.8935636788033</v>
      </c>
      <c r="AG23" s="156">
        <f>Q23*Constants!$E$11</f>
        <v>5.6034382622836567</v>
      </c>
      <c r="AH23" s="156">
        <f>R23*Constants!$E$13</f>
        <v>192.22912966252221</v>
      </c>
      <c r="AI23" s="156">
        <f>S23*Constants!$E$18</f>
        <v>232.05620926098368</v>
      </c>
      <c r="AJ23" s="156">
        <f>T23*Constants!$E$17</f>
        <v>31.350362169590873</v>
      </c>
      <c r="AK23" s="156">
        <f>U23*Constants!$E$3</f>
        <v>49.345545378850957</v>
      </c>
      <c r="AL23" s="156">
        <f>V23*Constants!$E$4</f>
        <v>9.5720842332613412</v>
      </c>
      <c r="AM23">
        <f>W23*Constants!$E$6</f>
        <v>6.5259334922256276</v>
      </c>
    </row>
    <row r="24" spans="1:39">
      <c r="A24" s="113">
        <f>'lab journal'!W24</f>
        <v>42.725694444445253</v>
      </c>
      <c r="B24" s="114">
        <v>20</v>
      </c>
      <c r="C24" s="113">
        <v>499.96</v>
      </c>
      <c r="D24" s="113">
        <v>1.34</v>
      </c>
      <c r="E24" s="113">
        <v>72.150000000000006</v>
      </c>
      <c r="F24" s="113">
        <v>57.11</v>
      </c>
      <c r="G24" s="114">
        <v>5</v>
      </c>
      <c r="H24">
        <v>74.08</v>
      </c>
      <c r="I24">
        <v>10.130000000000001</v>
      </c>
      <c r="J24">
        <v>5.75</v>
      </c>
      <c r="K24" s="115">
        <f t="shared" si="0"/>
        <v>9999.1999999999989</v>
      </c>
      <c r="L24" s="115">
        <f t="shared" si="1"/>
        <v>26.8</v>
      </c>
      <c r="M24" s="115">
        <f t="shared" si="2"/>
        <v>1443</v>
      </c>
      <c r="N24" s="115">
        <f t="shared" si="3"/>
        <v>1142.2</v>
      </c>
      <c r="O24" s="115">
        <v>100</v>
      </c>
      <c r="P24" s="202">
        <f>K24/Constants!$C$12</f>
        <v>96.049642426600187</v>
      </c>
      <c r="Q24" s="202">
        <f>L24/Constants!$C$11</f>
        <v>0.31130212568242538</v>
      </c>
      <c r="R24" s="202">
        <f>M24/Constants!$C$13</f>
        <v>16.019094138543519</v>
      </c>
      <c r="S24" s="202">
        <f>N24/Constants!$C$18</f>
        <v>9.6690087192076533</v>
      </c>
      <c r="T24" s="202">
        <f>O24/Constants!$C$17</f>
        <v>0.36453909499524273</v>
      </c>
      <c r="U24" s="202">
        <f>IF(H24="n.a.", 0, H24*G24/Constants!$C$3)</f>
        <v>6.1681931723563697</v>
      </c>
      <c r="V24" s="202">
        <f>IF(I24="n.a.", 0, I24*G24/Constants!$C$4)</f>
        <v>0.68372030237581005</v>
      </c>
      <c r="W24" s="202">
        <f>IF(J24="n.a.", 0, J24*G24/Constants!$C$6)</f>
        <v>0.32629667461128137</v>
      </c>
      <c r="X24">
        <f>P24*Constants!$D$12</f>
        <v>384.19856970640075</v>
      </c>
      <c r="Y24">
        <f>Q24*Constants!$D$11</f>
        <v>1.2452085027297015</v>
      </c>
      <c r="Z24">
        <f>R24*Constants!$D$13</f>
        <v>48.057282415630553</v>
      </c>
      <c r="AA24">
        <f>S24*Constants!$D$18</f>
        <v>48.345043596038266</v>
      </c>
      <c r="AB24">
        <f>T24*Constants!$D$17</f>
        <v>6.9262428049096121</v>
      </c>
      <c r="AC24" s="156">
        <f>U24*Constants!$D$3</f>
        <v>12.336386344712739</v>
      </c>
      <c r="AD24" s="156">
        <f>V24*Constants!$D$4</f>
        <v>2.0511609071274304</v>
      </c>
      <c r="AE24" s="156">
        <f>W24*Constants!$D$6</f>
        <v>1.3051866984451255</v>
      </c>
      <c r="AF24" s="156">
        <f>P24*Constants!$E$12</f>
        <v>1728.8935636788033</v>
      </c>
      <c r="AG24" s="156">
        <f>Q24*Constants!$E$11</f>
        <v>5.6034382622836567</v>
      </c>
      <c r="AH24" s="156">
        <f>R24*Constants!$E$13</f>
        <v>192.22912966252221</v>
      </c>
      <c r="AI24" s="156">
        <f>S24*Constants!$E$18</f>
        <v>232.05620926098368</v>
      </c>
      <c r="AJ24" s="156">
        <f>T24*Constants!$E$17</f>
        <v>31.350362169590873</v>
      </c>
      <c r="AK24" s="156">
        <f>U24*Constants!$E$3</f>
        <v>49.345545378850957</v>
      </c>
      <c r="AL24" s="156">
        <f>V24*Constants!$E$4</f>
        <v>9.5720842332613412</v>
      </c>
      <c r="AM24">
        <f>W24*Constants!$E$6</f>
        <v>6.5259334922256276</v>
      </c>
    </row>
    <row r="25" spans="1:39">
      <c r="A25" s="113">
        <f>'lab journal'!W25</f>
        <v>42.944444444445253</v>
      </c>
      <c r="B25" s="114">
        <v>20</v>
      </c>
      <c r="C25" s="113">
        <v>499.96</v>
      </c>
      <c r="D25" s="113">
        <v>1.34</v>
      </c>
      <c r="E25" s="113">
        <v>72.150000000000006</v>
      </c>
      <c r="F25" s="113">
        <v>57.11</v>
      </c>
      <c r="G25" s="114">
        <v>5</v>
      </c>
      <c r="H25">
        <v>74.08</v>
      </c>
      <c r="I25">
        <v>10.130000000000001</v>
      </c>
      <c r="J25">
        <v>5.75</v>
      </c>
      <c r="K25" s="115">
        <f t="shared" si="0"/>
        <v>9999.1999999999989</v>
      </c>
      <c r="L25" s="115">
        <f t="shared" si="1"/>
        <v>26.8</v>
      </c>
      <c r="M25" s="115">
        <f t="shared" si="2"/>
        <v>1443</v>
      </c>
      <c r="N25" s="115">
        <f t="shared" si="3"/>
        <v>1142.2</v>
      </c>
      <c r="O25" s="115">
        <v>100</v>
      </c>
      <c r="P25" s="202">
        <f>K25/Constants!$C$12</f>
        <v>96.049642426600187</v>
      </c>
      <c r="Q25" s="202">
        <f>L25/Constants!$C$11</f>
        <v>0.31130212568242538</v>
      </c>
      <c r="R25" s="202">
        <f>M25/Constants!$C$13</f>
        <v>16.019094138543519</v>
      </c>
      <c r="S25" s="202">
        <f>N25/Constants!$C$18</f>
        <v>9.6690087192076533</v>
      </c>
      <c r="T25" s="202">
        <f>O25/Constants!$C$17</f>
        <v>0.36453909499524273</v>
      </c>
      <c r="U25" s="202">
        <f>IF(H25="n.a.", 0, H25*G25/Constants!$C$3)</f>
        <v>6.1681931723563697</v>
      </c>
      <c r="V25" s="202">
        <f>IF(I25="n.a.", 0, I25*G25/Constants!$C$4)</f>
        <v>0.68372030237581005</v>
      </c>
      <c r="W25" s="202">
        <f>IF(J25="n.a.", 0, J25*G25/Constants!$C$6)</f>
        <v>0.32629667461128137</v>
      </c>
      <c r="X25">
        <f>P25*Constants!$D$12</f>
        <v>384.19856970640075</v>
      </c>
      <c r="Y25">
        <f>Q25*Constants!$D$11</f>
        <v>1.2452085027297015</v>
      </c>
      <c r="Z25">
        <f>R25*Constants!$D$13</f>
        <v>48.057282415630553</v>
      </c>
      <c r="AA25">
        <f>S25*Constants!$D$18</f>
        <v>48.345043596038266</v>
      </c>
      <c r="AB25">
        <f>T25*Constants!$D$17</f>
        <v>6.9262428049096121</v>
      </c>
      <c r="AC25" s="156">
        <f>U25*Constants!$D$3</f>
        <v>12.336386344712739</v>
      </c>
      <c r="AD25" s="156">
        <f>V25*Constants!$D$4</f>
        <v>2.0511609071274304</v>
      </c>
      <c r="AE25" s="156">
        <f>W25*Constants!$D$6</f>
        <v>1.3051866984451255</v>
      </c>
      <c r="AF25" s="156">
        <f>P25*Constants!$E$12</f>
        <v>1728.8935636788033</v>
      </c>
      <c r="AG25" s="156">
        <f>Q25*Constants!$E$11</f>
        <v>5.6034382622836567</v>
      </c>
      <c r="AH25" s="156">
        <f>R25*Constants!$E$13</f>
        <v>192.22912966252221</v>
      </c>
      <c r="AI25" s="156">
        <f>S25*Constants!$E$18</f>
        <v>232.05620926098368</v>
      </c>
      <c r="AJ25" s="156">
        <f>T25*Constants!$E$17</f>
        <v>31.350362169590873</v>
      </c>
      <c r="AK25" s="156">
        <f>U25*Constants!$E$3</f>
        <v>49.345545378850957</v>
      </c>
      <c r="AL25" s="156">
        <f>V25*Constants!$E$4</f>
        <v>9.5720842332613412</v>
      </c>
      <c r="AM25">
        <f>W25*Constants!$E$6</f>
        <v>6.5259334922256276</v>
      </c>
    </row>
    <row r="26" spans="1:39">
      <c r="A26" s="113">
        <f>'lab journal'!W26</f>
        <v>45.740277777782467</v>
      </c>
      <c r="B26" s="114">
        <v>20</v>
      </c>
      <c r="C26" s="113">
        <v>499.96</v>
      </c>
      <c r="D26" s="113">
        <v>1.34</v>
      </c>
      <c r="E26" s="113">
        <v>72.150000000000006</v>
      </c>
      <c r="F26" s="113">
        <v>57.11</v>
      </c>
      <c r="G26" s="114">
        <v>5</v>
      </c>
      <c r="H26">
        <v>74.08</v>
      </c>
      <c r="I26">
        <v>10.130000000000001</v>
      </c>
      <c r="J26">
        <v>5.75</v>
      </c>
      <c r="K26" s="115">
        <f t="shared" si="0"/>
        <v>9999.1999999999989</v>
      </c>
      <c r="L26" s="115">
        <f t="shared" si="1"/>
        <v>26.8</v>
      </c>
      <c r="M26" s="115">
        <f t="shared" si="2"/>
        <v>1443</v>
      </c>
      <c r="N26" s="115">
        <f t="shared" si="3"/>
        <v>1142.2</v>
      </c>
      <c r="O26" s="115">
        <v>100</v>
      </c>
      <c r="P26" s="202">
        <f>K26/Constants!$C$12</f>
        <v>96.049642426600187</v>
      </c>
      <c r="Q26" s="202">
        <f>L26/Constants!$C$11</f>
        <v>0.31130212568242538</v>
      </c>
      <c r="R26" s="202">
        <f>M26/Constants!$C$13</f>
        <v>16.019094138543519</v>
      </c>
      <c r="S26" s="202">
        <f>N26/Constants!$C$18</f>
        <v>9.6690087192076533</v>
      </c>
      <c r="T26" s="202">
        <f>O26/Constants!$C$17</f>
        <v>0.36453909499524273</v>
      </c>
      <c r="U26" s="202">
        <f>IF(H26="n.a.", 0, H26*G26/Constants!$C$3)</f>
        <v>6.1681931723563697</v>
      </c>
      <c r="V26" s="202">
        <f>IF(I26="n.a.", 0, I26*G26/Constants!$C$4)</f>
        <v>0.68372030237581005</v>
      </c>
      <c r="W26" s="202">
        <f>IF(J26="n.a.", 0, J26*G26/Constants!$C$6)</f>
        <v>0.32629667461128137</v>
      </c>
      <c r="X26">
        <f>P26*Constants!$D$12</f>
        <v>384.19856970640075</v>
      </c>
      <c r="Y26">
        <f>Q26*Constants!$D$11</f>
        <v>1.2452085027297015</v>
      </c>
      <c r="Z26">
        <f>R26*Constants!$D$13</f>
        <v>48.057282415630553</v>
      </c>
      <c r="AA26">
        <f>S26*Constants!$D$18</f>
        <v>48.345043596038266</v>
      </c>
      <c r="AB26">
        <f>T26*Constants!$D$17</f>
        <v>6.9262428049096121</v>
      </c>
      <c r="AC26" s="156">
        <f>U26*Constants!$D$3</f>
        <v>12.336386344712739</v>
      </c>
      <c r="AD26" s="156">
        <f>V26*Constants!$D$4</f>
        <v>2.0511609071274304</v>
      </c>
      <c r="AE26" s="156">
        <f>W26*Constants!$D$6</f>
        <v>1.3051866984451255</v>
      </c>
      <c r="AF26" s="156">
        <f>P26*Constants!$E$12</f>
        <v>1728.8935636788033</v>
      </c>
      <c r="AG26" s="156">
        <f>Q26*Constants!$E$11</f>
        <v>5.6034382622836567</v>
      </c>
      <c r="AH26" s="156">
        <f>R26*Constants!$E$13</f>
        <v>192.22912966252221</v>
      </c>
      <c r="AI26" s="156">
        <f>S26*Constants!$E$18</f>
        <v>232.05620926098368</v>
      </c>
      <c r="AJ26" s="156">
        <f>T26*Constants!$E$17</f>
        <v>31.350362169590873</v>
      </c>
      <c r="AK26" s="156">
        <f>U26*Constants!$E$3</f>
        <v>49.345545378850957</v>
      </c>
      <c r="AL26" s="156">
        <f>V26*Constants!$E$4</f>
        <v>9.5720842332613412</v>
      </c>
      <c r="AM26">
        <f>W26*Constants!$E$6</f>
        <v>6.5259334922256276</v>
      </c>
    </row>
    <row r="27" spans="1:39">
      <c r="A27" s="113">
        <f>'lab journal'!W27</f>
        <v>47.751388888893416</v>
      </c>
      <c r="B27" s="114">
        <v>20</v>
      </c>
      <c r="C27" s="113">
        <v>499.96</v>
      </c>
      <c r="D27" s="113">
        <v>1.34</v>
      </c>
      <c r="E27" s="113">
        <v>72.150000000000006</v>
      </c>
      <c r="F27" s="113">
        <v>57.11</v>
      </c>
      <c r="G27" s="114">
        <v>5</v>
      </c>
      <c r="H27">
        <v>74.08</v>
      </c>
      <c r="I27">
        <v>10.130000000000001</v>
      </c>
      <c r="J27">
        <v>5.75</v>
      </c>
      <c r="K27" s="115">
        <f t="shared" si="0"/>
        <v>9999.1999999999989</v>
      </c>
      <c r="L27" s="115">
        <f t="shared" si="1"/>
        <v>26.8</v>
      </c>
      <c r="M27" s="115">
        <f t="shared" si="2"/>
        <v>1443</v>
      </c>
      <c r="N27" s="115">
        <f t="shared" si="3"/>
        <v>1142.2</v>
      </c>
      <c r="O27" s="115">
        <v>100</v>
      </c>
      <c r="P27" s="202">
        <f>K27/Constants!$C$12</f>
        <v>96.049642426600187</v>
      </c>
      <c r="Q27" s="202">
        <f>L27/Constants!$C$11</f>
        <v>0.31130212568242538</v>
      </c>
      <c r="R27" s="202">
        <f>M27/Constants!$C$13</f>
        <v>16.019094138543519</v>
      </c>
      <c r="S27" s="202">
        <f>N27/Constants!$C$18</f>
        <v>9.6690087192076533</v>
      </c>
      <c r="T27" s="202">
        <f>O27/Constants!$C$17</f>
        <v>0.36453909499524273</v>
      </c>
      <c r="U27" s="202">
        <f>IF(H27="n.a.", 0, H27*G27/Constants!$C$3)</f>
        <v>6.1681931723563697</v>
      </c>
      <c r="V27" s="202">
        <f>IF(I27="n.a.", 0, I27*G27/Constants!$C$4)</f>
        <v>0.68372030237581005</v>
      </c>
      <c r="W27" s="202">
        <f>IF(J27="n.a.", 0, J27*G27/Constants!$C$6)</f>
        <v>0.32629667461128137</v>
      </c>
      <c r="X27">
        <f>P27*Constants!$D$12</f>
        <v>384.19856970640075</v>
      </c>
      <c r="Y27">
        <f>Q27*Constants!$D$11</f>
        <v>1.2452085027297015</v>
      </c>
      <c r="Z27">
        <f>R27*Constants!$D$13</f>
        <v>48.057282415630553</v>
      </c>
      <c r="AA27">
        <f>S27*Constants!$D$18</f>
        <v>48.345043596038266</v>
      </c>
      <c r="AB27">
        <f>T27*Constants!$D$17</f>
        <v>6.9262428049096121</v>
      </c>
      <c r="AC27" s="156">
        <f>U27*Constants!$D$3</f>
        <v>12.336386344712739</v>
      </c>
      <c r="AD27" s="156">
        <f>V27*Constants!$D$4</f>
        <v>2.0511609071274304</v>
      </c>
      <c r="AE27" s="156">
        <f>W27*Constants!$D$6</f>
        <v>1.3051866984451255</v>
      </c>
      <c r="AF27" s="156">
        <f>P27*Constants!$E$12</f>
        <v>1728.8935636788033</v>
      </c>
      <c r="AG27" s="156">
        <f>Q27*Constants!$E$11</f>
        <v>5.6034382622836567</v>
      </c>
      <c r="AH27" s="156">
        <f>R27*Constants!$E$13</f>
        <v>192.22912966252221</v>
      </c>
      <c r="AI27" s="156">
        <f>S27*Constants!$E$18</f>
        <v>232.05620926098368</v>
      </c>
      <c r="AJ27" s="156">
        <f>T27*Constants!$E$17</f>
        <v>31.350362169590873</v>
      </c>
      <c r="AK27" s="156">
        <f>U27*Constants!$E$3</f>
        <v>49.345545378850957</v>
      </c>
      <c r="AL27" s="156">
        <f>V27*Constants!$E$4</f>
        <v>9.5720842332613412</v>
      </c>
      <c r="AM27">
        <f>W27*Constants!$E$6</f>
        <v>6.5259334922256276</v>
      </c>
    </row>
    <row r="28" spans="1:39">
      <c r="A28" s="113">
        <f>'lab journal'!W28</f>
        <v>48.746527777781012</v>
      </c>
      <c r="B28" s="114">
        <v>20</v>
      </c>
      <c r="C28" s="113">
        <v>467.57</v>
      </c>
      <c r="D28" s="113">
        <v>5.23</v>
      </c>
      <c r="E28" s="113">
        <v>82.7</v>
      </c>
      <c r="F28" s="113">
        <v>43.38</v>
      </c>
      <c r="G28" s="114">
        <v>5</v>
      </c>
      <c r="H28">
        <v>63.85</v>
      </c>
      <c r="I28">
        <v>7.76</v>
      </c>
      <c r="J28">
        <v>5.53</v>
      </c>
      <c r="K28" s="115">
        <f t="shared" si="0"/>
        <v>9351.4</v>
      </c>
      <c r="L28" s="115">
        <f t="shared" si="1"/>
        <v>104.60000000000001</v>
      </c>
      <c r="M28" s="115">
        <f t="shared" si="2"/>
        <v>1654</v>
      </c>
      <c r="N28" s="115">
        <f t="shared" si="3"/>
        <v>867.6</v>
      </c>
      <c r="O28" s="115">
        <v>100</v>
      </c>
      <c r="P28" s="202">
        <f>K28/Constants!$C$12</f>
        <v>89.827048782713518</v>
      </c>
      <c r="Q28" s="202">
        <f>L28/Constants!$C$11</f>
        <v>1.215007550238123</v>
      </c>
      <c r="R28" s="202">
        <f>M28/Constants!$C$13</f>
        <v>18.361456483126112</v>
      </c>
      <c r="S28" s="202">
        <f>N28/Constants!$C$18</f>
        <v>7.3444510285278932</v>
      </c>
      <c r="T28" s="202">
        <f>O28/Constants!$C$17</f>
        <v>0.36453909499524273</v>
      </c>
      <c r="U28" s="202">
        <f>IF(H28="n.a.", 0, H28*G28/Constants!$C$3)</f>
        <v>5.3164029975020819</v>
      </c>
      <c r="V28" s="202">
        <f>IF(I28="n.a.", 0, I28*G28/Constants!$C$4)</f>
        <v>0.52375809935205186</v>
      </c>
      <c r="W28" s="202">
        <f>IF(J28="n.a.", 0, J28*G28/Constants!$C$6)</f>
        <v>0.31381228010441498</v>
      </c>
      <c r="X28">
        <f>P28*Constants!$D$12</f>
        <v>359.30819513085407</v>
      </c>
      <c r="Y28">
        <f>Q28*Constants!$D$11</f>
        <v>4.8600302009524921</v>
      </c>
      <c r="Z28">
        <f>R28*Constants!$D$13</f>
        <v>55.084369449378336</v>
      </c>
      <c r="AA28">
        <f>S28*Constants!$D$18</f>
        <v>36.722255142639469</v>
      </c>
      <c r="AB28">
        <f>T28*Constants!$D$17</f>
        <v>6.9262428049096121</v>
      </c>
      <c r="AC28" s="156">
        <f>U28*Constants!$D$3</f>
        <v>10.632805995004164</v>
      </c>
      <c r="AD28" s="156">
        <f>V28*Constants!$D$4</f>
        <v>1.5712742980561556</v>
      </c>
      <c r="AE28" s="156">
        <f>W28*Constants!$D$6</f>
        <v>1.2552491204176599</v>
      </c>
      <c r="AF28" s="156">
        <f>P28*Constants!$E$12</f>
        <v>1616.8868780888433</v>
      </c>
      <c r="AG28" s="156">
        <f>Q28*Constants!$E$11</f>
        <v>21.870135904286215</v>
      </c>
      <c r="AH28" s="156">
        <f>R28*Constants!$E$13</f>
        <v>220.33747779751334</v>
      </c>
      <c r="AI28" s="156">
        <f>S28*Constants!$E$18</f>
        <v>176.26682468466944</v>
      </c>
      <c r="AJ28" s="156">
        <f>T28*Constants!$E$17</f>
        <v>31.350362169590873</v>
      </c>
      <c r="AK28" s="156">
        <f>U28*Constants!$E$3</f>
        <v>42.531223980016655</v>
      </c>
      <c r="AL28" s="156">
        <f>V28*Constants!$E$4</f>
        <v>7.3326133909287261</v>
      </c>
      <c r="AM28">
        <f>W28*Constants!$E$6</f>
        <v>6.2762456020882995</v>
      </c>
    </row>
    <row r="29" spans="1:39">
      <c r="A29" s="113">
        <f>'lab journal'!W29</f>
        <v>49.74861111111386</v>
      </c>
      <c r="B29" s="114">
        <v>20</v>
      </c>
      <c r="C29" s="113">
        <v>467.57</v>
      </c>
      <c r="D29" s="113">
        <v>5.23</v>
      </c>
      <c r="E29" s="113">
        <v>82.7</v>
      </c>
      <c r="F29" s="113">
        <v>43.38</v>
      </c>
      <c r="G29" s="114">
        <v>5</v>
      </c>
      <c r="H29">
        <v>63.85</v>
      </c>
      <c r="I29">
        <v>7.76</v>
      </c>
      <c r="J29">
        <v>5.53</v>
      </c>
      <c r="K29" s="115">
        <f t="shared" si="0"/>
        <v>9351.4</v>
      </c>
      <c r="L29" s="115">
        <f t="shared" si="1"/>
        <v>104.60000000000001</v>
      </c>
      <c r="M29" s="115">
        <f t="shared" si="2"/>
        <v>1654</v>
      </c>
      <c r="N29" s="115">
        <f t="shared" si="3"/>
        <v>867.6</v>
      </c>
      <c r="O29" s="115">
        <v>100</v>
      </c>
      <c r="P29" s="202">
        <f>K29/Constants!$C$12</f>
        <v>89.827048782713518</v>
      </c>
      <c r="Q29" s="202">
        <f>L29/Constants!$C$11</f>
        <v>1.215007550238123</v>
      </c>
      <c r="R29" s="202">
        <f>M29/Constants!$C$13</f>
        <v>18.361456483126112</v>
      </c>
      <c r="S29" s="202">
        <f>N29/Constants!$C$18</f>
        <v>7.3444510285278932</v>
      </c>
      <c r="T29" s="202">
        <f>O29/Constants!$C$17</f>
        <v>0.36453909499524273</v>
      </c>
      <c r="U29" s="202">
        <f>IF(H29="n.a.", 0, H29*G29/Constants!$C$3)</f>
        <v>5.3164029975020819</v>
      </c>
      <c r="V29" s="202">
        <f>IF(I29="n.a.", 0, I29*G29/Constants!$C$4)</f>
        <v>0.52375809935205186</v>
      </c>
      <c r="W29" s="202">
        <f>IF(J29="n.a.", 0, J29*G29/Constants!$C$6)</f>
        <v>0.31381228010441498</v>
      </c>
      <c r="X29">
        <f>P29*Constants!$D$12</f>
        <v>359.30819513085407</v>
      </c>
      <c r="Y29">
        <f>Q29*Constants!$D$11</f>
        <v>4.8600302009524921</v>
      </c>
      <c r="Z29">
        <f>R29*Constants!$D$13</f>
        <v>55.084369449378336</v>
      </c>
      <c r="AA29">
        <f>S29*Constants!$D$18</f>
        <v>36.722255142639469</v>
      </c>
      <c r="AB29">
        <f>T29*Constants!$D$17</f>
        <v>6.9262428049096121</v>
      </c>
      <c r="AC29" s="156">
        <f>U29*Constants!$D$3</f>
        <v>10.632805995004164</v>
      </c>
      <c r="AD29" s="156">
        <f>V29*Constants!$D$4</f>
        <v>1.5712742980561556</v>
      </c>
      <c r="AE29" s="156">
        <f>W29*Constants!$D$6</f>
        <v>1.2552491204176599</v>
      </c>
      <c r="AF29" s="156">
        <f>P29*Constants!$E$12</f>
        <v>1616.8868780888433</v>
      </c>
      <c r="AG29" s="156">
        <f>Q29*Constants!$E$11</f>
        <v>21.870135904286215</v>
      </c>
      <c r="AH29" s="156">
        <f>R29*Constants!$E$13</f>
        <v>220.33747779751334</v>
      </c>
      <c r="AI29" s="156">
        <f>S29*Constants!$E$18</f>
        <v>176.26682468466944</v>
      </c>
      <c r="AJ29" s="156">
        <f>T29*Constants!$E$17</f>
        <v>31.350362169590873</v>
      </c>
      <c r="AK29" s="156">
        <f>U29*Constants!$E$3</f>
        <v>42.531223980016655</v>
      </c>
      <c r="AL29" s="156">
        <f>V29*Constants!$E$4</f>
        <v>7.3326133909287261</v>
      </c>
      <c r="AM29">
        <f>W29*Constants!$E$6</f>
        <v>6.2762456020882995</v>
      </c>
    </row>
    <row r="30" spans="1:39">
      <c r="A30" s="113">
        <f>'lab journal'!W30</f>
        <v>52.738194444449618</v>
      </c>
      <c r="B30" s="114">
        <v>20</v>
      </c>
      <c r="C30" s="113">
        <v>467.57</v>
      </c>
      <c r="D30" s="113">
        <v>5.23</v>
      </c>
      <c r="E30" s="113">
        <v>82.7</v>
      </c>
      <c r="F30" s="113">
        <v>43.38</v>
      </c>
      <c r="G30" s="114">
        <v>5</v>
      </c>
      <c r="H30">
        <v>63.85</v>
      </c>
      <c r="I30">
        <v>7.76</v>
      </c>
      <c r="J30">
        <v>5.53</v>
      </c>
      <c r="K30" s="115">
        <f t="shared" si="0"/>
        <v>9351.4</v>
      </c>
      <c r="L30" s="115">
        <f t="shared" si="1"/>
        <v>104.60000000000001</v>
      </c>
      <c r="M30" s="115">
        <f t="shared" si="2"/>
        <v>1654</v>
      </c>
      <c r="N30" s="115">
        <f t="shared" si="3"/>
        <v>867.6</v>
      </c>
      <c r="O30" s="115">
        <v>100</v>
      </c>
      <c r="P30" s="202">
        <f>K30/Constants!$C$12</f>
        <v>89.827048782713518</v>
      </c>
      <c r="Q30" s="202">
        <f>L30/Constants!$C$11</f>
        <v>1.215007550238123</v>
      </c>
      <c r="R30" s="202">
        <f>M30/Constants!$C$13</f>
        <v>18.361456483126112</v>
      </c>
      <c r="S30" s="202">
        <f>N30/Constants!$C$18</f>
        <v>7.3444510285278932</v>
      </c>
      <c r="T30" s="202">
        <f>O30/Constants!$C$17</f>
        <v>0.36453909499524273</v>
      </c>
      <c r="U30" s="202">
        <f>IF(H30="n.a.", 0, H30*G30/Constants!$C$3)</f>
        <v>5.3164029975020819</v>
      </c>
      <c r="V30" s="202">
        <f>IF(I30="n.a.", 0, I30*G30/Constants!$C$4)</f>
        <v>0.52375809935205186</v>
      </c>
      <c r="W30" s="202">
        <f>IF(J30="n.a.", 0, J30*G30/Constants!$C$6)</f>
        <v>0.31381228010441498</v>
      </c>
      <c r="X30">
        <f>P30*Constants!$D$12</f>
        <v>359.30819513085407</v>
      </c>
      <c r="Y30">
        <f>Q30*Constants!$D$11</f>
        <v>4.8600302009524921</v>
      </c>
      <c r="Z30">
        <f>R30*Constants!$D$13</f>
        <v>55.084369449378336</v>
      </c>
      <c r="AA30">
        <f>S30*Constants!$D$18</f>
        <v>36.722255142639469</v>
      </c>
      <c r="AB30">
        <f>T30*Constants!$D$17</f>
        <v>6.9262428049096121</v>
      </c>
      <c r="AC30" s="156">
        <f>U30*Constants!$D$3</f>
        <v>10.632805995004164</v>
      </c>
      <c r="AD30" s="156">
        <f>V30*Constants!$D$4</f>
        <v>1.5712742980561556</v>
      </c>
      <c r="AE30" s="156">
        <f>W30*Constants!$D$6</f>
        <v>1.2552491204176599</v>
      </c>
      <c r="AF30" s="156">
        <f>P30*Constants!$E$12</f>
        <v>1616.8868780888433</v>
      </c>
      <c r="AG30" s="156">
        <f>Q30*Constants!$E$11</f>
        <v>21.870135904286215</v>
      </c>
      <c r="AH30" s="156">
        <f>R30*Constants!$E$13</f>
        <v>220.33747779751334</v>
      </c>
      <c r="AI30" s="156">
        <f>S30*Constants!$E$18</f>
        <v>176.26682468466944</v>
      </c>
      <c r="AJ30" s="156">
        <f>T30*Constants!$E$17</f>
        <v>31.350362169590873</v>
      </c>
      <c r="AK30" s="156">
        <f>U30*Constants!$E$3</f>
        <v>42.531223980016655</v>
      </c>
      <c r="AL30" s="156">
        <f>V30*Constants!$E$4</f>
        <v>7.3326133909287261</v>
      </c>
      <c r="AM30">
        <f>W30*Constants!$E$6</f>
        <v>6.2762456020882995</v>
      </c>
    </row>
    <row r="31" spans="1:39">
      <c r="A31" s="113">
        <f>'lab journal'!W31</f>
        <v>54.743055555554747</v>
      </c>
      <c r="B31" s="114">
        <v>20</v>
      </c>
      <c r="C31" s="113">
        <v>467.57</v>
      </c>
      <c r="D31" s="113">
        <v>5.23</v>
      </c>
      <c r="E31" s="113">
        <v>82.7</v>
      </c>
      <c r="F31" s="113">
        <v>43.38</v>
      </c>
      <c r="G31" s="114">
        <v>5</v>
      </c>
      <c r="H31">
        <v>63.85</v>
      </c>
      <c r="I31">
        <v>7.76</v>
      </c>
      <c r="J31">
        <v>5.53</v>
      </c>
      <c r="K31" s="115">
        <f t="shared" si="0"/>
        <v>9351.4</v>
      </c>
      <c r="L31" s="115">
        <f t="shared" si="1"/>
        <v>104.60000000000001</v>
      </c>
      <c r="M31" s="115">
        <f t="shared" si="2"/>
        <v>1654</v>
      </c>
      <c r="N31" s="115">
        <f t="shared" si="3"/>
        <v>867.6</v>
      </c>
      <c r="O31" s="115">
        <v>100</v>
      </c>
      <c r="P31" s="202">
        <f>K31/Constants!$C$12</f>
        <v>89.827048782713518</v>
      </c>
      <c r="Q31" s="202">
        <f>L31/Constants!$C$11</f>
        <v>1.215007550238123</v>
      </c>
      <c r="R31" s="202">
        <f>M31/Constants!$C$13</f>
        <v>18.361456483126112</v>
      </c>
      <c r="S31" s="202">
        <f>N31/Constants!$C$18</f>
        <v>7.3444510285278932</v>
      </c>
      <c r="T31" s="202">
        <f>O31/Constants!$C$17</f>
        <v>0.36453909499524273</v>
      </c>
      <c r="U31" s="202">
        <f>IF(H31="n.a.", 0, H31*G31/Constants!$C$3)</f>
        <v>5.3164029975020819</v>
      </c>
      <c r="V31" s="202">
        <f>IF(I31="n.a.", 0, I31*G31/Constants!$C$4)</f>
        <v>0.52375809935205186</v>
      </c>
      <c r="W31" s="202">
        <f>IF(J31="n.a.", 0, J31*G31/Constants!$C$6)</f>
        <v>0.31381228010441498</v>
      </c>
      <c r="X31">
        <f>P31*Constants!$D$12</f>
        <v>359.30819513085407</v>
      </c>
      <c r="Y31">
        <f>Q31*Constants!$D$11</f>
        <v>4.8600302009524921</v>
      </c>
      <c r="Z31">
        <f>R31*Constants!$D$13</f>
        <v>55.084369449378336</v>
      </c>
      <c r="AA31">
        <f>S31*Constants!$D$18</f>
        <v>36.722255142639469</v>
      </c>
      <c r="AB31">
        <f>T31*Constants!$D$17</f>
        <v>6.9262428049096121</v>
      </c>
      <c r="AC31" s="156">
        <f>U31*Constants!$D$3</f>
        <v>10.632805995004164</v>
      </c>
      <c r="AD31" s="156">
        <f>V31*Constants!$D$4</f>
        <v>1.5712742980561556</v>
      </c>
      <c r="AE31" s="156">
        <f>W31*Constants!$D$6</f>
        <v>1.2552491204176599</v>
      </c>
      <c r="AF31" s="156">
        <f>P31*Constants!$E$12</f>
        <v>1616.8868780888433</v>
      </c>
      <c r="AG31" s="156">
        <f>Q31*Constants!$E$11</f>
        <v>21.870135904286215</v>
      </c>
      <c r="AH31" s="156">
        <f>R31*Constants!$E$13</f>
        <v>220.33747779751334</v>
      </c>
      <c r="AI31" s="156">
        <f>S31*Constants!$E$18</f>
        <v>176.26682468466944</v>
      </c>
      <c r="AJ31" s="156">
        <f>T31*Constants!$E$17</f>
        <v>31.350362169590873</v>
      </c>
      <c r="AK31" s="156">
        <f>U31*Constants!$E$3</f>
        <v>42.531223980016655</v>
      </c>
      <c r="AL31" s="156">
        <f>V31*Constants!$E$4</f>
        <v>7.3326133909287261</v>
      </c>
      <c r="AM31">
        <f>W31*Constants!$E$6</f>
        <v>6.2762456020882995</v>
      </c>
    </row>
    <row r="32" spans="1:39">
      <c r="A32" s="113">
        <f>'lab journal'!W32</f>
        <v>56.75</v>
      </c>
      <c r="B32" s="114">
        <v>20</v>
      </c>
      <c r="C32" s="113">
        <v>467.57</v>
      </c>
      <c r="D32" s="113">
        <v>5.23</v>
      </c>
      <c r="E32" s="113">
        <v>82.7</v>
      </c>
      <c r="F32" s="113">
        <v>43.38</v>
      </c>
      <c r="G32" s="114">
        <v>5</v>
      </c>
      <c r="H32">
        <v>63.85</v>
      </c>
      <c r="I32">
        <v>7.76</v>
      </c>
      <c r="J32">
        <v>5.53</v>
      </c>
      <c r="K32" s="115">
        <f t="shared" si="0"/>
        <v>9351.4</v>
      </c>
      <c r="L32" s="115">
        <f t="shared" si="1"/>
        <v>104.60000000000001</v>
      </c>
      <c r="M32" s="115">
        <f t="shared" si="2"/>
        <v>1654</v>
      </c>
      <c r="N32" s="115">
        <f t="shared" si="3"/>
        <v>867.6</v>
      </c>
      <c r="O32" s="115">
        <v>100</v>
      </c>
      <c r="P32" s="202">
        <f>K32/Constants!$C$12</f>
        <v>89.827048782713518</v>
      </c>
      <c r="Q32" s="202">
        <f>L32/Constants!$C$11</f>
        <v>1.215007550238123</v>
      </c>
      <c r="R32" s="202">
        <f>M32/Constants!$C$13</f>
        <v>18.361456483126112</v>
      </c>
      <c r="S32" s="202">
        <f>N32/Constants!$C$18</f>
        <v>7.3444510285278932</v>
      </c>
      <c r="T32" s="202">
        <f>O32/Constants!$C$17</f>
        <v>0.36453909499524273</v>
      </c>
      <c r="U32" s="202">
        <f>IF(H32="n.a.", 0, H32*G32/Constants!$C$3)</f>
        <v>5.3164029975020819</v>
      </c>
      <c r="V32" s="202">
        <f>IF(I32="n.a.", 0, I32*G32/Constants!$C$4)</f>
        <v>0.52375809935205186</v>
      </c>
      <c r="W32" s="202">
        <f>IF(J32="n.a.", 0, J32*G32/Constants!$C$6)</f>
        <v>0.31381228010441498</v>
      </c>
      <c r="X32">
        <f>P32*Constants!$D$12</f>
        <v>359.30819513085407</v>
      </c>
      <c r="Y32">
        <f>Q32*Constants!$D$11</f>
        <v>4.8600302009524921</v>
      </c>
      <c r="Z32">
        <f>R32*Constants!$D$13</f>
        <v>55.084369449378336</v>
      </c>
      <c r="AA32">
        <f>S32*Constants!$D$18</f>
        <v>36.722255142639469</v>
      </c>
      <c r="AB32">
        <f>T32*Constants!$D$17</f>
        <v>6.9262428049096121</v>
      </c>
      <c r="AC32" s="156">
        <f>U32*Constants!$D$3</f>
        <v>10.632805995004164</v>
      </c>
      <c r="AD32" s="156">
        <f>V32*Constants!$D$4</f>
        <v>1.5712742980561556</v>
      </c>
      <c r="AE32" s="156">
        <f>W32*Constants!$D$6</f>
        <v>1.2552491204176599</v>
      </c>
      <c r="AF32" s="156">
        <f>P32*Constants!$E$12</f>
        <v>1616.8868780888433</v>
      </c>
      <c r="AG32" s="156">
        <f>Q32*Constants!$E$11</f>
        <v>21.870135904286215</v>
      </c>
      <c r="AH32" s="156">
        <f>R32*Constants!$E$13</f>
        <v>220.33747779751334</v>
      </c>
      <c r="AI32" s="156">
        <f>S32*Constants!$E$18</f>
        <v>176.26682468466944</v>
      </c>
      <c r="AJ32" s="156">
        <f>T32*Constants!$E$17</f>
        <v>31.350362169590873</v>
      </c>
      <c r="AK32" s="156">
        <f>U32*Constants!$E$3</f>
        <v>42.531223980016655</v>
      </c>
      <c r="AL32" s="156">
        <f>V32*Constants!$E$4</f>
        <v>7.3326133909287261</v>
      </c>
      <c r="AM32">
        <f>W32*Constants!$E$6</f>
        <v>6.2762456020882995</v>
      </c>
    </row>
    <row r="33" spans="1:39">
      <c r="A33" s="113">
        <f>'lab journal'!W33</f>
        <v>59.74722222222772</v>
      </c>
      <c r="B33" s="114">
        <v>20</v>
      </c>
      <c r="C33" s="113">
        <v>481.18</v>
      </c>
      <c r="D33" s="113">
        <v>3.05</v>
      </c>
      <c r="E33" s="113">
        <v>84.02</v>
      </c>
      <c r="F33" s="113">
        <v>44.72</v>
      </c>
      <c r="G33" s="114">
        <v>5</v>
      </c>
      <c r="H33">
        <v>40.01</v>
      </c>
      <c r="I33">
        <v>6.1</v>
      </c>
      <c r="J33">
        <v>4.5199999999999996</v>
      </c>
      <c r="K33" s="115">
        <f t="shared" si="0"/>
        <v>9623.6</v>
      </c>
      <c r="L33" s="115">
        <f t="shared" si="1"/>
        <v>61</v>
      </c>
      <c r="M33" s="115">
        <f t="shared" si="2"/>
        <v>1680.3999999999999</v>
      </c>
      <c r="N33" s="115">
        <f t="shared" si="3"/>
        <v>894.4</v>
      </c>
      <c r="O33" s="115">
        <v>100</v>
      </c>
      <c r="P33" s="202">
        <f>K33/Constants!$C$12</f>
        <v>92.441729224000881</v>
      </c>
      <c r="Q33" s="202">
        <f>L33/Constants!$C$11</f>
        <v>0.70856080845626668</v>
      </c>
      <c r="R33" s="202">
        <f>M33/Constants!$C$13</f>
        <v>18.654529307282413</v>
      </c>
      <c r="S33" s="202">
        <f>N33/Constants!$C$18</f>
        <v>7.571319732498095</v>
      </c>
      <c r="T33" s="202">
        <f>O33/Constants!$C$17</f>
        <v>0.36453909499524273</v>
      </c>
      <c r="U33" s="202">
        <f>IF(H33="n.a.", 0, H33*G33/Constants!$C$3)</f>
        <v>3.3313905079100747</v>
      </c>
      <c r="V33" s="202">
        <f>IF(I33="n.a.", 0, I33*G33/Constants!$C$4)</f>
        <v>0.41171706263498919</v>
      </c>
      <c r="W33" s="202">
        <f>IF(J33="n.a.", 0, J33*G33/Constants!$C$6)</f>
        <v>0.25649755986834638</v>
      </c>
      <c r="X33">
        <f>P33*Constants!$D$12</f>
        <v>369.76691689600352</v>
      </c>
      <c r="Y33">
        <f>Q33*Constants!$D$11</f>
        <v>2.8342432338250667</v>
      </c>
      <c r="Z33">
        <f>R33*Constants!$D$13</f>
        <v>55.963587921847235</v>
      </c>
      <c r="AA33">
        <f>S33*Constants!$D$18</f>
        <v>37.856598662490477</v>
      </c>
      <c r="AB33">
        <f>T33*Constants!$D$17</f>
        <v>6.9262428049096121</v>
      </c>
      <c r="AC33" s="156">
        <f>U33*Constants!$D$3</f>
        <v>6.6627810158201495</v>
      </c>
      <c r="AD33" s="156">
        <f>V33*Constants!$D$4</f>
        <v>1.2351511879049677</v>
      </c>
      <c r="AE33" s="156">
        <f>W33*Constants!$D$6</f>
        <v>1.0259902394733855</v>
      </c>
      <c r="AF33" s="156">
        <f>P33*Constants!$E$12</f>
        <v>1663.951126032016</v>
      </c>
      <c r="AG33" s="156">
        <f>Q33*Constants!$E$11</f>
        <v>12.7540945522128</v>
      </c>
      <c r="AH33" s="156">
        <f>R33*Constants!$E$13</f>
        <v>223.85435168738894</v>
      </c>
      <c r="AI33" s="156">
        <f>S33*Constants!$E$18</f>
        <v>181.71167357995427</v>
      </c>
      <c r="AJ33" s="156">
        <f>T33*Constants!$E$17</f>
        <v>31.350362169590873</v>
      </c>
      <c r="AK33" s="156">
        <f>U33*Constants!$E$3</f>
        <v>26.651124063280598</v>
      </c>
      <c r="AL33" s="156">
        <f>V33*Constants!$E$4</f>
        <v>5.764038876889849</v>
      </c>
      <c r="AM33">
        <f>W33*Constants!$E$6</f>
        <v>5.1299511973669274</v>
      </c>
    </row>
    <row r="34" spans="1:39">
      <c r="A34" s="113">
        <f>'lab journal'!W34</f>
        <v>61.711111111115315</v>
      </c>
      <c r="B34" s="114">
        <v>20</v>
      </c>
      <c r="C34" s="113">
        <v>481.18</v>
      </c>
      <c r="D34" s="113">
        <v>3.05</v>
      </c>
      <c r="E34" s="113">
        <v>84.02</v>
      </c>
      <c r="F34" s="113">
        <v>44.72</v>
      </c>
      <c r="G34" s="114">
        <v>5</v>
      </c>
      <c r="H34">
        <v>40.01</v>
      </c>
      <c r="I34">
        <v>6.1</v>
      </c>
      <c r="J34">
        <v>4.5199999999999996</v>
      </c>
      <c r="K34" s="115">
        <f t="shared" si="0"/>
        <v>9623.6</v>
      </c>
      <c r="L34" s="115">
        <f t="shared" si="1"/>
        <v>61</v>
      </c>
      <c r="M34" s="115">
        <f t="shared" si="2"/>
        <v>1680.3999999999999</v>
      </c>
      <c r="N34" s="115">
        <f t="shared" si="3"/>
        <v>894.4</v>
      </c>
      <c r="O34" s="115">
        <v>100</v>
      </c>
      <c r="P34" s="202">
        <f>K34/Constants!$C$12</f>
        <v>92.441729224000881</v>
      </c>
      <c r="Q34" s="202">
        <f>L34/Constants!$C$11</f>
        <v>0.70856080845626668</v>
      </c>
      <c r="R34" s="202">
        <f>M34/Constants!$C$13</f>
        <v>18.654529307282413</v>
      </c>
      <c r="S34" s="202">
        <f>N34/Constants!$C$18</f>
        <v>7.571319732498095</v>
      </c>
      <c r="T34" s="202">
        <f>O34/Constants!$C$17</f>
        <v>0.36453909499524273</v>
      </c>
      <c r="U34" s="202">
        <f>IF(H34="n.a.", 0, H34*G34/Constants!$C$3)</f>
        <v>3.3313905079100747</v>
      </c>
      <c r="V34" s="202">
        <f>IF(I34="n.a.", 0, I34*G34/Constants!$C$4)</f>
        <v>0.41171706263498919</v>
      </c>
      <c r="W34" s="202">
        <f>IF(J34="n.a.", 0, J34*G34/Constants!$C$6)</f>
        <v>0.25649755986834638</v>
      </c>
      <c r="X34">
        <f>P34*Constants!$D$12</f>
        <v>369.76691689600352</v>
      </c>
      <c r="Y34">
        <f>Q34*Constants!$D$11</f>
        <v>2.8342432338250667</v>
      </c>
      <c r="Z34">
        <f>R34*Constants!$D$13</f>
        <v>55.963587921847235</v>
      </c>
      <c r="AA34">
        <f>S34*Constants!$D$18</f>
        <v>37.856598662490477</v>
      </c>
      <c r="AB34">
        <f>T34*Constants!$D$17</f>
        <v>6.9262428049096121</v>
      </c>
      <c r="AC34" s="156">
        <f>U34*Constants!$D$3</f>
        <v>6.6627810158201495</v>
      </c>
      <c r="AD34" s="156">
        <f>V34*Constants!$D$4</f>
        <v>1.2351511879049677</v>
      </c>
      <c r="AE34" s="156">
        <f>W34*Constants!$D$6</f>
        <v>1.0259902394733855</v>
      </c>
      <c r="AF34" s="156">
        <f>P34*Constants!$E$12</f>
        <v>1663.951126032016</v>
      </c>
      <c r="AG34" s="156">
        <f>Q34*Constants!$E$11</f>
        <v>12.7540945522128</v>
      </c>
      <c r="AH34" s="156">
        <f>R34*Constants!$E$13</f>
        <v>223.85435168738894</v>
      </c>
      <c r="AI34" s="156">
        <f>S34*Constants!$E$18</f>
        <v>181.71167357995427</v>
      </c>
      <c r="AJ34" s="156">
        <f>T34*Constants!$E$17</f>
        <v>31.350362169590873</v>
      </c>
      <c r="AK34" s="156">
        <f>U34*Constants!$E$3</f>
        <v>26.651124063280598</v>
      </c>
      <c r="AL34" s="156">
        <f>V34*Constants!$E$4</f>
        <v>5.764038876889849</v>
      </c>
      <c r="AM34">
        <f>W34*Constants!$E$6</f>
        <v>5.1299511973669274</v>
      </c>
    </row>
    <row r="35" spans="1:39">
      <c r="A35" s="113">
        <f>'lab journal'!W35</f>
        <v>63.732638888890506</v>
      </c>
      <c r="B35" s="114">
        <v>20</v>
      </c>
      <c r="C35" s="113">
        <v>481.18</v>
      </c>
      <c r="D35" s="113">
        <v>3.05</v>
      </c>
      <c r="E35" s="113">
        <v>84.02</v>
      </c>
      <c r="F35" s="113">
        <v>44.72</v>
      </c>
      <c r="G35" s="114">
        <v>5</v>
      </c>
      <c r="H35">
        <v>40.01</v>
      </c>
      <c r="I35">
        <v>6.1</v>
      </c>
      <c r="J35">
        <v>4.5199999999999996</v>
      </c>
      <c r="K35" s="115">
        <f t="shared" si="0"/>
        <v>9623.6</v>
      </c>
      <c r="L35" s="115">
        <f t="shared" si="1"/>
        <v>61</v>
      </c>
      <c r="M35" s="115">
        <f t="shared" si="2"/>
        <v>1680.3999999999999</v>
      </c>
      <c r="N35" s="115">
        <f t="shared" si="3"/>
        <v>894.4</v>
      </c>
      <c r="O35" s="115">
        <v>100</v>
      </c>
      <c r="P35" s="202">
        <f>K35/Constants!$C$12</f>
        <v>92.441729224000881</v>
      </c>
      <c r="Q35" s="202">
        <f>L35/Constants!$C$11</f>
        <v>0.70856080845626668</v>
      </c>
      <c r="R35" s="202">
        <f>M35/Constants!$C$13</f>
        <v>18.654529307282413</v>
      </c>
      <c r="S35" s="202">
        <f>N35/Constants!$C$18</f>
        <v>7.571319732498095</v>
      </c>
      <c r="T35" s="202">
        <f>O35/Constants!$C$17</f>
        <v>0.36453909499524273</v>
      </c>
      <c r="U35" s="202">
        <f>IF(H35="n.a.", 0, H35*G35/Constants!$C$3)</f>
        <v>3.3313905079100747</v>
      </c>
      <c r="V35" s="202">
        <f>IF(I35="n.a.", 0, I35*G35/Constants!$C$4)</f>
        <v>0.41171706263498919</v>
      </c>
      <c r="W35" s="202">
        <f>IF(J35="n.a.", 0, J35*G35/Constants!$C$6)</f>
        <v>0.25649755986834638</v>
      </c>
      <c r="X35">
        <f>P35*Constants!$D$12</f>
        <v>369.76691689600352</v>
      </c>
      <c r="Y35">
        <f>Q35*Constants!$D$11</f>
        <v>2.8342432338250667</v>
      </c>
      <c r="Z35">
        <f>R35*Constants!$D$13</f>
        <v>55.963587921847235</v>
      </c>
      <c r="AA35">
        <f>S35*Constants!$D$18</f>
        <v>37.856598662490477</v>
      </c>
      <c r="AB35">
        <f>T35*Constants!$D$17</f>
        <v>6.9262428049096121</v>
      </c>
      <c r="AC35" s="156">
        <f>U35*Constants!$D$3</f>
        <v>6.6627810158201495</v>
      </c>
      <c r="AD35" s="156">
        <f>V35*Constants!$D$4</f>
        <v>1.2351511879049677</v>
      </c>
      <c r="AE35" s="156">
        <f>W35*Constants!$D$6</f>
        <v>1.0259902394733855</v>
      </c>
      <c r="AF35" s="156">
        <f>P35*Constants!$E$12</f>
        <v>1663.951126032016</v>
      </c>
      <c r="AG35" s="156">
        <f>Q35*Constants!$E$11</f>
        <v>12.7540945522128</v>
      </c>
      <c r="AH35" s="156">
        <f>R35*Constants!$E$13</f>
        <v>223.85435168738894</v>
      </c>
      <c r="AI35" s="156">
        <f>S35*Constants!$E$18</f>
        <v>181.71167357995427</v>
      </c>
      <c r="AJ35" s="156">
        <f>T35*Constants!$E$17</f>
        <v>31.350362169590873</v>
      </c>
      <c r="AK35" s="156">
        <f>U35*Constants!$E$3</f>
        <v>26.651124063280598</v>
      </c>
      <c r="AL35" s="156">
        <f>V35*Constants!$E$4</f>
        <v>5.764038876889849</v>
      </c>
      <c r="AM35">
        <f>W35*Constants!$E$6</f>
        <v>5.1299511973669274</v>
      </c>
    </row>
    <row r="36" spans="1:39">
      <c r="A36" s="113">
        <f>'lab journal'!W36</f>
        <v>66.740972222221899</v>
      </c>
      <c r="B36" s="114">
        <v>20</v>
      </c>
      <c r="C36" s="113">
        <v>466.3</v>
      </c>
      <c r="D36" s="113">
        <v>11.16</v>
      </c>
      <c r="E36" s="113">
        <v>64.67</v>
      </c>
      <c r="F36" s="113">
        <v>40.42</v>
      </c>
      <c r="G36" s="114">
        <v>5</v>
      </c>
      <c r="H36">
        <v>57.39</v>
      </c>
      <c r="I36">
        <v>4.33</v>
      </c>
      <c r="J36">
        <v>7.67</v>
      </c>
      <c r="K36" s="115">
        <f t="shared" ref="K36:K67" si="4">C36*B36</f>
        <v>9326</v>
      </c>
      <c r="L36" s="115">
        <f t="shared" ref="L36:L67" si="5">D36*B36</f>
        <v>223.2</v>
      </c>
      <c r="M36" s="115">
        <f t="shared" ref="M36:M67" si="6">E36*B36</f>
        <v>1293.4000000000001</v>
      </c>
      <c r="N36" s="115">
        <f t="shared" ref="N36:N67" si="7">F36*B36</f>
        <v>808.40000000000009</v>
      </c>
      <c r="O36" s="115">
        <v>100</v>
      </c>
      <c r="P36" s="202">
        <f>K36/Constants!$C$12</f>
        <v>89.583063172101106</v>
      </c>
      <c r="Q36" s="202">
        <f>L36/Constants!$C$11</f>
        <v>2.5926356138924378</v>
      </c>
      <c r="R36" s="202">
        <f>M36/Constants!$C$13</f>
        <v>14.35834813499112</v>
      </c>
      <c r="S36" s="202">
        <f>N36/Constants!$C$18</f>
        <v>6.8433082197578949</v>
      </c>
      <c r="T36" s="202">
        <f>O36/Constants!$C$17</f>
        <v>0.36453909499524273</v>
      </c>
      <c r="U36" s="202">
        <f>IF(H36="n.a.", 0, H36*G36/Constants!$C$3)</f>
        <v>4.7785179017485433</v>
      </c>
      <c r="V36" s="202">
        <f>IF(I36="n.a.", 0, I36*G36/Constants!$C$4)</f>
        <v>0.29225161987041037</v>
      </c>
      <c r="W36" s="202">
        <f>IF(J36="n.a.", 0, J36*G36/Constants!$C$6)</f>
        <v>0.4352513903075701</v>
      </c>
      <c r="X36">
        <f>P36*Constants!$D$12</f>
        <v>358.33225268840442</v>
      </c>
      <c r="Y36">
        <f>Q36*Constants!$D$11</f>
        <v>10.370542455569751</v>
      </c>
      <c r="Z36">
        <f>R36*Constants!$D$13</f>
        <v>43.075044404973362</v>
      </c>
      <c r="AA36">
        <f>S36*Constants!$D$18</f>
        <v>34.216541098789477</v>
      </c>
      <c r="AB36">
        <f>T36*Constants!$D$17</f>
        <v>6.9262428049096121</v>
      </c>
      <c r="AC36" s="156">
        <f>U36*Constants!$D$3</f>
        <v>9.5570358034970866</v>
      </c>
      <c r="AD36" s="156">
        <f>V36*Constants!$D$4</f>
        <v>0.87675485961123112</v>
      </c>
      <c r="AE36" s="156">
        <f>W36*Constants!$D$6</f>
        <v>1.7410055612302804</v>
      </c>
      <c r="AF36" s="156">
        <f>P36*Constants!$E$12</f>
        <v>1612.4951370978199</v>
      </c>
      <c r="AG36" s="156">
        <f>Q36*Constants!$E$11</f>
        <v>46.667441050063879</v>
      </c>
      <c r="AH36" s="156">
        <f>R36*Constants!$E$13</f>
        <v>172.30017761989345</v>
      </c>
      <c r="AI36" s="156">
        <f>S36*Constants!$E$18</f>
        <v>164.23939727418949</v>
      </c>
      <c r="AJ36" s="156">
        <f>T36*Constants!$E$17</f>
        <v>31.350362169590873</v>
      </c>
      <c r="AK36" s="156">
        <f>U36*Constants!$E$3</f>
        <v>38.228143213988346</v>
      </c>
      <c r="AL36" s="156">
        <f>V36*Constants!$E$4</f>
        <v>4.0915226781857452</v>
      </c>
      <c r="AM36">
        <f>W36*Constants!$E$6</f>
        <v>8.7050278061514028</v>
      </c>
    </row>
    <row r="37" spans="1:39">
      <c r="A37" s="113">
        <f>'lab journal'!W37</f>
        <v>68.715277777781012</v>
      </c>
      <c r="B37" s="114">
        <v>20</v>
      </c>
      <c r="C37" s="113">
        <v>466.3</v>
      </c>
      <c r="D37" s="113">
        <v>11.16</v>
      </c>
      <c r="E37" s="113">
        <v>64.67</v>
      </c>
      <c r="F37" s="113">
        <v>40.42</v>
      </c>
      <c r="G37" s="114">
        <v>5</v>
      </c>
      <c r="H37">
        <v>57.39</v>
      </c>
      <c r="I37">
        <v>4.33</v>
      </c>
      <c r="J37">
        <v>7.67</v>
      </c>
      <c r="K37" s="115">
        <f t="shared" si="4"/>
        <v>9326</v>
      </c>
      <c r="L37" s="115">
        <f t="shared" si="5"/>
        <v>223.2</v>
      </c>
      <c r="M37" s="115">
        <f t="shared" si="6"/>
        <v>1293.4000000000001</v>
      </c>
      <c r="N37" s="115">
        <f t="shared" si="7"/>
        <v>808.40000000000009</v>
      </c>
      <c r="O37" s="115">
        <v>100</v>
      </c>
      <c r="P37" s="202">
        <f>K37/Constants!$C$12</f>
        <v>89.583063172101106</v>
      </c>
      <c r="Q37" s="202">
        <f>L37/Constants!$C$11</f>
        <v>2.5926356138924378</v>
      </c>
      <c r="R37" s="202">
        <f>M37/Constants!$C$13</f>
        <v>14.35834813499112</v>
      </c>
      <c r="S37" s="202">
        <f>N37/Constants!$C$18</f>
        <v>6.8433082197578949</v>
      </c>
      <c r="T37" s="202">
        <f>O37/Constants!$C$17</f>
        <v>0.36453909499524273</v>
      </c>
      <c r="U37" s="202">
        <f>IF(H37="n.a.", 0, H37*G37/Constants!$C$3)</f>
        <v>4.7785179017485433</v>
      </c>
      <c r="V37" s="202">
        <f>IF(I37="n.a.", 0, I37*G37/Constants!$C$4)</f>
        <v>0.29225161987041037</v>
      </c>
      <c r="W37" s="202">
        <f>IF(J37="n.a.", 0, J37*G37/Constants!$C$6)</f>
        <v>0.4352513903075701</v>
      </c>
      <c r="X37">
        <f>P37*Constants!$D$12</f>
        <v>358.33225268840442</v>
      </c>
      <c r="Y37">
        <f>Q37*Constants!$D$11</f>
        <v>10.370542455569751</v>
      </c>
      <c r="Z37">
        <f>R37*Constants!$D$13</f>
        <v>43.075044404973362</v>
      </c>
      <c r="AA37">
        <f>S37*Constants!$D$18</f>
        <v>34.216541098789477</v>
      </c>
      <c r="AB37">
        <f>T37*Constants!$D$17</f>
        <v>6.9262428049096121</v>
      </c>
      <c r="AC37" s="156">
        <f>U37*Constants!$D$3</f>
        <v>9.5570358034970866</v>
      </c>
      <c r="AD37" s="156">
        <f>V37*Constants!$D$4</f>
        <v>0.87675485961123112</v>
      </c>
      <c r="AE37" s="156">
        <f>W37*Constants!$D$6</f>
        <v>1.7410055612302804</v>
      </c>
      <c r="AF37" s="156">
        <f>P37*Constants!$E$12</f>
        <v>1612.4951370978199</v>
      </c>
      <c r="AG37" s="156">
        <f>Q37*Constants!$E$11</f>
        <v>46.667441050063879</v>
      </c>
      <c r="AH37" s="156">
        <f>R37*Constants!$E$13</f>
        <v>172.30017761989345</v>
      </c>
      <c r="AI37" s="156">
        <f>S37*Constants!$E$18</f>
        <v>164.23939727418949</v>
      </c>
      <c r="AJ37" s="156">
        <f>T37*Constants!$E$17</f>
        <v>31.350362169590873</v>
      </c>
      <c r="AK37" s="156">
        <f>U37*Constants!$E$3</f>
        <v>38.228143213988346</v>
      </c>
      <c r="AL37" s="156">
        <f>V37*Constants!$E$4</f>
        <v>4.0915226781857452</v>
      </c>
      <c r="AM37">
        <f>W37*Constants!$E$6</f>
        <v>8.7050278061514028</v>
      </c>
    </row>
    <row r="38" spans="1:39">
      <c r="A38" s="113">
        <f>'lab journal'!W38</f>
        <v>70.715277777781012</v>
      </c>
      <c r="B38" s="114">
        <v>20</v>
      </c>
      <c r="C38" s="113">
        <v>466.3</v>
      </c>
      <c r="D38" s="113">
        <v>11.16</v>
      </c>
      <c r="E38" s="113">
        <v>64.67</v>
      </c>
      <c r="F38" s="113">
        <v>40.42</v>
      </c>
      <c r="G38" s="114">
        <v>5</v>
      </c>
      <c r="H38">
        <v>57.39</v>
      </c>
      <c r="I38">
        <v>4.33</v>
      </c>
      <c r="J38">
        <v>7.67</v>
      </c>
      <c r="K38" s="115">
        <f t="shared" si="4"/>
        <v>9326</v>
      </c>
      <c r="L38" s="115">
        <f t="shared" si="5"/>
        <v>223.2</v>
      </c>
      <c r="M38" s="115">
        <f t="shared" si="6"/>
        <v>1293.4000000000001</v>
      </c>
      <c r="N38" s="115">
        <f t="shared" si="7"/>
        <v>808.40000000000009</v>
      </c>
      <c r="O38" s="115">
        <v>100</v>
      </c>
      <c r="P38" s="202">
        <f>K38/Constants!$C$12</f>
        <v>89.583063172101106</v>
      </c>
      <c r="Q38" s="202">
        <f>L38/Constants!$C$11</f>
        <v>2.5926356138924378</v>
      </c>
      <c r="R38" s="202">
        <f>M38/Constants!$C$13</f>
        <v>14.35834813499112</v>
      </c>
      <c r="S38" s="202">
        <f>N38/Constants!$C$18</f>
        <v>6.8433082197578949</v>
      </c>
      <c r="T38" s="202">
        <f>O38/Constants!$C$17</f>
        <v>0.36453909499524273</v>
      </c>
      <c r="U38" s="202">
        <f>IF(H38="n.a.", 0, H38*G38/Constants!$C$3)</f>
        <v>4.7785179017485433</v>
      </c>
      <c r="V38" s="202">
        <f>IF(I38="n.a.", 0, I38*G38/Constants!$C$4)</f>
        <v>0.29225161987041037</v>
      </c>
      <c r="W38" s="202">
        <f>IF(J38="n.a.", 0, J38*G38/Constants!$C$6)</f>
        <v>0.4352513903075701</v>
      </c>
      <c r="X38">
        <f>P38*Constants!$D$12</f>
        <v>358.33225268840442</v>
      </c>
      <c r="Y38">
        <f>Q38*Constants!$D$11</f>
        <v>10.370542455569751</v>
      </c>
      <c r="Z38">
        <f>R38*Constants!$D$13</f>
        <v>43.075044404973362</v>
      </c>
      <c r="AA38">
        <f>S38*Constants!$D$18</f>
        <v>34.216541098789477</v>
      </c>
      <c r="AB38">
        <f>T38*Constants!$D$17</f>
        <v>6.9262428049096121</v>
      </c>
      <c r="AC38" s="156">
        <f>U38*Constants!$D$3</f>
        <v>9.5570358034970866</v>
      </c>
      <c r="AD38" s="156">
        <f>V38*Constants!$D$4</f>
        <v>0.87675485961123112</v>
      </c>
      <c r="AE38" s="156">
        <f>W38*Constants!$D$6</f>
        <v>1.7410055612302804</v>
      </c>
      <c r="AF38" s="156">
        <f>P38*Constants!$E$12</f>
        <v>1612.4951370978199</v>
      </c>
      <c r="AG38" s="156">
        <f>Q38*Constants!$E$11</f>
        <v>46.667441050063879</v>
      </c>
      <c r="AH38" s="156">
        <f>R38*Constants!$E$13</f>
        <v>172.30017761989345</v>
      </c>
      <c r="AI38" s="156">
        <f>S38*Constants!$E$18</f>
        <v>164.23939727418949</v>
      </c>
      <c r="AJ38" s="156">
        <f>T38*Constants!$E$17</f>
        <v>31.350362169590873</v>
      </c>
      <c r="AK38" s="156">
        <f>U38*Constants!$E$3</f>
        <v>38.228143213988346</v>
      </c>
      <c r="AL38" s="156">
        <f>V38*Constants!$E$4</f>
        <v>4.0915226781857452</v>
      </c>
      <c r="AM38">
        <f>W38*Constants!$E$6</f>
        <v>8.7050278061514028</v>
      </c>
    </row>
    <row r="39" spans="1:39">
      <c r="A39" s="113">
        <f>'lab journal'!W39</f>
        <v>73.722916666665697</v>
      </c>
      <c r="B39" s="114">
        <v>20</v>
      </c>
      <c r="C39" s="113">
        <v>466.3</v>
      </c>
      <c r="D39" s="113">
        <v>11.16</v>
      </c>
      <c r="E39" s="113">
        <v>64.67</v>
      </c>
      <c r="F39" s="113">
        <v>40.42</v>
      </c>
      <c r="G39" s="114">
        <v>5</v>
      </c>
      <c r="H39">
        <v>57.39</v>
      </c>
      <c r="I39">
        <v>4.33</v>
      </c>
      <c r="J39">
        <v>7.67</v>
      </c>
      <c r="K39" s="115">
        <f t="shared" si="4"/>
        <v>9326</v>
      </c>
      <c r="L39" s="115">
        <f t="shared" si="5"/>
        <v>223.2</v>
      </c>
      <c r="M39" s="115">
        <f t="shared" si="6"/>
        <v>1293.4000000000001</v>
      </c>
      <c r="N39" s="115">
        <f t="shared" si="7"/>
        <v>808.40000000000009</v>
      </c>
      <c r="O39" s="115">
        <v>100</v>
      </c>
      <c r="P39" s="202">
        <f>K39/Constants!$C$12</f>
        <v>89.583063172101106</v>
      </c>
      <c r="Q39" s="202">
        <f>L39/Constants!$C$11</f>
        <v>2.5926356138924378</v>
      </c>
      <c r="R39" s="202">
        <f>M39/Constants!$C$13</f>
        <v>14.35834813499112</v>
      </c>
      <c r="S39" s="202">
        <f>N39/Constants!$C$18</f>
        <v>6.8433082197578949</v>
      </c>
      <c r="T39" s="202">
        <f>O39/Constants!$C$17</f>
        <v>0.36453909499524273</v>
      </c>
      <c r="U39" s="202">
        <f>IF(H39="n.a.", 0, H39*G39/Constants!$C$3)</f>
        <v>4.7785179017485433</v>
      </c>
      <c r="V39" s="202">
        <f>IF(I39="n.a.", 0, I39*G39/Constants!$C$4)</f>
        <v>0.29225161987041037</v>
      </c>
      <c r="W39" s="202">
        <f>IF(J39="n.a.", 0, J39*G39/Constants!$C$6)</f>
        <v>0.4352513903075701</v>
      </c>
      <c r="X39">
        <f>P39*Constants!$D$12</f>
        <v>358.33225268840442</v>
      </c>
      <c r="Y39">
        <f>Q39*Constants!$D$11</f>
        <v>10.370542455569751</v>
      </c>
      <c r="Z39">
        <f>R39*Constants!$D$13</f>
        <v>43.075044404973362</v>
      </c>
      <c r="AA39">
        <f>S39*Constants!$D$18</f>
        <v>34.216541098789477</v>
      </c>
      <c r="AB39">
        <f>T39*Constants!$D$17</f>
        <v>6.9262428049096121</v>
      </c>
      <c r="AC39" s="156">
        <f>U39*Constants!$D$3</f>
        <v>9.5570358034970866</v>
      </c>
      <c r="AD39" s="156">
        <f>V39*Constants!$D$4</f>
        <v>0.87675485961123112</v>
      </c>
      <c r="AE39" s="156">
        <f>W39*Constants!$D$6</f>
        <v>1.7410055612302804</v>
      </c>
      <c r="AF39" s="156">
        <f>P39*Constants!$E$12</f>
        <v>1612.4951370978199</v>
      </c>
      <c r="AG39" s="156">
        <f>Q39*Constants!$E$11</f>
        <v>46.667441050063879</v>
      </c>
      <c r="AH39" s="156">
        <f>R39*Constants!$E$13</f>
        <v>172.30017761989345</v>
      </c>
      <c r="AI39" s="156">
        <f>S39*Constants!$E$18</f>
        <v>164.23939727418949</v>
      </c>
      <c r="AJ39" s="156">
        <f>T39*Constants!$E$17</f>
        <v>31.350362169590873</v>
      </c>
      <c r="AK39" s="156">
        <f>U39*Constants!$E$3</f>
        <v>38.228143213988346</v>
      </c>
      <c r="AL39" s="156">
        <f>V39*Constants!$E$4</f>
        <v>4.0915226781857452</v>
      </c>
      <c r="AM39">
        <f>W39*Constants!$E$6</f>
        <v>8.7050278061514028</v>
      </c>
    </row>
    <row r="40" spans="1:39">
      <c r="A40" s="113">
        <f>'lab journal'!W40</f>
        <v>75.719444444446708</v>
      </c>
      <c r="B40" s="114">
        <v>20</v>
      </c>
      <c r="C40" s="113">
        <v>505.5</v>
      </c>
      <c r="D40" s="113">
        <v>20.25</v>
      </c>
      <c r="E40" s="113">
        <v>84.5</v>
      </c>
      <c r="F40" s="113">
        <v>38.44</v>
      </c>
      <c r="G40" s="114">
        <v>5</v>
      </c>
      <c r="H40">
        <v>40.869999999999997</v>
      </c>
      <c r="I40">
        <v>2.31</v>
      </c>
      <c r="J40">
        <v>3.8</v>
      </c>
      <c r="K40" s="115">
        <f t="shared" si="4"/>
        <v>10110</v>
      </c>
      <c r="L40" s="115">
        <f t="shared" si="5"/>
        <v>405</v>
      </c>
      <c r="M40" s="115">
        <f t="shared" si="6"/>
        <v>1690</v>
      </c>
      <c r="N40" s="115">
        <f t="shared" si="7"/>
        <v>768.8</v>
      </c>
      <c r="O40" s="115">
        <v>100</v>
      </c>
      <c r="P40" s="202">
        <f>K40/Constants!$C$12</f>
        <v>97.11395760990159</v>
      </c>
      <c r="Q40" s="202">
        <f>L40/Constants!$C$11</f>
        <v>4.7043791381112783</v>
      </c>
      <c r="R40" s="202">
        <f>M40/Constants!$C$13</f>
        <v>18.761101243339255</v>
      </c>
      <c r="S40" s="202">
        <f>N40/Constants!$C$18</f>
        <v>6.5080843138914757</v>
      </c>
      <c r="T40" s="202">
        <f>O40/Constants!$C$17</f>
        <v>0.36453909499524273</v>
      </c>
      <c r="U40" s="202">
        <f>IF(H40="n.a.", 0, H40*G40/Constants!$C$3)</f>
        <v>3.4029975020815986</v>
      </c>
      <c r="V40" s="202">
        <f>IF(I40="n.a.", 0, I40*G40/Constants!$C$4)</f>
        <v>0.1559125269978402</v>
      </c>
      <c r="W40" s="202">
        <f>IF(J40="n.a.", 0, J40*G40/Constants!$C$6)</f>
        <v>0.2156395414822381</v>
      </c>
      <c r="X40">
        <f>P40*Constants!$D$12</f>
        <v>388.45583043960636</v>
      </c>
      <c r="Y40">
        <f>Q40*Constants!$D$11</f>
        <v>18.817516552445113</v>
      </c>
      <c r="Z40">
        <f>R40*Constants!$D$13</f>
        <v>56.283303730017764</v>
      </c>
      <c r="AA40">
        <f>S40*Constants!$D$18</f>
        <v>32.540421569457379</v>
      </c>
      <c r="AB40">
        <f>T40*Constants!$D$17</f>
        <v>6.9262428049096121</v>
      </c>
      <c r="AC40" s="156">
        <f>U40*Constants!$D$3</f>
        <v>6.8059950041631971</v>
      </c>
      <c r="AD40" s="156">
        <f>V40*Constants!$D$4</f>
        <v>0.46773758099352059</v>
      </c>
      <c r="AE40" s="156">
        <f>W40*Constants!$D$6</f>
        <v>0.8625581659289524</v>
      </c>
      <c r="AF40" s="156">
        <f>P40*Constants!$E$12</f>
        <v>1748.0512369782286</v>
      </c>
      <c r="AG40" s="156">
        <f>Q40*Constants!$E$11</f>
        <v>84.678824486003009</v>
      </c>
      <c r="AH40" s="156">
        <f>R40*Constants!$E$13</f>
        <v>225.13321492007105</v>
      </c>
      <c r="AI40" s="156">
        <f>S40*Constants!$E$18</f>
        <v>156.19402353339541</v>
      </c>
      <c r="AJ40" s="156">
        <f>T40*Constants!$E$17</f>
        <v>31.350362169590873</v>
      </c>
      <c r="AK40" s="156">
        <f>U40*Constants!$E$3</f>
        <v>27.223980016652789</v>
      </c>
      <c r="AL40" s="156">
        <f>V40*Constants!$E$4</f>
        <v>2.1827753779697625</v>
      </c>
      <c r="AM40">
        <f>W40*Constants!$E$6</f>
        <v>4.3127908296447623</v>
      </c>
    </row>
    <row r="41" spans="1:39">
      <c r="A41" s="113">
        <f>'lab journal'!W41</f>
        <v>77.722222222226264</v>
      </c>
      <c r="B41" s="114">
        <v>20</v>
      </c>
      <c r="C41" s="113">
        <v>505.5</v>
      </c>
      <c r="D41" s="113">
        <v>20.25</v>
      </c>
      <c r="E41" s="113">
        <v>84.5</v>
      </c>
      <c r="F41" s="113">
        <v>38.44</v>
      </c>
      <c r="G41" s="114">
        <v>5</v>
      </c>
      <c r="H41">
        <v>40.869999999999997</v>
      </c>
      <c r="I41">
        <v>2.31</v>
      </c>
      <c r="J41">
        <v>3.8</v>
      </c>
      <c r="K41" s="115">
        <f t="shared" si="4"/>
        <v>10110</v>
      </c>
      <c r="L41" s="115">
        <f t="shared" si="5"/>
        <v>405</v>
      </c>
      <c r="M41" s="115">
        <f t="shared" si="6"/>
        <v>1690</v>
      </c>
      <c r="N41" s="115">
        <f t="shared" si="7"/>
        <v>768.8</v>
      </c>
      <c r="O41" s="115">
        <v>100</v>
      </c>
      <c r="P41" s="202">
        <f>K41/Constants!$C$12</f>
        <v>97.11395760990159</v>
      </c>
      <c r="Q41" s="202">
        <f>L41/Constants!$C$11</f>
        <v>4.7043791381112783</v>
      </c>
      <c r="R41" s="202">
        <f>M41/Constants!$C$13</f>
        <v>18.761101243339255</v>
      </c>
      <c r="S41" s="202">
        <f>N41/Constants!$C$18</f>
        <v>6.5080843138914757</v>
      </c>
      <c r="T41" s="202">
        <f>O41/Constants!$C$17</f>
        <v>0.36453909499524273</v>
      </c>
      <c r="U41" s="202">
        <f>IF(H41="n.a.", 0, H41*G41/Constants!$C$3)</f>
        <v>3.4029975020815986</v>
      </c>
      <c r="V41" s="202">
        <f>IF(I41="n.a.", 0, I41*G41/Constants!$C$4)</f>
        <v>0.1559125269978402</v>
      </c>
      <c r="W41" s="202">
        <f>IF(J41="n.a.", 0, J41*G41/Constants!$C$6)</f>
        <v>0.2156395414822381</v>
      </c>
      <c r="X41">
        <f>P41*Constants!$D$12</f>
        <v>388.45583043960636</v>
      </c>
      <c r="Y41">
        <f>Q41*Constants!$D$11</f>
        <v>18.817516552445113</v>
      </c>
      <c r="Z41">
        <f>R41*Constants!$D$13</f>
        <v>56.283303730017764</v>
      </c>
      <c r="AA41">
        <f>S41*Constants!$D$18</f>
        <v>32.540421569457379</v>
      </c>
      <c r="AB41">
        <f>T41*Constants!$D$17</f>
        <v>6.9262428049096121</v>
      </c>
      <c r="AC41" s="156">
        <f>U41*Constants!$D$3</f>
        <v>6.8059950041631971</v>
      </c>
      <c r="AD41" s="156">
        <f>V41*Constants!$D$4</f>
        <v>0.46773758099352059</v>
      </c>
      <c r="AE41" s="156">
        <f>W41*Constants!$D$6</f>
        <v>0.8625581659289524</v>
      </c>
      <c r="AF41" s="156">
        <f>P41*Constants!$E$12</f>
        <v>1748.0512369782286</v>
      </c>
      <c r="AG41" s="156">
        <f>Q41*Constants!$E$11</f>
        <v>84.678824486003009</v>
      </c>
      <c r="AH41" s="156">
        <f>R41*Constants!$E$13</f>
        <v>225.13321492007105</v>
      </c>
      <c r="AI41" s="156">
        <f>S41*Constants!$E$18</f>
        <v>156.19402353339541</v>
      </c>
      <c r="AJ41" s="156">
        <f>T41*Constants!$E$17</f>
        <v>31.350362169590873</v>
      </c>
      <c r="AK41" s="156">
        <f>U41*Constants!$E$3</f>
        <v>27.223980016652789</v>
      </c>
      <c r="AL41" s="156">
        <f>V41*Constants!$E$4</f>
        <v>2.1827753779697625</v>
      </c>
      <c r="AM41">
        <f>W41*Constants!$E$6</f>
        <v>4.3127908296447623</v>
      </c>
    </row>
    <row r="42" spans="1:39">
      <c r="A42" s="113">
        <f>'lab journal'!W42</f>
        <v>80.712500000001455</v>
      </c>
      <c r="B42" s="114">
        <v>20</v>
      </c>
      <c r="C42" s="113">
        <v>505.5</v>
      </c>
      <c r="D42" s="113">
        <v>20.25</v>
      </c>
      <c r="E42" s="113">
        <v>84.5</v>
      </c>
      <c r="F42" s="113">
        <v>38.44</v>
      </c>
      <c r="G42" s="114">
        <v>5</v>
      </c>
      <c r="H42">
        <v>40.869999999999997</v>
      </c>
      <c r="I42">
        <v>2.31</v>
      </c>
      <c r="J42">
        <v>3.8</v>
      </c>
      <c r="K42" s="115">
        <f t="shared" si="4"/>
        <v>10110</v>
      </c>
      <c r="L42" s="115">
        <f t="shared" si="5"/>
        <v>405</v>
      </c>
      <c r="M42" s="115">
        <f t="shared" si="6"/>
        <v>1690</v>
      </c>
      <c r="N42" s="115">
        <f t="shared" si="7"/>
        <v>768.8</v>
      </c>
      <c r="O42" s="115">
        <v>100</v>
      </c>
      <c r="P42" s="202">
        <f>K42/Constants!$C$12</f>
        <v>97.11395760990159</v>
      </c>
      <c r="Q42" s="202">
        <f>L42/Constants!$C$11</f>
        <v>4.7043791381112783</v>
      </c>
      <c r="R42" s="202">
        <f>M42/Constants!$C$13</f>
        <v>18.761101243339255</v>
      </c>
      <c r="S42" s="202">
        <f>N42/Constants!$C$18</f>
        <v>6.5080843138914757</v>
      </c>
      <c r="T42" s="202">
        <f>O42/Constants!$C$17</f>
        <v>0.36453909499524273</v>
      </c>
      <c r="U42" s="202">
        <f>IF(H42="n.a.", 0, H42*G42/Constants!$C$3)</f>
        <v>3.4029975020815986</v>
      </c>
      <c r="V42" s="202">
        <f>IF(I42="n.a.", 0, I42*G42/Constants!$C$4)</f>
        <v>0.1559125269978402</v>
      </c>
      <c r="W42" s="202">
        <f>IF(J42="n.a.", 0, J42*G42/Constants!$C$6)</f>
        <v>0.2156395414822381</v>
      </c>
      <c r="X42">
        <f>P42*Constants!$D$12</f>
        <v>388.45583043960636</v>
      </c>
      <c r="Y42">
        <f>Q42*Constants!$D$11</f>
        <v>18.817516552445113</v>
      </c>
      <c r="Z42">
        <f>R42*Constants!$D$13</f>
        <v>56.283303730017764</v>
      </c>
      <c r="AA42">
        <f>S42*Constants!$D$18</f>
        <v>32.540421569457379</v>
      </c>
      <c r="AB42">
        <f>T42*Constants!$D$17</f>
        <v>6.9262428049096121</v>
      </c>
      <c r="AC42" s="156">
        <f>U42*Constants!$D$3</f>
        <v>6.8059950041631971</v>
      </c>
      <c r="AD42" s="156">
        <f>V42*Constants!$D$4</f>
        <v>0.46773758099352059</v>
      </c>
      <c r="AE42" s="156">
        <f>W42*Constants!$D$6</f>
        <v>0.8625581659289524</v>
      </c>
      <c r="AF42" s="156">
        <f>P42*Constants!$E$12</f>
        <v>1748.0512369782286</v>
      </c>
      <c r="AG42" s="156">
        <f>Q42*Constants!$E$11</f>
        <v>84.678824486003009</v>
      </c>
      <c r="AH42" s="156">
        <f>R42*Constants!$E$13</f>
        <v>225.13321492007105</v>
      </c>
      <c r="AI42" s="156">
        <f>S42*Constants!$E$18</f>
        <v>156.19402353339541</v>
      </c>
      <c r="AJ42" s="156">
        <f>T42*Constants!$E$17</f>
        <v>31.350362169590873</v>
      </c>
      <c r="AK42" s="156">
        <f>U42*Constants!$E$3</f>
        <v>27.223980016652789</v>
      </c>
      <c r="AL42" s="156">
        <f>V42*Constants!$E$4</f>
        <v>2.1827753779697625</v>
      </c>
      <c r="AM42">
        <f>W42*Constants!$E$6</f>
        <v>4.3127908296447623</v>
      </c>
    </row>
    <row r="43" spans="1:39">
      <c r="A43" s="113">
        <f>'lab journal'!W43</f>
        <v>82.766666666670062</v>
      </c>
      <c r="B43" s="114">
        <v>20</v>
      </c>
      <c r="C43" s="113">
        <v>505.5</v>
      </c>
      <c r="D43" s="113">
        <v>20.25</v>
      </c>
      <c r="E43" s="113">
        <v>84.5</v>
      </c>
      <c r="F43" s="113">
        <v>38.44</v>
      </c>
      <c r="G43" s="114">
        <v>5</v>
      </c>
      <c r="H43">
        <v>40.869999999999997</v>
      </c>
      <c r="I43">
        <v>2.31</v>
      </c>
      <c r="J43">
        <v>3.8</v>
      </c>
      <c r="K43" s="115">
        <f t="shared" si="4"/>
        <v>10110</v>
      </c>
      <c r="L43" s="115">
        <f t="shared" si="5"/>
        <v>405</v>
      </c>
      <c r="M43" s="115">
        <f t="shared" si="6"/>
        <v>1690</v>
      </c>
      <c r="N43" s="115">
        <f t="shared" si="7"/>
        <v>768.8</v>
      </c>
      <c r="O43" s="115">
        <v>100</v>
      </c>
      <c r="P43" s="202">
        <f>K43/Constants!$C$12</f>
        <v>97.11395760990159</v>
      </c>
      <c r="Q43" s="202">
        <f>L43/Constants!$C$11</f>
        <v>4.7043791381112783</v>
      </c>
      <c r="R43" s="202">
        <f>M43/Constants!$C$13</f>
        <v>18.761101243339255</v>
      </c>
      <c r="S43" s="202">
        <f>N43/Constants!$C$18</f>
        <v>6.5080843138914757</v>
      </c>
      <c r="T43" s="202">
        <f>O43/Constants!$C$17</f>
        <v>0.36453909499524273</v>
      </c>
      <c r="U43" s="202">
        <f>IF(H43="n.a.", 0, H43*G43/Constants!$C$3)</f>
        <v>3.4029975020815986</v>
      </c>
      <c r="V43" s="202">
        <f>IF(I43="n.a.", 0, I43*G43/Constants!$C$4)</f>
        <v>0.1559125269978402</v>
      </c>
      <c r="W43" s="202">
        <f>IF(J43="n.a.", 0, J43*G43/Constants!$C$6)</f>
        <v>0.2156395414822381</v>
      </c>
      <c r="X43">
        <f>P43*Constants!$D$12</f>
        <v>388.45583043960636</v>
      </c>
      <c r="Y43">
        <f>Q43*Constants!$D$11</f>
        <v>18.817516552445113</v>
      </c>
      <c r="Z43">
        <f>R43*Constants!$D$13</f>
        <v>56.283303730017764</v>
      </c>
      <c r="AA43">
        <f>S43*Constants!$D$18</f>
        <v>32.540421569457379</v>
      </c>
      <c r="AB43">
        <f>T43*Constants!$D$17</f>
        <v>6.9262428049096121</v>
      </c>
      <c r="AC43" s="156">
        <f>U43*Constants!$D$3</f>
        <v>6.8059950041631971</v>
      </c>
      <c r="AD43" s="156">
        <f>V43*Constants!$D$4</f>
        <v>0.46773758099352059</v>
      </c>
      <c r="AE43" s="156">
        <f>W43*Constants!$D$6</f>
        <v>0.8625581659289524</v>
      </c>
      <c r="AF43" s="156">
        <f>P43*Constants!$E$12</f>
        <v>1748.0512369782286</v>
      </c>
      <c r="AG43" s="156">
        <f>Q43*Constants!$E$11</f>
        <v>84.678824486003009</v>
      </c>
      <c r="AH43" s="156">
        <f>R43*Constants!$E$13</f>
        <v>225.13321492007105</v>
      </c>
      <c r="AI43" s="156">
        <f>S43*Constants!$E$18</f>
        <v>156.19402353339541</v>
      </c>
      <c r="AJ43" s="156">
        <f>T43*Constants!$E$17</f>
        <v>31.350362169590873</v>
      </c>
      <c r="AK43" s="156">
        <f>U43*Constants!$E$3</f>
        <v>27.223980016652789</v>
      </c>
      <c r="AL43" s="156">
        <f>V43*Constants!$E$4</f>
        <v>2.1827753779697625</v>
      </c>
      <c r="AM43">
        <f>W43*Constants!$E$6</f>
        <v>4.3127908296447623</v>
      </c>
    </row>
    <row r="44" spans="1:39">
      <c r="A44" s="113">
        <f>'lab journal'!W44</f>
        <v>84.759722222224809</v>
      </c>
      <c r="B44" s="114">
        <v>20</v>
      </c>
      <c r="C44" s="113">
        <v>409.95</v>
      </c>
      <c r="D44" s="113">
        <v>5.83</v>
      </c>
      <c r="E44" s="113">
        <v>3.3</v>
      </c>
      <c r="F44" s="113">
        <v>45.15</v>
      </c>
      <c r="G44" s="114">
        <v>5</v>
      </c>
      <c r="H44">
        <v>66.69</v>
      </c>
      <c r="I44">
        <v>1.84</v>
      </c>
      <c r="J44">
        <v>9.93</v>
      </c>
      <c r="K44" s="115">
        <f t="shared" si="4"/>
        <v>8199</v>
      </c>
      <c r="L44" s="115">
        <f t="shared" si="5"/>
        <v>116.6</v>
      </c>
      <c r="M44" s="115">
        <f t="shared" si="6"/>
        <v>66</v>
      </c>
      <c r="N44" s="115">
        <f t="shared" si="7"/>
        <v>903</v>
      </c>
      <c r="O44" s="115">
        <v>100</v>
      </c>
      <c r="P44" s="202">
        <f>K44/Constants!$C$12</f>
        <v>78.757402417762918</v>
      </c>
      <c r="Q44" s="202">
        <f>L44/Constants!$C$11</f>
        <v>1.3543965617377163</v>
      </c>
      <c r="R44" s="202">
        <f>M44/Constants!$C$13</f>
        <v>0.73268206039076378</v>
      </c>
      <c r="S44" s="202">
        <f>N44/Constants!$C$18</f>
        <v>7.644120883772116</v>
      </c>
      <c r="T44" s="202">
        <f>O44/Constants!$C$17</f>
        <v>0.36453909499524273</v>
      </c>
      <c r="U44" s="202">
        <f>IF(H44="n.a.", 0, H44*G44/Constants!$C$3)</f>
        <v>5.5528726061615323</v>
      </c>
      <c r="V44" s="202">
        <f>IF(I44="n.a.", 0, I44*G44/Constants!$C$4)</f>
        <v>0.12419006479481644</v>
      </c>
      <c r="W44" s="202">
        <f>IF(J44="n.a.", 0, J44*G44/Constants!$C$6)</f>
        <v>0.56350017024174326</v>
      </c>
      <c r="X44">
        <f>P44*Constants!$D$12</f>
        <v>315.02960967105167</v>
      </c>
      <c r="Y44">
        <f>Q44*Constants!$D$11</f>
        <v>5.4175862469508651</v>
      </c>
      <c r="Z44">
        <f>R44*Constants!$D$13</f>
        <v>2.1980461811722911</v>
      </c>
      <c r="AA44">
        <f>S44*Constants!$D$18</f>
        <v>38.220604418860582</v>
      </c>
      <c r="AB44">
        <f>T44*Constants!$D$17</f>
        <v>6.9262428049096121</v>
      </c>
      <c r="AC44" s="156">
        <f>U44*Constants!$D$3</f>
        <v>11.105745212323065</v>
      </c>
      <c r="AD44" s="156">
        <f>V44*Constants!$D$4</f>
        <v>0.37257019438444933</v>
      </c>
      <c r="AE44" s="156">
        <f>W44*Constants!$D$6</f>
        <v>2.254000680966973</v>
      </c>
      <c r="AF44" s="156">
        <f>P44*Constants!$E$12</f>
        <v>1417.6332435197326</v>
      </c>
      <c r="AG44" s="156">
        <f>Q44*Constants!$E$11</f>
        <v>24.379138111278891</v>
      </c>
      <c r="AH44" s="156">
        <f>R44*Constants!$E$13</f>
        <v>8.7921847246891645</v>
      </c>
      <c r="AI44" s="156">
        <f>S44*Constants!$E$18</f>
        <v>183.45890121053077</v>
      </c>
      <c r="AJ44" s="156">
        <f>T44*Constants!$E$17</f>
        <v>31.350362169590873</v>
      </c>
      <c r="AK44" s="156">
        <f>U44*Constants!$E$3</f>
        <v>44.422980849292259</v>
      </c>
      <c r="AL44" s="156">
        <f>V44*Constants!$E$4</f>
        <v>1.7386609071274302</v>
      </c>
      <c r="AM44">
        <f>W44*Constants!$E$6</f>
        <v>11.270003404834865</v>
      </c>
    </row>
    <row r="45" spans="1:39">
      <c r="A45" s="113">
        <f>'lab journal'!W45</f>
        <v>87.712500000001455</v>
      </c>
      <c r="B45" s="114">
        <v>20</v>
      </c>
      <c r="C45" s="113">
        <v>409.95</v>
      </c>
      <c r="D45" s="113">
        <v>5.83</v>
      </c>
      <c r="E45" s="113">
        <v>3.3</v>
      </c>
      <c r="F45" s="113">
        <v>45.15</v>
      </c>
      <c r="G45" s="114">
        <v>5</v>
      </c>
      <c r="H45">
        <v>66.69</v>
      </c>
      <c r="I45">
        <v>1.84</v>
      </c>
      <c r="J45">
        <v>9.93</v>
      </c>
      <c r="K45" s="115">
        <f t="shared" si="4"/>
        <v>8199</v>
      </c>
      <c r="L45" s="115">
        <f t="shared" si="5"/>
        <v>116.6</v>
      </c>
      <c r="M45" s="115">
        <f t="shared" si="6"/>
        <v>66</v>
      </c>
      <c r="N45" s="115">
        <f t="shared" si="7"/>
        <v>903</v>
      </c>
      <c r="O45" s="115">
        <v>100</v>
      </c>
      <c r="P45" s="202">
        <f>K45/Constants!$C$12</f>
        <v>78.757402417762918</v>
      </c>
      <c r="Q45" s="202">
        <f>L45/Constants!$C$11</f>
        <v>1.3543965617377163</v>
      </c>
      <c r="R45" s="202">
        <f>M45/Constants!$C$13</f>
        <v>0.73268206039076378</v>
      </c>
      <c r="S45" s="202">
        <f>N45/Constants!$C$18</f>
        <v>7.644120883772116</v>
      </c>
      <c r="T45" s="202">
        <f>O45/Constants!$C$17</f>
        <v>0.36453909499524273</v>
      </c>
      <c r="U45" s="202">
        <f>IF(H45="n.a.", 0, H45*G45/Constants!$C$3)</f>
        <v>5.5528726061615323</v>
      </c>
      <c r="V45" s="202">
        <f>IF(I45="n.a.", 0, I45*G45/Constants!$C$4)</f>
        <v>0.12419006479481644</v>
      </c>
      <c r="W45" s="202">
        <f>IF(J45="n.a.", 0, J45*G45/Constants!$C$6)</f>
        <v>0.56350017024174326</v>
      </c>
      <c r="X45">
        <f>P45*Constants!$D$12</f>
        <v>315.02960967105167</v>
      </c>
      <c r="Y45">
        <f>Q45*Constants!$D$11</f>
        <v>5.4175862469508651</v>
      </c>
      <c r="Z45">
        <f>R45*Constants!$D$13</f>
        <v>2.1980461811722911</v>
      </c>
      <c r="AA45">
        <f>S45*Constants!$D$18</f>
        <v>38.220604418860582</v>
      </c>
      <c r="AB45">
        <f>T45*Constants!$D$17</f>
        <v>6.9262428049096121</v>
      </c>
      <c r="AC45" s="156">
        <f>U45*Constants!$D$3</f>
        <v>11.105745212323065</v>
      </c>
      <c r="AD45" s="156">
        <f>V45*Constants!$D$4</f>
        <v>0.37257019438444933</v>
      </c>
      <c r="AE45" s="156">
        <f>W45*Constants!$D$6</f>
        <v>2.254000680966973</v>
      </c>
      <c r="AF45" s="156">
        <f>P45*Constants!$E$12</f>
        <v>1417.6332435197326</v>
      </c>
      <c r="AG45" s="156">
        <f>Q45*Constants!$E$11</f>
        <v>24.379138111278891</v>
      </c>
      <c r="AH45" s="156">
        <f>R45*Constants!$E$13</f>
        <v>8.7921847246891645</v>
      </c>
      <c r="AI45" s="156">
        <f>S45*Constants!$E$18</f>
        <v>183.45890121053077</v>
      </c>
      <c r="AJ45" s="156">
        <f>T45*Constants!$E$17</f>
        <v>31.350362169590873</v>
      </c>
      <c r="AK45" s="156">
        <f>U45*Constants!$E$3</f>
        <v>44.422980849292259</v>
      </c>
      <c r="AL45" s="156">
        <f>V45*Constants!$E$4</f>
        <v>1.7386609071274302</v>
      </c>
      <c r="AM45">
        <f>W45*Constants!$E$6</f>
        <v>11.270003404834865</v>
      </c>
    </row>
    <row r="46" spans="1:39">
      <c r="A46" s="113">
        <f>'lab journal'!W46</f>
        <v>89.76736111111677</v>
      </c>
      <c r="B46" s="114">
        <v>20</v>
      </c>
      <c r="C46" s="113">
        <v>409.95</v>
      </c>
      <c r="D46" s="113">
        <v>5.83</v>
      </c>
      <c r="E46" s="113">
        <v>3.3</v>
      </c>
      <c r="F46" s="113">
        <v>45.15</v>
      </c>
      <c r="G46" s="114">
        <v>5</v>
      </c>
      <c r="H46">
        <v>66.69</v>
      </c>
      <c r="I46">
        <v>1.84</v>
      </c>
      <c r="J46">
        <v>9.93</v>
      </c>
      <c r="K46" s="115">
        <f t="shared" si="4"/>
        <v>8199</v>
      </c>
      <c r="L46" s="115">
        <f t="shared" si="5"/>
        <v>116.6</v>
      </c>
      <c r="M46" s="115">
        <f t="shared" si="6"/>
        <v>66</v>
      </c>
      <c r="N46" s="115">
        <f t="shared" si="7"/>
        <v>903</v>
      </c>
      <c r="O46" s="115">
        <v>100</v>
      </c>
      <c r="P46" s="202">
        <f>K46/Constants!$C$12</f>
        <v>78.757402417762918</v>
      </c>
      <c r="Q46" s="202">
        <f>L46/Constants!$C$11</f>
        <v>1.3543965617377163</v>
      </c>
      <c r="R46" s="202">
        <f>M46/Constants!$C$13</f>
        <v>0.73268206039076378</v>
      </c>
      <c r="S46" s="202">
        <f>N46/Constants!$C$18</f>
        <v>7.644120883772116</v>
      </c>
      <c r="T46" s="202">
        <f>O46/Constants!$C$17</f>
        <v>0.36453909499524273</v>
      </c>
      <c r="U46" s="202">
        <f>IF(H46="n.a.", 0, H46*G46/Constants!$C$3)</f>
        <v>5.5528726061615323</v>
      </c>
      <c r="V46" s="202">
        <f>IF(I46="n.a.", 0, I46*G46/Constants!$C$4)</f>
        <v>0.12419006479481644</v>
      </c>
      <c r="W46" s="202">
        <f>IF(J46="n.a.", 0, J46*G46/Constants!$C$6)</f>
        <v>0.56350017024174326</v>
      </c>
      <c r="X46">
        <f>P46*Constants!$D$12</f>
        <v>315.02960967105167</v>
      </c>
      <c r="Y46">
        <f>Q46*Constants!$D$11</f>
        <v>5.4175862469508651</v>
      </c>
      <c r="Z46">
        <f>R46*Constants!$D$13</f>
        <v>2.1980461811722911</v>
      </c>
      <c r="AA46">
        <f>S46*Constants!$D$18</f>
        <v>38.220604418860582</v>
      </c>
      <c r="AB46">
        <f>T46*Constants!$D$17</f>
        <v>6.9262428049096121</v>
      </c>
      <c r="AC46" s="156">
        <f>U46*Constants!$D$3</f>
        <v>11.105745212323065</v>
      </c>
      <c r="AD46" s="156">
        <f>V46*Constants!$D$4</f>
        <v>0.37257019438444933</v>
      </c>
      <c r="AE46" s="156">
        <f>W46*Constants!$D$6</f>
        <v>2.254000680966973</v>
      </c>
      <c r="AF46" s="156">
        <f>P46*Constants!$E$12</f>
        <v>1417.6332435197326</v>
      </c>
      <c r="AG46" s="156">
        <f>Q46*Constants!$E$11</f>
        <v>24.379138111278891</v>
      </c>
      <c r="AH46" s="156">
        <f>R46*Constants!$E$13</f>
        <v>8.7921847246891645</v>
      </c>
      <c r="AI46" s="156">
        <f>S46*Constants!$E$18</f>
        <v>183.45890121053077</v>
      </c>
      <c r="AJ46" s="156">
        <f>T46*Constants!$E$17</f>
        <v>31.350362169590873</v>
      </c>
      <c r="AK46" s="156">
        <f>U46*Constants!$E$3</f>
        <v>44.422980849292259</v>
      </c>
      <c r="AL46" s="156">
        <f>V46*Constants!$E$4</f>
        <v>1.7386609071274302</v>
      </c>
      <c r="AM46">
        <f>W46*Constants!$E$6</f>
        <v>11.270003404834865</v>
      </c>
    </row>
    <row r="47" spans="1:39">
      <c r="A47" s="113">
        <f>'lab journal'!W47</f>
        <v>91.739583333335759</v>
      </c>
      <c r="B47" s="114">
        <v>20</v>
      </c>
      <c r="C47" s="113">
        <v>409.95</v>
      </c>
      <c r="D47" s="113">
        <v>5.83</v>
      </c>
      <c r="E47" s="113">
        <v>3.3</v>
      </c>
      <c r="F47" s="113">
        <v>45.15</v>
      </c>
      <c r="G47" s="114">
        <v>5</v>
      </c>
      <c r="H47">
        <v>66.69</v>
      </c>
      <c r="I47">
        <v>1.84</v>
      </c>
      <c r="J47">
        <v>9.93</v>
      </c>
      <c r="K47" s="115">
        <f t="shared" si="4"/>
        <v>8199</v>
      </c>
      <c r="L47" s="115">
        <f t="shared" si="5"/>
        <v>116.6</v>
      </c>
      <c r="M47" s="115">
        <f t="shared" si="6"/>
        <v>66</v>
      </c>
      <c r="N47" s="115">
        <f t="shared" si="7"/>
        <v>903</v>
      </c>
      <c r="O47" s="115">
        <v>100</v>
      </c>
      <c r="P47" s="202">
        <f>K47/Constants!$C$12</f>
        <v>78.757402417762918</v>
      </c>
      <c r="Q47" s="202">
        <f>L47/Constants!$C$11</f>
        <v>1.3543965617377163</v>
      </c>
      <c r="R47" s="202">
        <f>M47/Constants!$C$13</f>
        <v>0.73268206039076378</v>
      </c>
      <c r="S47" s="202">
        <f>N47/Constants!$C$18</f>
        <v>7.644120883772116</v>
      </c>
      <c r="T47" s="202">
        <f>O47/Constants!$C$17</f>
        <v>0.36453909499524273</v>
      </c>
      <c r="U47" s="202">
        <f>IF(H47="n.a.", 0, H47*G47/Constants!$C$3)</f>
        <v>5.5528726061615323</v>
      </c>
      <c r="V47" s="202">
        <f>IF(I47="n.a.", 0, I47*G47/Constants!$C$4)</f>
        <v>0.12419006479481644</v>
      </c>
      <c r="W47" s="202">
        <f>IF(J47="n.a.", 0, J47*G47/Constants!$C$6)</f>
        <v>0.56350017024174326</v>
      </c>
      <c r="X47">
        <f>P47*Constants!$D$12</f>
        <v>315.02960967105167</v>
      </c>
      <c r="Y47">
        <f>Q47*Constants!$D$11</f>
        <v>5.4175862469508651</v>
      </c>
      <c r="Z47">
        <f>R47*Constants!$D$13</f>
        <v>2.1980461811722911</v>
      </c>
      <c r="AA47">
        <f>S47*Constants!$D$18</f>
        <v>38.220604418860582</v>
      </c>
      <c r="AB47">
        <f>T47*Constants!$D$17</f>
        <v>6.9262428049096121</v>
      </c>
      <c r="AC47" s="156">
        <f>U47*Constants!$D$3</f>
        <v>11.105745212323065</v>
      </c>
      <c r="AD47" s="156">
        <f>V47*Constants!$D$4</f>
        <v>0.37257019438444933</v>
      </c>
      <c r="AE47" s="156">
        <f>W47*Constants!$D$6</f>
        <v>2.254000680966973</v>
      </c>
      <c r="AF47" s="156">
        <f>P47*Constants!$E$12</f>
        <v>1417.6332435197326</v>
      </c>
      <c r="AG47" s="156">
        <f>Q47*Constants!$E$11</f>
        <v>24.379138111278891</v>
      </c>
      <c r="AH47" s="156">
        <f>R47*Constants!$E$13</f>
        <v>8.7921847246891645</v>
      </c>
      <c r="AI47" s="156">
        <f>S47*Constants!$E$18</f>
        <v>183.45890121053077</v>
      </c>
      <c r="AJ47" s="156">
        <f>T47*Constants!$E$17</f>
        <v>31.350362169590873</v>
      </c>
      <c r="AK47" s="156">
        <f>U47*Constants!$E$3</f>
        <v>44.422980849292259</v>
      </c>
      <c r="AL47" s="156">
        <f>V47*Constants!$E$4</f>
        <v>1.7386609071274302</v>
      </c>
      <c r="AM47">
        <f>W47*Constants!$E$6</f>
        <v>11.270003404834865</v>
      </c>
    </row>
    <row r="48" spans="1:39">
      <c r="A48" s="113">
        <f>'lab journal'!W48</f>
        <v>94.725694444445253</v>
      </c>
      <c r="B48" s="114">
        <v>0</v>
      </c>
      <c r="C48" s="114">
        <v>0</v>
      </c>
      <c r="D48" s="114">
        <v>0</v>
      </c>
      <c r="E48" s="114">
        <v>0</v>
      </c>
      <c r="F48" s="114">
        <v>0</v>
      </c>
      <c r="G48" s="114">
        <v>5</v>
      </c>
      <c r="H48">
        <v>1.67</v>
      </c>
      <c r="I48">
        <v>1.4</v>
      </c>
      <c r="J48" t="s">
        <v>202</v>
      </c>
      <c r="K48" s="115">
        <f t="shared" si="4"/>
        <v>0</v>
      </c>
      <c r="L48" s="115">
        <f t="shared" si="5"/>
        <v>0</v>
      </c>
      <c r="M48" s="115">
        <f t="shared" si="6"/>
        <v>0</v>
      </c>
      <c r="N48" s="115">
        <f t="shared" si="7"/>
        <v>0</v>
      </c>
      <c r="O48" s="115">
        <v>100</v>
      </c>
      <c r="P48" s="202">
        <f>K48/Constants!$C$12</f>
        <v>0</v>
      </c>
      <c r="Q48" s="202">
        <f>L48/Constants!$C$11</f>
        <v>0</v>
      </c>
      <c r="R48" s="202">
        <f>M48/Constants!$C$13</f>
        <v>0</v>
      </c>
      <c r="S48" s="202">
        <f>N48/Constants!$C$18</f>
        <v>0</v>
      </c>
      <c r="T48" s="202">
        <f>O48/Constants!$C$17</f>
        <v>0.36453909499524273</v>
      </c>
      <c r="U48" s="202">
        <f>IF(H48="n.a.", 0, H48*G48/Constants!$C$3)</f>
        <v>0.13905079100749376</v>
      </c>
      <c r="V48" s="202">
        <f>IF(I48="n.a.", 0, I48*G48/Constants!$C$4)</f>
        <v>9.4492440604751621E-2</v>
      </c>
      <c r="W48" s="202">
        <f>IF(J48="n.a.", 0, J48*G48/Constants!$C$6)</f>
        <v>0</v>
      </c>
      <c r="X48">
        <f>P48*Constants!$D$12</f>
        <v>0</v>
      </c>
      <c r="Y48">
        <f>Q48*Constants!$D$11</f>
        <v>0</v>
      </c>
      <c r="Z48">
        <f>R48*Constants!$D$13</f>
        <v>0</v>
      </c>
      <c r="AA48">
        <f>S48*Constants!$D$18</f>
        <v>0</v>
      </c>
      <c r="AB48">
        <f>T48*Constants!$D$17</f>
        <v>6.9262428049096121</v>
      </c>
      <c r="AC48" s="156">
        <f>U48*Constants!$D$3</f>
        <v>0.27810158201498753</v>
      </c>
      <c r="AD48" s="156">
        <f>V48*Constants!$D$4</f>
        <v>0.28347732181425489</v>
      </c>
      <c r="AE48" s="156">
        <f>W48*Constants!$D$6</f>
        <v>0</v>
      </c>
      <c r="AF48" s="156">
        <f>P48*Constants!$E$12</f>
        <v>0</v>
      </c>
      <c r="AG48" s="156">
        <f>Q48*Constants!$E$11</f>
        <v>0</v>
      </c>
      <c r="AH48" s="156">
        <f>R48*Constants!$E$13</f>
        <v>0</v>
      </c>
      <c r="AI48" s="156">
        <f>S48*Constants!$E$18</f>
        <v>0</v>
      </c>
      <c r="AJ48" s="156">
        <f>T48*Constants!$E$17</f>
        <v>31.350362169590873</v>
      </c>
      <c r="AK48" s="156">
        <f>U48*Constants!$E$3</f>
        <v>1.1124063280599501</v>
      </c>
      <c r="AL48" s="156">
        <f>V48*Constants!$E$4</f>
        <v>1.3228941684665227</v>
      </c>
      <c r="AM48">
        <f>W48*Constants!$E$6</f>
        <v>0</v>
      </c>
    </row>
    <row r="49" spans="1:39">
      <c r="A49" s="113">
        <f>'lab journal'!W49</f>
        <v>96.754166666665697</v>
      </c>
      <c r="B49" s="114">
        <v>0</v>
      </c>
      <c r="C49" s="114">
        <v>0</v>
      </c>
      <c r="D49" s="114">
        <v>0</v>
      </c>
      <c r="E49" s="114">
        <v>0</v>
      </c>
      <c r="F49" s="114">
        <v>0</v>
      </c>
      <c r="G49" s="114">
        <v>5</v>
      </c>
      <c r="H49">
        <v>1.67</v>
      </c>
      <c r="I49">
        <v>1.4</v>
      </c>
      <c r="J49" t="s">
        <v>202</v>
      </c>
      <c r="K49" s="115">
        <f t="shared" si="4"/>
        <v>0</v>
      </c>
      <c r="L49" s="115">
        <f t="shared" si="5"/>
        <v>0</v>
      </c>
      <c r="M49" s="115">
        <f t="shared" si="6"/>
        <v>0</v>
      </c>
      <c r="N49" s="115">
        <f t="shared" si="7"/>
        <v>0</v>
      </c>
      <c r="O49" s="115">
        <v>100</v>
      </c>
      <c r="P49" s="202">
        <f>K49/Constants!$C$12</f>
        <v>0</v>
      </c>
      <c r="Q49" s="202">
        <f>L49/Constants!$C$11</f>
        <v>0</v>
      </c>
      <c r="R49" s="202">
        <f>M49/Constants!$C$13</f>
        <v>0</v>
      </c>
      <c r="S49" s="202">
        <f>N49/Constants!$C$18</f>
        <v>0</v>
      </c>
      <c r="T49" s="202">
        <f>O49/Constants!$C$17</f>
        <v>0.36453909499524273</v>
      </c>
      <c r="U49" s="202">
        <f>IF(H49="n.a.", 0, H49*G49/Constants!$C$3)</f>
        <v>0.13905079100749376</v>
      </c>
      <c r="V49" s="202">
        <f>IF(I49="n.a.", 0, I49*G49/Constants!$C$4)</f>
        <v>9.4492440604751621E-2</v>
      </c>
      <c r="W49" s="202">
        <f>IF(J49="n.a.", 0, J49*G49/Constants!$C$6)</f>
        <v>0</v>
      </c>
      <c r="X49">
        <f>P49*Constants!$D$12</f>
        <v>0</v>
      </c>
      <c r="Y49">
        <f>Q49*Constants!$D$11</f>
        <v>0</v>
      </c>
      <c r="Z49">
        <f>R49*Constants!$D$13</f>
        <v>0</v>
      </c>
      <c r="AA49">
        <f>S49*Constants!$D$18</f>
        <v>0</v>
      </c>
      <c r="AB49">
        <f>T49*Constants!$D$17</f>
        <v>6.9262428049096121</v>
      </c>
      <c r="AC49" s="156">
        <f>U49*Constants!$D$3</f>
        <v>0.27810158201498753</v>
      </c>
      <c r="AD49" s="156">
        <f>V49*Constants!$D$4</f>
        <v>0.28347732181425489</v>
      </c>
      <c r="AE49" s="156">
        <f>W49*Constants!$D$6</f>
        <v>0</v>
      </c>
      <c r="AF49" s="156">
        <f>P49*Constants!$E$12</f>
        <v>0</v>
      </c>
      <c r="AG49" s="156">
        <f>Q49*Constants!$E$11</f>
        <v>0</v>
      </c>
      <c r="AH49" s="156">
        <f>R49*Constants!$E$13</f>
        <v>0</v>
      </c>
      <c r="AI49" s="156">
        <f>S49*Constants!$E$18</f>
        <v>0</v>
      </c>
      <c r="AJ49" s="156">
        <f>T49*Constants!$E$17</f>
        <v>31.350362169590873</v>
      </c>
      <c r="AK49" s="156">
        <f>U49*Constants!$E$3</f>
        <v>1.1124063280599501</v>
      </c>
      <c r="AL49" s="156">
        <f>V49*Constants!$E$4</f>
        <v>1.3228941684665227</v>
      </c>
      <c r="AM49">
        <f>W49*Constants!$E$6</f>
        <v>0</v>
      </c>
    </row>
    <row r="50" spans="1:39">
      <c r="A50" s="113">
        <f>'lab journal'!W50</f>
        <v>98.71736111111386</v>
      </c>
      <c r="B50" s="114">
        <v>0</v>
      </c>
      <c r="C50" s="114">
        <v>0</v>
      </c>
      <c r="D50" s="114">
        <v>0</v>
      </c>
      <c r="E50" s="114">
        <v>0</v>
      </c>
      <c r="F50" s="114">
        <v>0</v>
      </c>
      <c r="G50" s="114">
        <v>5</v>
      </c>
      <c r="H50">
        <v>1.67</v>
      </c>
      <c r="I50">
        <v>1.4</v>
      </c>
      <c r="J50" t="s">
        <v>202</v>
      </c>
      <c r="K50" s="115">
        <f t="shared" si="4"/>
        <v>0</v>
      </c>
      <c r="L50" s="115">
        <f t="shared" si="5"/>
        <v>0</v>
      </c>
      <c r="M50" s="115">
        <f t="shared" si="6"/>
        <v>0</v>
      </c>
      <c r="N50" s="115">
        <f t="shared" si="7"/>
        <v>0</v>
      </c>
      <c r="O50" s="115">
        <v>100</v>
      </c>
      <c r="P50" s="202">
        <f>K50/Constants!$C$12</f>
        <v>0</v>
      </c>
      <c r="Q50" s="202">
        <f>L50/Constants!$C$11</f>
        <v>0</v>
      </c>
      <c r="R50" s="202">
        <f>M50/Constants!$C$13</f>
        <v>0</v>
      </c>
      <c r="S50" s="202">
        <f>N50/Constants!$C$18</f>
        <v>0</v>
      </c>
      <c r="T50" s="202">
        <f>O50/Constants!$C$17</f>
        <v>0.36453909499524273</v>
      </c>
      <c r="U50" s="202">
        <f>IF(H50="n.a.", 0, H50*G50/Constants!$C$3)</f>
        <v>0.13905079100749376</v>
      </c>
      <c r="V50" s="202">
        <f>IF(I50="n.a.", 0, I50*G50/Constants!$C$4)</f>
        <v>9.4492440604751621E-2</v>
      </c>
      <c r="W50" s="202">
        <f>IF(J50="n.a.", 0, J50*G50/Constants!$C$6)</f>
        <v>0</v>
      </c>
      <c r="X50">
        <f>P50*Constants!$D$12</f>
        <v>0</v>
      </c>
      <c r="Y50">
        <f>Q50*Constants!$D$11</f>
        <v>0</v>
      </c>
      <c r="Z50">
        <f>R50*Constants!$D$13</f>
        <v>0</v>
      </c>
      <c r="AA50">
        <f>S50*Constants!$D$18</f>
        <v>0</v>
      </c>
      <c r="AB50">
        <f>T50*Constants!$D$17</f>
        <v>6.9262428049096121</v>
      </c>
      <c r="AC50" s="156">
        <f>U50*Constants!$D$3</f>
        <v>0.27810158201498753</v>
      </c>
      <c r="AD50" s="156">
        <f>V50*Constants!$D$4</f>
        <v>0.28347732181425489</v>
      </c>
      <c r="AE50" s="156">
        <f>W50*Constants!$D$6</f>
        <v>0</v>
      </c>
      <c r="AF50" s="156">
        <f>P50*Constants!$E$12</f>
        <v>0</v>
      </c>
      <c r="AG50" s="156">
        <f>Q50*Constants!$E$11</f>
        <v>0</v>
      </c>
      <c r="AH50" s="156">
        <f>R50*Constants!$E$13</f>
        <v>0</v>
      </c>
      <c r="AI50" s="156">
        <f>S50*Constants!$E$18</f>
        <v>0</v>
      </c>
      <c r="AJ50" s="156">
        <f>T50*Constants!$E$17</f>
        <v>31.350362169590873</v>
      </c>
      <c r="AK50" s="156">
        <f>U50*Constants!$E$3</f>
        <v>1.1124063280599501</v>
      </c>
      <c r="AL50" s="156">
        <f>V50*Constants!$E$4</f>
        <v>1.3228941684665227</v>
      </c>
      <c r="AM50">
        <f>W50*Constants!$E$6</f>
        <v>0</v>
      </c>
    </row>
    <row r="51" spans="1:39">
      <c r="A51" s="113">
        <f>'lab journal'!W51</f>
        <v>101.71527777778101</v>
      </c>
      <c r="B51" s="114">
        <v>0</v>
      </c>
      <c r="C51" s="114">
        <v>0</v>
      </c>
      <c r="D51" s="114">
        <v>0</v>
      </c>
      <c r="E51" s="114">
        <v>0</v>
      </c>
      <c r="F51" s="114">
        <v>0</v>
      </c>
      <c r="G51" s="114">
        <v>5</v>
      </c>
      <c r="H51">
        <v>1.67</v>
      </c>
      <c r="I51">
        <v>1.4</v>
      </c>
      <c r="J51" t="s">
        <v>202</v>
      </c>
      <c r="K51" s="115">
        <f t="shared" si="4"/>
        <v>0</v>
      </c>
      <c r="L51" s="115">
        <f t="shared" si="5"/>
        <v>0</v>
      </c>
      <c r="M51" s="115">
        <f t="shared" si="6"/>
        <v>0</v>
      </c>
      <c r="N51" s="115">
        <f t="shared" si="7"/>
        <v>0</v>
      </c>
      <c r="O51" s="115">
        <v>100</v>
      </c>
      <c r="P51" s="202">
        <f>K51/Constants!$C$12</f>
        <v>0</v>
      </c>
      <c r="Q51" s="202">
        <f>L51/Constants!$C$11</f>
        <v>0</v>
      </c>
      <c r="R51" s="202">
        <f>M51/Constants!$C$13</f>
        <v>0</v>
      </c>
      <c r="S51" s="202">
        <f>N51/Constants!$C$18</f>
        <v>0</v>
      </c>
      <c r="T51" s="202">
        <f>O51/Constants!$C$17</f>
        <v>0.36453909499524273</v>
      </c>
      <c r="U51" s="202">
        <f>IF(H51="n.a.", 0, H51*G51/Constants!$C$3)</f>
        <v>0.13905079100749376</v>
      </c>
      <c r="V51" s="202">
        <f>IF(I51="n.a.", 0, I51*G51/Constants!$C$4)</f>
        <v>9.4492440604751621E-2</v>
      </c>
      <c r="W51" s="202">
        <f>IF(J51="n.a.", 0, J51*G51/Constants!$C$6)</f>
        <v>0</v>
      </c>
      <c r="X51">
        <f>P51*Constants!$D$12</f>
        <v>0</v>
      </c>
      <c r="Y51">
        <f>Q51*Constants!$D$11</f>
        <v>0</v>
      </c>
      <c r="Z51">
        <f>R51*Constants!$D$13</f>
        <v>0</v>
      </c>
      <c r="AA51">
        <f>S51*Constants!$D$18</f>
        <v>0</v>
      </c>
      <c r="AB51">
        <f>T51*Constants!$D$17</f>
        <v>6.9262428049096121</v>
      </c>
      <c r="AC51" s="156">
        <f>U51*Constants!$D$3</f>
        <v>0.27810158201498753</v>
      </c>
      <c r="AD51" s="156">
        <f>V51*Constants!$D$4</f>
        <v>0.28347732181425489</v>
      </c>
      <c r="AE51" s="156">
        <f>W51*Constants!$D$6</f>
        <v>0</v>
      </c>
      <c r="AF51" s="156">
        <f>P51*Constants!$E$12</f>
        <v>0</v>
      </c>
      <c r="AG51" s="156">
        <f>Q51*Constants!$E$11</f>
        <v>0</v>
      </c>
      <c r="AH51" s="156">
        <f>R51*Constants!$E$13</f>
        <v>0</v>
      </c>
      <c r="AI51" s="156">
        <f>S51*Constants!$E$18</f>
        <v>0</v>
      </c>
      <c r="AJ51" s="156">
        <f>T51*Constants!$E$17</f>
        <v>31.350362169590873</v>
      </c>
      <c r="AK51" s="156">
        <f>U51*Constants!$E$3</f>
        <v>1.1124063280599501</v>
      </c>
      <c r="AL51" s="156">
        <f>V51*Constants!$E$4</f>
        <v>1.3228941684665227</v>
      </c>
      <c r="AM51">
        <f>W51*Constants!$E$6</f>
        <v>0</v>
      </c>
    </row>
    <row r="52" spans="1:39">
      <c r="A52" s="113">
        <f>'lab journal'!W52</f>
        <v>103.72847222222481</v>
      </c>
      <c r="B52" s="114">
        <v>0</v>
      </c>
      <c r="C52" s="114">
        <v>0</v>
      </c>
      <c r="D52" s="114">
        <v>0</v>
      </c>
      <c r="E52" s="114">
        <v>0</v>
      </c>
      <c r="F52" s="114">
        <v>0</v>
      </c>
      <c r="G52" s="114">
        <v>5</v>
      </c>
      <c r="H52" t="s">
        <v>202</v>
      </c>
      <c r="I52">
        <v>0.95</v>
      </c>
      <c r="J52" t="s">
        <v>202</v>
      </c>
      <c r="K52" s="115">
        <f t="shared" si="4"/>
        <v>0</v>
      </c>
      <c r="L52" s="115">
        <f t="shared" si="5"/>
        <v>0</v>
      </c>
      <c r="M52" s="115">
        <f t="shared" si="6"/>
        <v>0</v>
      </c>
      <c r="N52" s="115">
        <f t="shared" si="7"/>
        <v>0</v>
      </c>
      <c r="O52" s="115">
        <v>100</v>
      </c>
      <c r="P52" s="202">
        <f>K52/Constants!$C$12</f>
        <v>0</v>
      </c>
      <c r="Q52" s="202">
        <f>L52/Constants!$C$11</f>
        <v>0</v>
      </c>
      <c r="R52" s="202">
        <f>M52/Constants!$C$13</f>
        <v>0</v>
      </c>
      <c r="S52" s="202">
        <f>N52/Constants!$C$18</f>
        <v>0</v>
      </c>
      <c r="T52" s="202">
        <f>O52/Constants!$C$17</f>
        <v>0.36453909499524273</v>
      </c>
      <c r="U52" s="202">
        <f>IF(H52="n.a.", 0, H52*G52/Constants!$C$3)</f>
        <v>0</v>
      </c>
      <c r="V52" s="202">
        <f>IF(I52="n.a.", 0, I52*G52/Constants!$C$4)</f>
        <v>6.4119870410367166E-2</v>
      </c>
      <c r="W52" s="202">
        <f>IF(J52="n.a.", 0, J52*G52/Constants!$C$6)</f>
        <v>0</v>
      </c>
      <c r="X52">
        <f>P52*Constants!$D$12</f>
        <v>0</v>
      </c>
      <c r="Y52">
        <f>Q52*Constants!$D$11</f>
        <v>0</v>
      </c>
      <c r="Z52">
        <f>R52*Constants!$D$13</f>
        <v>0</v>
      </c>
      <c r="AA52">
        <f>S52*Constants!$D$18</f>
        <v>0</v>
      </c>
      <c r="AB52">
        <f>T52*Constants!$D$17</f>
        <v>6.9262428049096121</v>
      </c>
      <c r="AC52" s="156">
        <f>U52*Constants!$D$3</f>
        <v>0</v>
      </c>
      <c r="AD52" s="156">
        <f>V52*Constants!$D$4</f>
        <v>0.19235961123110151</v>
      </c>
      <c r="AE52" s="156">
        <f>W52*Constants!$D$6</f>
        <v>0</v>
      </c>
      <c r="AF52" s="156">
        <f>P52*Constants!$E$12</f>
        <v>0</v>
      </c>
      <c r="AG52" s="156">
        <f>Q52*Constants!$E$11</f>
        <v>0</v>
      </c>
      <c r="AH52" s="156">
        <f>R52*Constants!$E$13</f>
        <v>0</v>
      </c>
      <c r="AI52" s="156">
        <f>S52*Constants!$E$18</f>
        <v>0</v>
      </c>
      <c r="AJ52" s="156">
        <f>T52*Constants!$E$17</f>
        <v>31.350362169590873</v>
      </c>
      <c r="AK52" s="156">
        <f>U52*Constants!$E$3</f>
        <v>0</v>
      </c>
      <c r="AL52" s="156">
        <f>V52*Constants!$E$4</f>
        <v>0.89767818574514036</v>
      </c>
      <c r="AM52">
        <f>W52*Constants!$E$6</f>
        <v>0</v>
      </c>
    </row>
    <row r="53" spans="1:39">
      <c r="A53" s="113">
        <f>'lab journal'!W53</f>
        <v>105.74375000000146</v>
      </c>
      <c r="B53" s="114">
        <v>0</v>
      </c>
      <c r="C53" s="114">
        <v>0</v>
      </c>
      <c r="D53" s="114">
        <v>0</v>
      </c>
      <c r="E53" s="114">
        <v>0</v>
      </c>
      <c r="F53" s="114">
        <v>0</v>
      </c>
      <c r="G53" s="114">
        <v>5</v>
      </c>
      <c r="H53" t="s">
        <v>202</v>
      </c>
      <c r="I53">
        <v>1.95</v>
      </c>
      <c r="J53" t="s">
        <v>202</v>
      </c>
      <c r="K53" s="115">
        <f t="shared" si="4"/>
        <v>0</v>
      </c>
      <c r="L53" s="115">
        <f t="shared" si="5"/>
        <v>0</v>
      </c>
      <c r="M53" s="115">
        <f t="shared" si="6"/>
        <v>0</v>
      </c>
      <c r="N53" s="115">
        <f t="shared" si="7"/>
        <v>0</v>
      </c>
      <c r="O53" s="115">
        <v>100</v>
      </c>
      <c r="P53" s="202">
        <f>K53/Constants!$C$12</f>
        <v>0</v>
      </c>
      <c r="Q53" s="202">
        <f>L53/Constants!$C$11</f>
        <v>0</v>
      </c>
      <c r="R53" s="202">
        <f>M53/Constants!$C$13</f>
        <v>0</v>
      </c>
      <c r="S53" s="202">
        <f>N53/Constants!$C$18</f>
        <v>0</v>
      </c>
      <c r="T53" s="202">
        <f>O53/Constants!$C$17</f>
        <v>0.36453909499524273</v>
      </c>
      <c r="U53" s="202">
        <f>IF(H53="n.a.", 0, H53*G53/Constants!$C$3)</f>
        <v>0</v>
      </c>
      <c r="V53" s="202">
        <f>IF(I53="n.a.", 0, I53*G53/Constants!$C$4)</f>
        <v>0.1316144708423326</v>
      </c>
      <c r="W53" s="202">
        <f>IF(J53="n.a.", 0, J53*G53/Constants!$C$6)</f>
        <v>0</v>
      </c>
      <c r="X53">
        <f>P53*Constants!$D$12</f>
        <v>0</v>
      </c>
      <c r="Y53">
        <f>Q53*Constants!$D$11</f>
        <v>0</v>
      </c>
      <c r="Z53">
        <f>R53*Constants!$D$13</f>
        <v>0</v>
      </c>
      <c r="AA53">
        <f>S53*Constants!$D$18</f>
        <v>0</v>
      </c>
      <c r="AB53">
        <f>T53*Constants!$D$17</f>
        <v>6.9262428049096121</v>
      </c>
      <c r="AC53" s="156">
        <f>U53*Constants!$D$3</f>
        <v>0</v>
      </c>
      <c r="AD53" s="156">
        <f>V53*Constants!$D$4</f>
        <v>0.39484341252699784</v>
      </c>
      <c r="AE53" s="156">
        <f>W53*Constants!$D$6</f>
        <v>0</v>
      </c>
      <c r="AF53" s="156">
        <f>P53*Constants!$E$12</f>
        <v>0</v>
      </c>
      <c r="AG53" s="156">
        <f>Q53*Constants!$E$11</f>
        <v>0</v>
      </c>
      <c r="AH53" s="156">
        <f>R53*Constants!$E$13</f>
        <v>0</v>
      </c>
      <c r="AI53" s="156">
        <f>S53*Constants!$E$18</f>
        <v>0</v>
      </c>
      <c r="AJ53" s="156">
        <f>T53*Constants!$E$17</f>
        <v>31.350362169590873</v>
      </c>
      <c r="AK53" s="156">
        <f>U53*Constants!$E$3</f>
        <v>0</v>
      </c>
      <c r="AL53" s="156">
        <f>V53*Constants!$E$4</f>
        <v>1.8426025917926565</v>
      </c>
      <c r="AM53">
        <f>W53*Constants!$E$6</f>
        <v>0</v>
      </c>
    </row>
    <row r="54" spans="1:39">
      <c r="A54" s="113">
        <f>'lab journal'!W54</f>
        <v>108.73541666667006</v>
      </c>
      <c r="B54" s="114">
        <v>0</v>
      </c>
      <c r="C54" s="114">
        <v>0</v>
      </c>
      <c r="D54" s="114">
        <v>0</v>
      </c>
      <c r="E54" s="114">
        <v>0</v>
      </c>
      <c r="F54" s="114">
        <v>0</v>
      </c>
      <c r="G54" s="114">
        <v>5</v>
      </c>
      <c r="H54" t="s">
        <v>202</v>
      </c>
      <c r="I54">
        <v>2.95</v>
      </c>
      <c r="J54" t="s">
        <v>202</v>
      </c>
      <c r="K54" s="115">
        <f t="shared" si="4"/>
        <v>0</v>
      </c>
      <c r="L54" s="115">
        <f t="shared" si="5"/>
        <v>0</v>
      </c>
      <c r="M54" s="115">
        <f t="shared" si="6"/>
        <v>0</v>
      </c>
      <c r="N54" s="115">
        <f t="shared" si="7"/>
        <v>0</v>
      </c>
      <c r="O54" s="115">
        <v>100</v>
      </c>
      <c r="P54" s="202">
        <f>K54/Constants!$C$12</f>
        <v>0</v>
      </c>
      <c r="Q54" s="202">
        <f>L54/Constants!$C$11</f>
        <v>0</v>
      </c>
      <c r="R54" s="202">
        <f>M54/Constants!$C$13</f>
        <v>0</v>
      </c>
      <c r="S54" s="202">
        <f>N54/Constants!$C$18</f>
        <v>0</v>
      </c>
      <c r="T54" s="202">
        <f>O54/Constants!$C$17</f>
        <v>0.36453909499524273</v>
      </c>
      <c r="U54" s="202">
        <f>IF(H54="n.a.", 0, H54*G54/Constants!$C$3)</f>
        <v>0</v>
      </c>
      <c r="V54" s="202">
        <f>IF(I54="n.a.", 0, I54*G54/Constants!$C$4)</f>
        <v>0.19910907127429806</v>
      </c>
      <c r="W54" s="202">
        <f>IF(J54="n.a.", 0, J54*G54/Constants!$C$6)</f>
        <v>0</v>
      </c>
      <c r="X54">
        <f>P54*Constants!$D$12</f>
        <v>0</v>
      </c>
      <c r="Y54">
        <f>Q54*Constants!$D$11</f>
        <v>0</v>
      </c>
      <c r="Z54">
        <f>R54*Constants!$D$13</f>
        <v>0</v>
      </c>
      <c r="AA54">
        <f>S54*Constants!$D$18</f>
        <v>0</v>
      </c>
      <c r="AB54">
        <f>T54*Constants!$D$17</f>
        <v>6.9262428049096121</v>
      </c>
      <c r="AC54" s="156">
        <f>U54*Constants!$D$3</f>
        <v>0</v>
      </c>
      <c r="AD54" s="156">
        <f>V54*Constants!$D$4</f>
        <v>0.59732721382289422</v>
      </c>
      <c r="AE54" s="156">
        <f>W54*Constants!$D$6</f>
        <v>0</v>
      </c>
      <c r="AF54" s="156">
        <f>P54*Constants!$E$12</f>
        <v>0</v>
      </c>
      <c r="AG54" s="156">
        <f>Q54*Constants!$E$11</f>
        <v>0</v>
      </c>
      <c r="AH54" s="156">
        <f>R54*Constants!$E$13</f>
        <v>0</v>
      </c>
      <c r="AI54" s="156">
        <f>S54*Constants!$E$18</f>
        <v>0</v>
      </c>
      <c r="AJ54" s="156">
        <f>T54*Constants!$E$17</f>
        <v>31.350362169590873</v>
      </c>
      <c r="AK54" s="156">
        <f>U54*Constants!$E$3</f>
        <v>0</v>
      </c>
      <c r="AL54" s="156">
        <f>V54*Constants!$E$4</f>
        <v>2.7875269978401729</v>
      </c>
      <c r="AM54">
        <f>W54*Constants!$E$6</f>
        <v>0</v>
      </c>
    </row>
    <row r="55" spans="1:39">
      <c r="A55" s="113">
        <f>'lab journal'!W55</f>
        <v>110.75069444444671</v>
      </c>
      <c r="B55" s="114">
        <v>0</v>
      </c>
      <c r="C55" s="114">
        <v>0</v>
      </c>
      <c r="D55" s="114">
        <v>0</v>
      </c>
      <c r="E55" s="114">
        <v>0</v>
      </c>
      <c r="F55" s="114">
        <v>0</v>
      </c>
      <c r="G55" s="114">
        <v>5</v>
      </c>
      <c r="H55">
        <v>1.66</v>
      </c>
      <c r="I55" t="s">
        <v>202</v>
      </c>
      <c r="J55" t="s">
        <v>202</v>
      </c>
      <c r="K55" s="115">
        <f t="shared" si="4"/>
        <v>0</v>
      </c>
      <c r="L55" s="115">
        <f t="shared" si="5"/>
        <v>0</v>
      </c>
      <c r="M55" s="115">
        <f t="shared" si="6"/>
        <v>0</v>
      </c>
      <c r="N55" s="115">
        <f t="shared" si="7"/>
        <v>0</v>
      </c>
      <c r="O55" s="115">
        <v>100</v>
      </c>
      <c r="P55" s="202">
        <f>K55/Constants!$C$12</f>
        <v>0</v>
      </c>
      <c r="Q55" s="202">
        <f>L55/Constants!$C$11</f>
        <v>0</v>
      </c>
      <c r="R55" s="202">
        <f>M55/Constants!$C$13</f>
        <v>0</v>
      </c>
      <c r="S55" s="202">
        <f>N55/Constants!$C$18</f>
        <v>0</v>
      </c>
      <c r="T55" s="202">
        <f>O55/Constants!$C$17</f>
        <v>0.36453909499524273</v>
      </c>
      <c r="U55" s="202">
        <f>IF(H55="n.a.", 0, H55*G55/Constants!$C$3)</f>
        <v>0.138218151540383</v>
      </c>
      <c r="V55" s="202">
        <f>IF(I55="n.a.", 0, I55*G55/Constants!$C$4)</f>
        <v>0</v>
      </c>
      <c r="W55" s="202">
        <f>IF(J55="n.a.", 0, J55*G55/Constants!$C$6)</f>
        <v>0</v>
      </c>
      <c r="X55">
        <f>P55*Constants!$D$12</f>
        <v>0</v>
      </c>
      <c r="Y55">
        <f>Q55*Constants!$D$11</f>
        <v>0</v>
      </c>
      <c r="Z55">
        <f>R55*Constants!$D$13</f>
        <v>0</v>
      </c>
      <c r="AA55">
        <f>S55*Constants!$D$18</f>
        <v>0</v>
      </c>
      <c r="AB55">
        <f>T55*Constants!$D$17</f>
        <v>6.9262428049096121</v>
      </c>
      <c r="AC55" s="156">
        <f>U55*Constants!$D$3</f>
        <v>0.276436303080766</v>
      </c>
      <c r="AD55" s="156">
        <f>V55*Constants!$D$4</f>
        <v>0</v>
      </c>
      <c r="AE55" s="156">
        <f>W55*Constants!$D$6</f>
        <v>0</v>
      </c>
      <c r="AF55" s="156">
        <f>P55*Constants!$E$12</f>
        <v>0</v>
      </c>
      <c r="AG55" s="156">
        <f>Q55*Constants!$E$11</f>
        <v>0</v>
      </c>
      <c r="AH55" s="156">
        <f>R55*Constants!$E$13</f>
        <v>0</v>
      </c>
      <c r="AI55" s="156">
        <f>S55*Constants!$E$18</f>
        <v>0</v>
      </c>
      <c r="AJ55" s="156">
        <f>T55*Constants!$E$17</f>
        <v>31.350362169590873</v>
      </c>
      <c r="AK55" s="156">
        <f>U55*Constants!$E$3</f>
        <v>1.105745212323064</v>
      </c>
      <c r="AL55" s="156">
        <f>V55*Constants!$E$4</f>
        <v>0</v>
      </c>
      <c r="AM55">
        <f>W55*Constants!$E$6</f>
        <v>0</v>
      </c>
    </row>
    <row r="56" spans="1:39">
      <c r="A56" s="113">
        <f>'lab journal'!W56</f>
        <v>112.74791666666715</v>
      </c>
      <c r="B56" s="114">
        <v>0</v>
      </c>
      <c r="C56" s="114">
        <v>0</v>
      </c>
      <c r="D56" s="114">
        <v>0</v>
      </c>
      <c r="E56" s="114">
        <v>0</v>
      </c>
      <c r="F56" s="114">
        <v>0</v>
      </c>
      <c r="G56" s="114">
        <v>5</v>
      </c>
      <c r="H56">
        <v>2.66</v>
      </c>
      <c r="I56" t="s">
        <v>202</v>
      </c>
      <c r="J56" t="s">
        <v>202</v>
      </c>
      <c r="K56" s="115">
        <f t="shared" si="4"/>
        <v>0</v>
      </c>
      <c r="L56" s="115">
        <f t="shared" si="5"/>
        <v>0</v>
      </c>
      <c r="M56" s="115">
        <f t="shared" si="6"/>
        <v>0</v>
      </c>
      <c r="N56" s="115">
        <f t="shared" si="7"/>
        <v>0</v>
      </c>
      <c r="O56" s="115">
        <v>100</v>
      </c>
      <c r="P56" s="202">
        <f>K56/Constants!$C$12</f>
        <v>0</v>
      </c>
      <c r="Q56" s="202">
        <f>L56/Constants!$C$11</f>
        <v>0</v>
      </c>
      <c r="R56" s="202">
        <f>M56/Constants!$C$13</f>
        <v>0</v>
      </c>
      <c r="S56" s="202">
        <f>N56/Constants!$C$18</f>
        <v>0</v>
      </c>
      <c r="T56" s="202">
        <f>O56/Constants!$C$17</f>
        <v>0.36453909499524273</v>
      </c>
      <c r="U56" s="202">
        <f>IF(H56="n.a.", 0, H56*G56/Constants!$C$3)</f>
        <v>0.22148209825145715</v>
      </c>
      <c r="V56" s="202">
        <f>IF(I56="n.a.", 0, I56*G56/Constants!$C$4)</f>
        <v>0</v>
      </c>
      <c r="W56" s="202">
        <f>IF(J56="n.a.", 0, J56*G56/Constants!$C$6)</f>
        <v>0</v>
      </c>
      <c r="X56">
        <f>P56*Constants!$D$12</f>
        <v>0</v>
      </c>
      <c r="Y56">
        <f>Q56*Constants!$D$11</f>
        <v>0</v>
      </c>
      <c r="Z56">
        <f>R56*Constants!$D$13</f>
        <v>0</v>
      </c>
      <c r="AA56">
        <f>S56*Constants!$D$18</f>
        <v>0</v>
      </c>
      <c r="AB56">
        <f>T56*Constants!$D$17</f>
        <v>6.9262428049096121</v>
      </c>
      <c r="AC56" s="156">
        <f>U56*Constants!$D$3</f>
        <v>0.4429641965029143</v>
      </c>
      <c r="AD56" s="156">
        <f>V56*Constants!$D$4</f>
        <v>0</v>
      </c>
      <c r="AE56" s="156">
        <f>W56*Constants!$D$6</f>
        <v>0</v>
      </c>
      <c r="AF56" s="156">
        <f>P56*Constants!$E$12</f>
        <v>0</v>
      </c>
      <c r="AG56" s="156">
        <f>Q56*Constants!$E$11</f>
        <v>0</v>
      </c>
      <c r="AH56" s="156">
        <f>R56*Constants!$E$13</f>
        <v>0</v>
      </c>
      <c r="AI56" s="156">
        <f>S56*Constants!$E$18</f>
        <v>0</v>
      </c>
      <c r="AJ56" s="156">
        <f>T56*Constants!$E$17</f>
        <v>31.350362169590873</v>
      </c>
      <c r="AK56" s="156">
        <f>U56*Constants!$E$3</f>
        <v>1.7718567860116572</v>
      </c>
      <c r="AL56" s="156">
        <f>V56*Constants!$E$4</f>
        <v>0</v>
      </c>
      <c r="AM56">
        <f>W56*Constants!$E$6</f>
        <v>0</v>
      </c>
    </row>
    <row r="57" spans="1:39">
      <c r="A57" s="113">
        <f>'lab journal'!W57</f>
        <v>115.7229166666657</v>
      </c>
      <c r="B57" s="114">
        <v>0</v>
      </c>
      <c r="C57" s="114">
        <v>0</v>
      </c>
      <c r="D57" s="114">
        <v>0</v>
      </c>
      <c r="E57" s="114">
        <v>0</v>
      </c>
      <c r="F57" s="114">
        <v>0</v>
      </c>
      <c r="G57" s="114">
        <v>5</v>
      </c>
      <c r="H57">
        <v>3.66</v>
      </c>
      <c r="I57" t="s">
        <v>202</v>
      </c>
      <c r="J57" t="s">
        <v>202</v>
      </c>
      <c r="K57" s="115">
        <f t="shared" si="4"/>
        <v>0</v>
      </c>
      <c r="L57" s="115">
        <f t="shared" si="5"/>
        <v>0</v>
      </c>
      <c r="M57" s="115">
        <f t="shared" si="6"/>
        <v>0</v>
      </c>
      <c r="N57" s="115">
        <f t="shared" si="7"/>
        <v>0</v>
      </c>
      <c r="O57" s="115">
        <v>100</v>
      </c>
      <c r="P57" s="202">
        <f>K57/Constants!$C$12</f>
        <v>0</v>
      </c>
      <c r="Q57" s="202">
        <f>L57/Constants!$C$11</f>
        <v>0</v>
      </c>
      <c r="R57" s="202">
        <f>M57/Constants!$C$13</f>
        <v>0</v>
      </c>
      <c r="S57" s="202">
        <f>N57/Constants!$C$18</f>
        <v>0</v>
      </c>
      <c r="T57" s="202">
        <f>O57/Constants!$C$17</f>
        <v>0.36453909499524273</v>
      </c>
      <c r="U57" s="202">
        <f>IF(H57="n.a.", 0, H57*G57/Constants!$C$3)</f>
        <v>0.30474604496253127</v>
      </c>
      <c r="V57" s="202">
        <f>IF(I57="n.a.", 0, I57*G57/Constants!$C$4)</f>
        <v>0</v>
      </c>
      <c r="W57" s="202">
        <f>IF(J57="n.a.", 0, J57*G57/Constants!$C$6)</f>
        <v>0</v>
      </c>
      <c r="X57">
        <f>P57*Constants!$D$12</f>
        <v>0</v>
      </c>
      <c r="Y57">
        <f>Q57*Constants!$D$11</f>
        <v>0</v>
      </c>
      <c r="Z57">
        <f>R57*Constants!$D$13</f>
        <v>0</v>
      </c>
      <c r="AA57">
        <f>S57*Constants!$D$18</f>
        <v>0</v>
      </c>
      <c r="AB57">
        <f>T57*Constants!$D$17</f>
        <v>6.9262428049096121</v>
      </c>
      <c r="AC57" s="156">
        <f>U57*Constants!$D$3</f>
        <v>0.60949208992506254</v>
      </c>
      <c r="AD57" s="156">
        <f>V57*Constants!$D$4</f>
        <v>0</v>
      </c>
      <c r="AE57" s="156">
        <f>W57*Constants!$D$6</f>
        <v>0</v>
      </c>
      <c r="AF57" s="156">
        <f>P57*Constants!$E$12</f>
        <v>0</v>
      </c>
      <c r="AG57" s="156">
        <f>Q57*Constants!$E$11</f>
        <v>0</v>
      </c>
      <c r="AH57" s="156">
        <f>R57*Constants!$E$13</f>
        <v>0</v>
      </c>
      <c r="AI57" s="156">
        <f>S57*Constants!$E$18</f>
        <v>0</v>
      </c>
      <c r="AJ57" s="156">
        <f>T57*Constants!$E$17</f>
        <v>31.350362169590873</v>
      </c>
      <c r="AK57" s="156">
        <f>U57*Constants!$E$3</f>
        <v>2.4379683597002502</v>
      </c>
      <c r="AL57" s="156">
        <f>V57*Constants!$E$4</f>
        <v>0</v>
      </c>
      <c r="AM57">
        <f>W57*Constants!$E$6</f>
        <v>0</v>
      </c>
    </row>
    <row r="58" spans="1:39">
      <c r="A58" s="113">
        <f>'lab journal'!W58</f>
        <v>117.72152777777956</v>
      </c>
      <c r="B58" s="114">
        <v>0</v>
      </c>
      <c r="C58" s="114">
        <v>0</v>
      </c>
      <c r="D58" s="114">
        <v>0</v>
      </c>
      <c r="E58" s="114">
        <v>0</v>
      </c>
      <c r="F58" s="114">
        <v>0</v>
      </c>
      <c r="G58" s="114">
        <v>5</v>
      </c>
      <c r="H58">
        <v>4.66</v>
      </c>
      <c r="I58" t="s">
        <v>202</v>
      </c>
      <c r="J58" t="s">
        <v>202</v>
      </c>
      <c r="K58" s="115">
        <f t="shared" si="4"/>
        <v>0</v>
      </c>
      <c r="L58" s="115">
        <f t="shared" si="5"/>
        <v>0</v>
      </c>
      <c r="M58" s="115">
        <f t="shared" si="6"/>
        <v>0</v>
      </c>
      <c r="N58" s="115">
        <f t="shared" si="7"/>
        <v>0</v>
      </c>
      <c r="O58" s="115">
        <v>100</v>
      </c>
      <c r="P58" s="202">
        <f>K58/Constants!$C$12</f>
        <v>0</v>
      </c>
      <c r="Q58" s="202">
        <f>L58/Constants!$C$11</f>
        <v>0</v>
      </c>
      <c r="R58" s="202">
        <f>M58/Constants!$C$13</f>
        <v>0</v>
      </c>
      <c r="S58" s="202">
        <f>N58/Constants!$C$18</f>
        <v>0</v>
      </c>
      <c r="T58" s="202">
        <f>O58/Constants!$C$17</f>
        <v>0.36453909499524273</v>
      </c>
      <c r="U58" s="202">
        <f>IF(H58="n.a.", 0, H58*G58/Constants!$C$3)</f>
        <v>0.38800999167360534</v>
      </c>
      <c r="V58" s="202">
        <f>IF(I58="n.a.", 0, I58*G58/Constants!$C$4)</f>
        <v>0</v>
      </c>
      <c r="W58" s="202">
        <f>IF(J58="n.a.", 0, J58*G58/Constants!$C$6)</f>
        <v>0</v>
      </c>
      <c r="X58">
        <f>P58*Constants!$D$12</f>
        <v>0</v>
      </c>
      <c r="Y58">
        <f>Q58*Constants!$D$11</f>
        <v>0</v>
      </c>
      <c r="Z58">
        <f>R58*Constants!$D$13</f>
        <v>0</v>
      </c>
      <c r="AA58">
        <f>S58*Constants!$D$18</f>
        <v>0</v>
      </c>
      <c r="AB58">
        <f>T58*Constants!$D$17</f>
        <v>6.9262428049096121</v>
      </c>
      <c r="AC58" s="156">
        <f>U58*Constants!$D$3</f>
        <v>0.77601998334721067</v>
      </c>
      <c r="AD58" s="156">
        <f>V58*Constants!$D$4</f>
        <v>0</v>
      </c>
      <c r="AE58" s="156">
        <f>W58*Constants!$D$6</f>
        <v>0</v>
      </c>
      <c r="AF58" s="156">
        <f>P58*Constants!$E$12</f>
        <v>0</v>
      </c>
      <c r="AG58" s="156">
        <f>Q58*Constants!$E$11</f>
        <v>0</v>
      </c>
      <c r="AH58" s="156">
        <f>R58*Constants!$E$13</f>
        <v>0</v>
      </c>
      <c r="AI58" s="156">
        <f>S58*Constants!$E$18</f>
        <v>0</v>
      </c>
      <c r="AJ58" s="156">
        <f>T58*Constants!$E$17</f>
        <v>31.350362169590873</v>
      </c>
      <c r="AK58" s="156">
        <f>U58*Constants!$E$3</f>
        <v>3.1040799333888427</v>
      </c>
      <c r="AL58" s="156">
        <f>V58*Constants!$E$4</f>
        <v>0</v>
      </c>
      <c r="AM58">
        <f>W58*Constants!$E$6</f>
        <v>0</v>
      </c>
    </row>
    <row r="59" spans="1:39">
      <c r="A59" s="113">
        <f>'lab journal'!W59</f>
        <v>119.69305555555911</v>
      </c>
      <c r="B59" s="114">
        <v>0</v>
      </c>
      <c r="C59" s="114">
        <v>0</v>
      </c>
      <c r="D59" s="114">
        <v>0</v>
      </c>
      <c r="E59" s="114">
        <v>0</v>
      </c>
      <c r="F59" s="114">
        <v>0</v>
      </c>
      <c r="G59" s="114">
        <v>5</v>
      </c>
      <c r="H59">
        <v>1.73</v>
      </c>
      <c r="I59" t="s">
        <v>202</v>
      </c>
      <c r="J59" t="s">
        <v>202</v>
      </c>
      <c r="K59" s="115">
        <f t="shared" si="4"/>
        <v>0</v>
      </c>
      <c r="L59" s="115">
        <f t="shared" si="5"/>
        <v>0</v>
      </c>
      <c r="M59" s="115">
        <f t="shared" si="6"/>
        <v>0</v>
      </c>
      <c r="N59" s="115">
        <f t="shared" si="7"/>
        <v>0</v>
      </c>
      <c r="O59" s="115">
        <v>100</v>
      </c>
      <c r="P59" s="202">
        <f>K59/Constants!$C$12</f>
        <v>0</v>
      </c>
      <c r="Q59" s="202">
        <f>L59/Constants!$C$11</f>
        <v>0</v>
      </c>
      <c r="R59" s="202">
        <f>M59/Constants!$C$13</f>
        <v>0</v>
      </c>
      <c r="S59" s="202">
        <f>N59/Constants!$C$18</f>
        <v>0</v>
      </c>
      <c r="T59" s="202">
        <f>O59/Constants!$C$17</f>
        <v>0.36453909499524273</v>
      </c>
      <c r="U59" s="202">
        <f>IF(H59="n.a.", 0, H59*G59/Constants!$C$3)</f>
        <v>0.1440466278101582</v>
      </c>
      <c r="V59" s="202">
        <f>IF(I59="n.a.", 0, I59*G59/Constants!$C$4)</f>
        <v>0</v>
      </c>
      <c r="W59" s="202">
        <f>IF(J59="n.a.", 0, J59*G59/Constants!$C$6)</f>
        <v>0</v>
      </c>
      <c r="X59">
        <f>P59*Constants!$D$12</f>
        <v>0</v>
      </c>
      <c r="Y59">
        <f>Q59*Constants!$D$11</f>
        <v>0</v>
      </c>
      <c r="Z59">
        <f>R59*Constants!$D$13</f>
        <v>0</v>
      </c>
      <c r="AA59">
        <f>S59*Constants!$D$18</f>
        <v>0</v>
      </c>
      <c r="AB59">
        <f>T59*Constants!$D$17</f>
        <v>6.9262428049096121</v>
      </c>
      <c r="AC59" s="156">
        <f>U59*Constants!$D$3</f>
        <v>0.2880932556203164</v>
      </c>
      <c r="AD59" s="156">
        <f>V59*Constants!$D$4</f>
        <v>0</v>
      </c>
      <c r="AE59" s="156">
        <f>W59*Constants!$D$6</f>
        <v>0</v>
      </c>
      <c r="AF59" s="156">
        <f>P59*Constants!$E$12</f>
        <v>0</v>
      </c>
      <c r="AG59" s="156">
        <f>Q59*Constants!$E$11</f>
        <v>0</v>
      </c>
      <c r="AH59" s="156">
        <f>R59*Constants!$E$13</f>
        <v>0</v>
      </c>
      <c r="AI59" s="156">
        <f>S59*Constants!$E$18</f>
        <v>0</v>
      </c>
      <c r="AJ59" s="156">
        <f>T59*Constants!$E$17</f>
        <v>31.350362169590873</v>
      </c>
      <c r="AK59" s="156">
        <f>U59*Constants!$E$3</f>
        <v>1.1523730224812656</v>
      </c>
      <c r="AL59" s="156">
        <f>V59*Constants!$E$4</f>
        <v>0</v>
      </c>
      <c r="AM59">
        <f>W59*Constants!$E$6</f>
        <v>0</v>
      </c>
    </row>
    <row r="60" spans="1:39">
      <c r="A60" s="113">
        <f>'lab journal'!W60</f>
        <v>122.70694444444962</v>
      </c>
      <c r="B60" s="114">
        <v>0</v>
      </c>
      <c r="C60" s="114">
        <v>0</v>
      </c>
      <c r="D60" s="114">
        <v>0</v>
      </c>
      <c r="E60" s="114">
        <v>0</v>
      </c>
      <c r="F60" s="114">
        <v>0</v>
      </c>
      <c r="G60" s="114">
        <v>5</v>
      </c>
      <c r="H60">
        <v>2.73</v>
      </c>
      <c r="I60" t="s">
        <v>202</v>
      </c>
      <c r="J60" t="s">
        <v>202</v>
      </c>
      <c r="K60" s="115">
        <f t="shared" si="4"/>
        <v>0</v>
      </c>
      <c r="L60" s="115">
        <f t="shared" si="5"/>
        <v>0</v>
      </c>
      <c r="M60" s="115">
        <f t="shared" si="6"/>
        <v>0</v>
      </c>
      <c r="N60" s="115">
        <f t="shared" si="7"/>
        <v>0</v>
      </c>
      <c r="O60" s="115">
        <v>100</v>
      </c>
      <c r="P60" s="202">
        <f>K60/Constants!$C$12</f>
        <v>0</v>
      </c>
      <c r="Q60" s="202">
        <f>L60/Constants!$C$11</f>
        <v>0</v>
      </c>
      <c r="R60" s="202">
        <f>M60/Constants!$C$13</f>
        <v>0</v>
      </c>
      <c r="S60" s="202">
        <f>N60/Constants!$C$18</f>
        <v>0</v>
      </c>
      <c r="T60" s="202">
        <f>O60/Constants!$C$17</f>
        <v>0.36453909499524273</v>
      </c>
      <c r="U60" s="202">
        <f>IF(H60="n.a.", 0, H60*G60/Constants!$C$3)</f>
        <v>0.22731057452123232</v>
      </c>
      <c r="V60" s="202">
        <f>IF(I60="n.a.", 0, I60*G60/Constants!$C$4)</f>
        <v>0</v>
      </c>
      <c r="W60" s="202">
        <f>IF(J60="n.a.", 0, J60*G60/Constants!$C$6)</f>
        <v>0</v>
      </c>
      <c r="X60">
        <f>P60*Constants!$D$12</f>
        <v>0</v>
      </c>
      <c r="Y60">
        <f>Q60*Constants!$D$11</f>
        <v>0</v>
      </c>
      <c r="Z60">
        <f>R60*Constants!$D$13</f>
        <v>0</v>
      </c>
      <c r="AA60">
        <f>S60*Constants!$D$18</f>
        <v>0</v>
      </c>
      <c r="AB60">
        <f>T60*Constants!$D$17</f>
        <v>6.9262428049096121</v>
      </c>
      <c r="AC60" s="156">
        <f>U60*Constants!$D$3</f>
        <v>0.45462114904246465</v>
      </c>
      <c r="AD60" s="156">
        <f>V60*Constants!$D$4</f>
        <v>0</v>
      </c>
      <c r="AE60" s="156">
        <f>W60*Constants!$D$6</f>
        <v>0</v>
      </c>
      <c r="AF60" s="156">
        <f>P60*Constants!$E$12</f>
        <v>0</v>
      </c>
      <c r="AG60" s="156">
        <f>Q60*Constants!$E$11</f>
        <v>0</v>
      </c>
      <c r="AH60" s="156">
        <f>R60*Constants!$E$13</f>
        <v>0</v>
      </c>
      <c r="AI60" s="156">
        <f>S60*Constants!$E$18</f>
        <v>0</v>
      </c>
      <c r="AJ60" s="156">
        <f>T60*Constants!$E$17</f>
        <v>31.350362169590873</v>
      </c>
      <c r="AK60" s="156">
        <f>U60*Constants!$E$3</f>
        <v>1.8184845961698586</v>
      </c>
      <c r="AL60" s="156">
        <f>V60*Constants!$E$4</f>
        <v>0</v>
      </c>
      <c r="AM60">
        <f>W60*Constants!$E$6</f>
        <v>0</v>
      </c>
    </row>
    <row r="61" spans="1:39">
      <c r="A61" s="113">
        <f>'lab journal'!W62</f>
        <v>124.74305555555475</v>
      </c>
      <c r="B61" s="114">
        <v>0</v>
      </c>
      <c r="C61" s="114">
        <v>0</v>
      </c>
      <c r="D61" s="114">
        <v>0</v>
      </c>
      <c r="E61" s="114">
        <v>0</v>
      </c>
      <c r="F61" s="114">
        <v>0</v>
      </c>
      <c r="G61" s="114">
        <v>5</v>
      </c>
      <c r="H61">
        <v>3.73</v>
      </c>
      <c r="I61" t="s">
        <v>202</v>
      </c>
      <c r="J61" t="s">
        <v>202</v>
      </c>
      <c r="K61" s="115">
        <f t="shared" si="4"/>
        <v>0</v>
      </c>
      <c r="L61" s="115">
        <f t="shared" si="5"/>
        <v>0</v>
      </c>
      <c r="M61" s="115">
        <f t="shared" si="6"/>
        <v>0</v>
      </c>
      <c r="N61" s="115">
        <f t="shared" si="7"/>
        <v>0</v>
      </c>
      <c r="O61" s="115">
        <v>100</v>
      </c>
      <c r="P61" s="202">
        <f>K61/Constants!$C$12</f>
        <v>0</v>
      </c>
      <c r="Q61" s="202">
        <f>L61/Constants!$C$11</f>
        <v>0</v>
      </c>
      <c r="R61" s="202">
        <f>M61/Constants!$C$13</f>
        <v>0</v>
      </c>
      <c r="S61" s="202">
        <f>N61/Constants!$C$18</f>
        <v>0</v>
      </c>
      <c r="T61" s="202">
        <f>O61/Constants!$C$17</f>
        <v>0.36453909499524273</v>
      </c>
      <c r="U61" s="202">
        <f>IF(H61="n.a.", 0, H61*G61/Constants!$C$3)</f>
        <v>0.31057452123230639</v>
      </c>
      <c r="V61" s="202">
        <f>IF(I61="n.a.", 0, I61*G61/Constants!$C$4)</f>
        <v>0</v>
      </c>
      <c r="W61" s="202">
        <f>IF(J61="n.a.", 0, J61*G61/Constants!$C$6)</f>
        <v>0</v>
      </c>
      <c r="X61">
        <f>P61*Constants!$D$12</f>
        <v>0</v>
      </c>
      <c r="Y61">
        <f>Q61*Constants!$D$11</f>
        <v>0</v>
      </c>
      <c r="Z61">
        <f>R61*Constants!$D$13</f>
        <v>0</v>
      </c>
      <c r="AA61">
        <f>S61*Constants!$D$18</f>
        <v>0</v>
      </c>
      <c r="AB61">
        <f>T61*Constants!$D$17</f>
        <v>6.9262428049096121</v>
      </c>
      <c r="AC61" s="156">
        <f>U61*Constants!$D$3</f>
        <v>0.62114904246461278</v>
      </c>
      <c r="AD61" s="156">
        <f>V61*Constants!$D$4</f>
        <v>0</v>
      </c>
      <c r="AE61" s="156">
        <f>W61*Constants!$D$6</f>
        <v>0</v>
      </c>
      <c r="AF61" s="156">
        <f>P61*Constants!$E$12</f>
        <v>0</v>
      </c>
      <c r="AG61" s="156">
        <f>Q61*Constants!$E$11</f>
        <v>0</v>
      </c>
      <c r="AH61" s="156">
        <f>R61*Constants!$E$13</f>
        <v>0</v>
      </c>
      <c r="AI61" s="156">
        <f>S61*Constants!$E$18</f>
        <v>0</v>
      </c>
      <c r="AJ61" s="156">
        <f>T61*Constants!$E$17</f>
        <v>31.350362169590873</v>
      </c>
      <c r="AK61" s="156">
        <f>U61*Constants!$E$3</f>
        <v>2.4845961698584511</v>
      </c>
      <c r="AL61" s="156">
        <f>V61*Constants!$E$4</f>
        <v>0</v>
      </c>
      <c r="AM61">
        <f>W61*Constants!$E$6</f>
        <v>0</v>
      </c>
    </row>
    <row r="62" spans="1:39">
      <c r="A62" s="113">
        <f>'lab journal'!W63</f>
        <v>126.72083333333285</v>
      </c>
      <c r="B62" s="114">
        <v>0</v>
      </c>
      <c r="C62" s="114">
        <v>0</v>
      </c>
      <c r="D62" s="114">
        <v>0</v>
      </c>
      <c r="E62" s="114">
        <v>0</v>
      </c>
      <c r="F62" s="114">
        <v>0</v>
      </c>
      <c r="G62" s="114">
        <v>5</v>
      </c>
      <c r="H62">
        <v>4.7300000000000004</v>
      </c>
      <c r="I62" t="s">
        <v>202</v>
      </c>
      <c r="J62" t="s">
        <v>202</v>
      </c>
      <c r="K62" s="115">
        <f t="shared" si="4"/>
        <v>0</v>
      </c>
      <c r="L62" s="115">
        <f t="shared" si="5"/>
        <v>0</v>
      </c>
      <c r="M62" s="115">
        <f t="shared" si="6"/>
        <v>0</v>
      </c>
      <c r="N62" s="115">
        <f t="shared" si="7"/>
        <v>0</v>
      </c>
      <c r="O62" s="115">
        <v>100</v>
      </c>
      <c r="P62" s="202">
        <f>K62/Constants!$C$12</f>
        <v>0</v>
      </c>
      <c r="Q62" s="202">
        <f>L62/Constants!$C$11</f>
        <v>0</v>
      </c>
      <c r="R62" s="202">
        <f>M62/Constants!$C$13</f>
        <v>0</v>
      </c>
      <c r="S62" s="202">
        <f>N62/Constants!$C$18</f>
        <v>0</v>
      </c>
      <c r="T62" s="202">
        <f>O62/Constants!$C$17</f>
        <v>0.36453909499524273</v>
      </c>
      <c r="U62" s="202">
        <f>IF(H62="n.a.", 0, H62*G62/Constants!$C$3)</f>
        <v>0.39383846794338057</v>
      </c>
      <c r="V62" s="202">
        <f>IF(I62="n.a.", 0, I62*G62/Constants!$C$4)</f>
        <v>0</v>
      </c>
      <c r="W62" s="202">
        <f>IF(J62="n.a.", 0, J62*G62/Constants!$C$6)</f>
        <v>0</v>
      </c>
      <c r="X62">
        <f>P62*Constants!$D$12</f>
        <v>0</v>
      </c>
      <c r="Y62">
        <f>Q62*Constants!$D$11</f>
        <v>0</v>
      </c>
      <c r="Z62">
        <f>R62*Constants!$D$13</f>
        <v>0</v>
      </c>
      <c r="AA62">
        <f>S62*Constants!$D$18</f>
        <v>0</v>
      </c>
      <c r="AB62">
        <f>T62*Constants!$D$17</f>
        <v>6.9262428049096121</v>
      </c>
      <c r="AC62" s="156">
        <f>U62*Constants!$D$3</f>
        <v>0.78767693588676113</v>
      </c>
      <c r="AD62" s="156">
        <f>V62*Constants!$D$4</f>
        <v>0</v>
      </c>
      <c r="AE62" s="156">
        <f>W62*Constants!$D$6</f>
        <v>0</v>
      </c>
      <c r="AF62" s="156">
        <f>P62*Constants!$E$12</f>
        <v>0</v>
      </c>
      <c r="AG62" s="156">
        <f>Q62*Constants!$E$11</f>
        <v>0</v>
      </c>
      <c r="AH62" s="156">
        <f>R62*Constants!$E$13</f>
        <v>0</v>
      </c>
      <c r="AI62" s="156">
        <f>S62*Constants!$E$18</f>
        <v>0</v>
      </c>
      <c r="AJ62" s="156">
        <f>T62*Constants!$E$17</f>
        <v>31.350362169590873</v>
      </c>
      <c r="AK62" s="156">
        <f>U62*Constants!$E$3</f>
        <v>3.1507077435470445</v>
      </c>
      <c r="AL62" s="156">
        <f>V62*Constants!$E$4</f>
        <v>0</v>
      </c>
      <c r="AM62">
        <f>W62*Constants!$E$6</f>
        <v>0</v>
      </c>
    </row>
    <row r="63" spans="1:39">
      <c r="A63" s="113">
        <f>'lab journal'!W64</f>
        <v>129.72638888889196</v>
      </c>
      <c r="B63" s="114">
        <v>0</v>
      </c>
      <c r="C63" s="114">
        <v>0</v>
      </c>
      <c r="D63" s="114">
        <v>0</v>
      </c>
      <c r="E63" s="114">
        <v>0</v>
      </c>
      <c r="F63" s="114">
        <v>0</v>
      </c>
      <c r="G63" s="114">
        <v>5</v>
      </c>
      <c r="H63">
        <v>5.73</v>
      </c>
      <c r="I63" t="s">
        <v>202</v>
      </c>
      <c r="J63" t="s">
        <v>202</v>
      </c>
      <c r="K63" s="115">
        <f t="shared" si="4"/>
        <v>0</v>
      </c>
      <c r="L63" s="115">
        <f t="shared" si="5"/>
        <v>0</v>
      </c>
      <c r="M63" s="115">
        <f t="shared" si="6"/>
        <v>0</v>
      </c>
      <c r="N63" s="115">
        <f t="shared" si="7"/>
        <v>0</v>
      </c>
      <c r="O63" s="115">
        <v>100</v>
      </c>
      <c r="P63" s="202">
        <f>K63/Constants!$C$12</f>
        <v>0</v>
      </c>
      <c r="Q63" s="202">
        <f>L63/Constants!$C$11</f>
        <v>0</v>
      </c>
      <c r="R63" s="202">
        <f>M63/Constants!$C$13</f>
        <v>0</v>
      </c>
      <c r="S63" s="202">
        <f>N63/Constants!$C$18</f>
        <v>0</v>
      </c>
      <c r="T63" s="202">
        <f>O63/Constants!$C$17</f>
        <v>0.36453909499524273</v>
      </c>
      <c r="U63" s="202">
        <f>IF(H63="n.a.", 0, H63*G63/Constants!$C$3)</f>
        <v>0.47710241465445469</v>
      </c>
      <c r="V63" s="202">
        <f>IF(I63="n.a.", 0, I63*G63/Constants!$C$4)</f>
        <v>0</v>
      </c>
      <c r="W63" s="202">
        <f>IF(J63="n.a.", 0, J63*G63/Constants!$C$6)</f>
        <v>0</v>
      </c>
      <c r="X63">
        <f>P63*Constants!$D$12</f>
        <v>0</v>
      </c>
      <c r="Y63">
        <f>Q63*Constants!$D$11</f>
        <v>0</v>
      </c>
      <c r="Z63">
        <f>R63*Constants!$D$13</f>
        <v>0</v>
      </c>
      <c r="AA63">
        <f>S63*Constants!$D$18</f>
        <v>0</v>
      </c>
      <c r="AB63">
        <f>T63*Constants!$D$17</f>
        <v>6.9262428049096121</v>
      </c>
      <c r="AC63" s="156">
        <f>U63*Constants!$D$3</f>
        <v>0.95420482930890937</v>
      </c>
      <c r="AD63" s="156">
        <f>V63*Constants!$D$4</f>
        <v>0</v>
      </c>
      <c r="AE63" s="156">
        <f>W63*Constants!$D$6</f>
        <v>0</v>
      </c>
      <c r="AF63" s="156">
        <f>P63*Constants!$E$12</f>
        <v>0</v>
      </c>
      <c r="AG63" s="156">
        <f>Q63*Constants!$E$11</f>
        <v>0</v>
      </c>
      <c r="AH63" s="156">
        <f>R63*Constants!$E$13</f>
        <v>0</v>
      </c>
      <c r="AI63" s="156">
        <f>S63*Constants!$E$18</f>
        <v>0</v>
      </c>
      <c r="AJ63" s="156">
        <f>T63*Constants!$E$17</f>
        <v>31.350362169590873</v>
      </c>
      <c r="AK63" s="156">
        <f>U63*Constants!$E$3</f>
        <v>3.8168193172356375</v>
      </c>
      <c r="AL63" s="156">
        <f>V63*Constants!$E$4</f>
        <v>0</v>
      </c>
      <c r="AM63">
        <f>W63*Constants!$E$6</f>
        <v>0</v>
      </c>
    </row>
    <row r="64" spans="1:39">
      <c r="A64" s="113">
        <f>'lab journal'!W65</f>
        <v>131.7236111111124</v>
      </c>
      <c r="B64" s="114">
        <v>0</v>
      </c>
      <c r="C64" s="114">
        <v>0</v>
      </c>
      <c r="D64" s="114">
        <v>0</v>
      </c>
      <c r="E64" s="114">
        <v>0</v>
      </c>
      <c r="F64" s="114">
        <v>0</v>
      </c>
      <c r="G64" s="114">
        <v>5</v>
      </c>
      <c r="H64">
        <v>6.73</v>
      </c>
      <c r="I64" t="s">
        <v>202</v>
      </c>
      <c r="J64" t="s">
        <v>202</v>
      </c>
      <c r="K64" s="115">
        <f t="shared" si="4"/>
        <v>0</v>
      </c>
      <c r="L64" s="115">
        <f t="shared" si="5"/>
        <v>0</v>
      </c>
      <c r="M64" s="115">
        <f t="shared" si="6"/>
        <v>0</v>
      </c>
      <c r="N64" s="115">
        <f t="shared" si="7"/>
        <v>0</v>
      </c>
      <c r="O64" s="115">
        <v>100</v>
      </c>
      <c r="P64" s="202">
        <f>K64/Constants!$C$12</f>
        <v>0</v>
      </c>
      <c r="Q64" s="202">
        <f>L64/Constants!$C$11</f>
        <v>0</v>
      </c>
      <c r="R64" s="202">
        <f>M64/Constants!$C$13</f>
        <v>0</v>
      </c>
      <c r="S64" s="202">
        <f>N64/Constants!$C$18</f>
        <v>0</v>
      </c>
      <c r="T64" s="202">
        <f>O64/Constants!$C$17</f>
        <v>0.36453909499524273</v>
      </c>
      <c r="U64" s="202">
        <f>IF(H64="n.a.", 0, H64*G64/Constants!$C$3)</f>
        <v>0.56036636136552886</v>
      </c>
      <c r="V64" s="202">
        <f>IF(I64="n.a.", 0, I64*G64/Constants!$C$4)</f>
        <v>0</v>
      </c>
      <c r="W64" s="202">
        <f>IF(J64="n.a.", 0, J64*G64/Constants!$C$6)</f>
        <v>0</v>
      </c>
      <c r="X64">
        <f>P64*Constants!$D$12</f>
        <v>0</v>
      </c>
      <c r="Y64">
        <f>Q64*Constants!$D$11</f>
        <v>0</v>
      </c>
      <c r="Z64">
        <f>R64*Constants!$D$13</f>
        <v>0</v>
      </c>
      <c r="AA64">
        <f>S64*Constants!$D$18</f>
        <v>0</v>
      </c>
      <c r="AB64">
        <f>T64*Constants!$D$17</f>
        <v>6.9262428049096121</v>
      </c>
      <c r="AC64" s="156">
        <f>U64*Constants!$D$3</f>
        <v>1.1207327227310577</v>
      </c>
      <c r="AD64" s="156">
        <f>V64*Constants!$D$4</f>
        <v>0</v>
      </c>
      <c r="AE64" s="156">
        <f>W64*Constants!$D$6</f>
        <v>0</v>
      </c>
      <c r="AF64" s="156">
        <f>P64*Constants!$E$12</f>
        <v>0</v>
      </c>
      <c r="AG64" s="156">
        <f>Q64*Constants!$E$11</f>
        <v>0</v>
      </c>
      <c r="AH64" s="156">
        <f>R64*Constants!$E$13</f>
        <v>0</v>
      </c>
      <c r="AI64" s="156">
        <f>S64*Constants!$E$18</f>
        <v>0</v>
      </c>
      <c r="AJ64" s="156">
        <f>T64*Constants!$E$17</f>
        <v>31.350362169590873</v>
      </c>
      <c r="AK64" s="156">
        <f>U64*Constants!$E$3</f>
        <v>4.4829308909242309</v>
      </c>
      <c r="AL64" s="156">
        <f>V64*Constants!$E$4</f>
        <v>0</v>
      </c>
      <c r="AM64">
        <f>W64*Constants!$E$6</f>
        <v>0</v>
      </c>
    </row>
    <row r="65" spans="1:39">
      <c r="A65" s="113">
        <f>'lab journal'!W66</f>
        <v>133.7993055555562</v>
      </c>
      <c r="B65" s="114">
        <v>0</v>
      </c>
      <c r="C65" s="114">
        <v>0</v>
      </c>
      <c r="D65" s="114">
        <v>0</v>
      </c>
      <c r="E65" s="114">
        <v>0</v>
      </c>
      <c r="F65" s="114">
        <v>0</v>
      </c>
      <c r="G65" s="114">
        <v>5</v>
      </c>
      <c r="H65">
        <v>7.73</v>
      </c>
      <c r="I65" t="s">
        <v>202</v>
      </c>
      <c r="J65" t="s">
        <v>202</v>
      </c>
      <c r="K65" s="115">
        <f t="shared" si="4"/>
        <v>0</v>
      </c>
      <c r="L65" s="115">
        <f t="shared" si="5"/>
        <v>0</v>
      </c>
      <c r="M65" s="115">
        <f t="shared" si="6"/>
        <v>0</v>
      </c>
      <c r="N65" s="115">
        <f t="shared" si="7"/>
        <v>0</v>
      </c>
      <c r="O65" s="115">
        <v>100</v>
      </c>
      <c r="P65" s="202">
        <f>K65/Constants!$C$12</f>
        <v>0</v>
      </c>
      <c r="Q65" s="202">
        <f>L65/Constants!$C$11</f>
        <v>0</v>
      </c>
      <c r="R65" s="202">
        <f>M65/Constants!$C$13</f>
        <v>0</v>
      </c>
      <c r="S65" s="202">
        <f>N65/Constants!$C$18</f>
        <v>0</v>
      </c>
      <c r="T65" s="202">
        <f>O65/Constants!$C$17</f>
        <v>0.36453909499524273</v>
      </c>
      <c r="U65" s="202">
        <f>IF(H65="n.a.", 0, H65*G65/Constants!$C$3)</f>
        <v>0.64363030807660293</v>
      </c>
      <c r="V65" s="202">
        <f>IF(I65="n.a.", 0, I65*G65/Constants!$C$4)</f>
        <v>0</v>
      </c>
      <c r="W65" s="202">
        <f>IF(J65="n.a.", 0, J65*G65/Constants!$C$6)</f>
        <v>0</v>
      </c>
      <c r="X65">
        <f>P65*Constants!$D$12</f>
        <v>0</v>
      </c>
      <c r="Y65">
        <f>Q65*Constants!$D$11</f>
        <v>0</v>
      </c>
      <c r="Z65">
        <f>R65*Constants!$D$13</f>
        <v>0</v>
      </c>
      <c r="AA65">
        <f>S65*Constants!$D$18</f>
        <v>0</v>
      </c>
      <c r="AB65">
        <f>T65*Constants!$D$17</f>
        <v>6.9262428049096121</v>
      </c>
      <c r="AC65" s="156">
        <f>U65*Constants!$D$3</f>
        <v>1.2872606161532059</v>
      </c>
      <c r="AD65" s="156">
        <f>V65*Constants!$D$4</f>
        <v>0</v>
      </c>
      <c r="AE65" s="156">
        <f>W65*Constants!$D$6</f>
        <v>0</v>
      </c>
      <c r="AF65" s="156">
        <f>P65*Constants!$E$12</f>
        <v>0</v>
      </c>
      <c r="AG65" s="156">
        <f>Q65*Constants!$E$11</f>
        <v>0</v>
      </c>
      <c r="AH65" s="156">
        <f>R65*Constants!$E$13</f>
        <v>0</v>
      </c>
      <c r="AI65" s="156">
        <f>S65*Constants!$E$18</f>
        <v>0</v>
      </c>
      <c r="AJ65" s="156">
        <f>T65*Constants!$E$17</f>
        <v>31.350362169590873</v>
      </c>
      <c r="AK65" s="156">
        <f>U65*Constants!$E$3</f>
        <v>5.1490424646128234</v>
      </c>
      <c r="AL65" s="156">
        <f>V65*Constants!$E$4</f>
        <v>0</v>
      </c>
      <c r="AM65">
        <f>W65*Constants!$E$6</f>
        <v>0</v>
      </c>
    </row>
    <row r="66" spans="1:39">
      <c r="A66" s="113">
        <f>'lab journal'!W67</f>
        <v>136.7097222222219</v>
      </c>
      <c r="B66" s="114">
        <v>0</v>
      </c>
      <c r="C66" s="114">
        <v>0</v>
      </c>
      <c r="D66" s="114">
        <v>0</v>
      </c>
      <c r="E66" s="114">
        <v>0</v>
      </c>
      <c r="F66" s="114">
        <v>0</v>
      </c>
      <c r="G66" s="114">
        <v>5</v>
      </c>
      <c r="H66">
        <v>8.73</v>
      </c>
      <c r="I66" t="s">
        <v>202</v>
      </c>
      <c r="J66" t="s">
        <v>202</v>
      </c>
      <c r="K66" s="115">
        <f t="shared" si="4"/>
        <v>0</v>
      </c>
      <c r="L66" s="115">
        <f t="shared" si="5"/>
        <v>0</v>
      </c>
      <c r="M66" s="115">
        <f t="shared" si="6"/>
        <v>0</v>
      </c>
      <c r="N66" s="115">
        <f t="shared" si="7"/>
        <v>0</v>
      </c>
      <c r="O66" s="115">
        <v>100</v>
      </c>
      <c r="P66" s="202">
        <f>K66/Constants!$C$12</f>
        <v>0</v>
      </c>
      <c r="Q66" s="202">
        <f>L66/Constants!$C$11</f>
        <v>0</v>
      </c>
      <c r="R66" s="202">
        <f>M66/Constants!$C$13</f>
        <v>0</v>
      </c>
      <c r="S66" s="202">
        <f>N66/Constants!$C$18</f>
        <v>0</v>
      </c>
      <c r="T66" s="202">
        <f>O66/Constants!$C$17</f>
        <v>0.36453909499524273</v>
      </c>
      <c r="U66" s="202">
        <f>IF(H66="n.a.", 0, H66*G66/Constants!$C$3)</f>
        <v>0.72689425478767711</v>
      </c>
      <c r="V66" s="202">
        <f>IF(I66="n.a.", 0, I66*G66/Constants!$C$4)</f>
        <v>0</v>
      </c>
      <c r="W66" s="202">
        <f>IF(J66="n.a.", 0, J66*G66/Constants!$C$6)</f>
        <v>0</v>
      </c>
      <c r="X66">
        <f>P66*Constants!$D$12</f>
        <v>0</v>
      </c>
      <c r="Y66">
        <f>Q66*Constants!$D$11</f>
        <v>0</v>
      </c>
      <c r="Z66">
        <f>R66*Constants!$D$13</f>
        <v>0</v>
      </c>
      <c r="AA66">
        <f>S66*Constants!$D$18</f>
        <v>0</v>
      </c>
      <c r="AB66">
        <f>T66*Constants!$D$17</f>
        <v>6.9262428049096121</v>
      </c>
      <c r="AC66" s="156">
        <f>U66*Constants!$D$3</f>
        <v>1.4537885095753542</v>
      </c>
      <c r="AD66" s="156">
        <f>V66*Constants!$D$4</f>
        <v>0</v>
      </c>
      <c r="AE66" s="156">
        <f>W66*Constants!$D$6</f>
        <v>0</v>
      </c>
      <c r="AF66" s="156">
        <f>P66*Constants!$E$12</f>
        <v>0</v>
      </c>
      <c r="AG66" s="156">
        <f>Q66*Constants!$E$11</f>
        <v>0</v>
      </c>
      <c r="AH66" s="156">
        <f>R66*Constants!$E$13</f>
        <v>0</v>
      </c>
      <c r="AI66" s="156">
        <f>S66*Constants!$E$18</f>
        <v>0</v>
      </c>
      <c r="AJ66" s="156">
        <f>T66*Constants!$E$17</f>
        <v>31.350362169590873</v>
      </c>
      <c r="AK66" s="156">
        <f>U66*Constants!$E$3</f>
        <v>5.8151540383014169</v>
      </c>
      <c r="AL66" s="156">
        <f>V66*Constants!$E$4</f>
        <v>0</v>
      </c>
      <c r="AM66">
        <f>W66*Constants!$E$6</f>
        <v>0</v>
      </c>
    </row>
    <row r="67" spans="1:39">
      <c r="A67" s="113">
        <f>'lab journal'!W68</f>
        <v>138.89444444444962</v>
      </c>
      <c r="B67" s="114">
        <v>0</v>
      </c>
      <c r="C67" s="114">
        <v>0</v>
      </c>
      <c r="D67" s="114">
        <v>0</v>
      </c>
      <c r="E67" s="114">
        <v>0</v>
      </c>
      <c r="F67" s="114">
        <v>0</v>
      </c>
      <c r="G67" s="114">
        <v>5</v>
      </c>
      <c r="H67">
        <v>9.73</v>
      </c>
      <c r="I67" t="s">
        <v>202</v>
      </c>
      <c r="J67" t="s">
        <v>202</v>
      </c>
      <c r="K67" s="115">
        <f t="shared" si="4"/>
        <v>0</v>
      </c>
      <c r="L67" s="115">
        <f t="shared" si="5"/>
        <v>0</v>
      </c>
      <c r="M67" s="115">
        <f t="shared" si="6"/>
        <v>0</v>
      </c>
      <c r="N67" s="115">
        <f t="shared" si="7"/>
        <v>0</v>
      </c>
      <c r="O67" s="115">
        <v>100</v>
      </c>
      <c r="P67" s="202">
        <f>K67/Constants!$C$12</f>
        <v>0</v>
      </c>
      <c r="Q67" s="202">
        <f>L67/Constants!$C$11</f>
        <v>0</v>
      </c>
      <c r="R67" s="202">
        <f>M67/Constants!$C$13</f>
        <v>0</v>
      </c>
      <c r="S67" s="202">
        <f>N67/Constants!$C$18</f>
        <v>0</v>
      </c>
      <c r="T67" s="202">
        <f>O67/Constants!$C$17</f>
        <v>0.36453909499524273</v>
      </c>
      <c r="U67" s="202">
        <f>IF(H67="n.a.", 0, H67*G67/Constants!$C$3)</f>
        <v>0.81015820149875117</v>
      </c>
      <c r="V67" s="202">
        <f>IF(I67="n.a.", 0, I67*G67/Constants!$C$4)</f>
        <v>0</v>
      </c>
      <c r="W67" s="202">
        <f>IF(J67="n.a.", 0, J67*G67/Constants!$C$6)</f>
        <v>0</v>
      </c>
      <c r="X67">
        <f>P67*Constants!$D$12</f>
        <v>0</v>
      </c>
      <c r="Y67">
        <f>Q67*Constants!$D$11</f>
        <v>0</v>
      </c>
      <c r="Z67">
        <f>R67*Constants!$D$13</f>
        <v>0</v>
      </c>
      <c r="AA67">
        <f>S67*Constants!$D$18</f>
        <v>0</v>
      </c>
      <c r="AB67">
        <f>T67*Constants!$D$17</f>
        <v>6.9262428049096121</v>
      </c>
      <c r="AC67" s="156">
        <f>U67*Constants!$D$3</f>
        <v>1.6203164029975023</v>
      </c>
      <c r="AD67" s="156">
        <f>V67*Constants!$D$4</f>
        <v>0</v>
      </c>
      <c r="AE67" s="156">
        <f>W67*Constants!$D$6</f>
        <v>0</v>
      </c>
      <c r="AF67" s="156">
        <f>P67*Constants!$E$12</f>
        <v>0</v>
      </c>
      <c r="AG67" s="156">
        <f>Q67*Constants!$E$11</f>
        <v>0</v>
      </c>
      <c r="AH67" s="156">
        <f>R67*Constants!$E$13</f>
        <v>0</v>
      </c>
      <c r="AI67" s="156">
        <f>S67*Constants!$E$18</f>
        <v>0</v>
      </c>
      <c r="AJ67" s="156">
        <f>T67*Constants!$E$17</f>
        <v>31.350362169590873</v>
      </c>
      <c r="AK67" s="156">
        <f>U67*Constants!$E$3</f>
        <v>6.4812656119900094</v>
      </c>
      <c r="AL67" s="156">
        <f>V67*Constants!$E$4</f>
        <v>0</v>
      </c>
      <c r="AM67">
        <f>W67*Constants!$E$6</f>
        <v>0</v>
      </c>
    </row>
    <row r="68" spans="1:39">
      <c r="A68" s="113">
        <f>'lab journal'!W69</f>
        <v>140.88333333333867</v>
      </c>
      <c r="B68" s="114">
        <v>0</v>
      </c>
      <c r="C68" s="114">
        <v>0</v>
      </c>
      <c r="D68" s="114">
        <v>0</v>
      </c>
      <c r="E68" s="114">
        <v>0</v>
      </c>
      <c r="F68" s="114">
        <v>0</v>
      </c>
      <c r="G68" s="114">
        <v>5</v>
      </c>
      <c r="H68">
        <v>10.73</v>
      </c>
      <c r="I68" t="s">
        <v>202</v>
      </c>
      <c r="J68" t="s">
        <v>202</v>
      </c>
      <c r="K68" s="115">
        <f t="shared" ref="K68:K94" si="8">C68*B68</f>
        <v>0</v>
      </c>
      <c r="L68" s="115">
        <f t="shared" ref="L68:L94" si="9">D68*B68</f>
        <v>0</v>
      </c>
      <c r="M68" s="115">
        <f t="shared" ref="M68:M94" si="10">E68*B68</f>
        <v>0</v>
      </c>
      <c r="N68" s="115">
        <f t="shared" ref="N68:N94" si="11">F68*B68</f>
        <v>0</v>
      </c>
      <c r="O68" s="115">
        <v>100</v>
      </c>
      <c r="P68" s="202">
        <f>K68/Constants!$C$12</f>
        <v>0</v>
      </c>
      <c r="Q68" s="202">
        <f>L68/Constants!$C$11</f>
        <v>0</v>
      </c>
      <c r="R68" s="202">
        <f>M68/Constants!$C$13</f>
        <v>0</v>
      </c>
      <c r="S68" s="202">
        <f>N68/Constants!$C$18</f>
        <v>0</v>
      </c>
      <c r="T68" s="202">
        <f>O68/Constants!$C$17</f>
        <v>0.36453909499524273</v>
      </c>
      <c r="U68" s="202">
        <f>IF(H68="n.a.", 0, H68*G68/Constants!$C$3)</f>
        <v>0.89342214820982524</v>
      </c>
      <c r="V68" s="202">
        <f>IF(I68="n.a.", 0, I68*G68/Constants!$C$4)</f>
        <v>0</v>
      </c>
      <c r="W68" s="202">
        <f>IF(J68="n.a.", 0, J68*G68/Constants!$C$6)</f>
        <v>0</v>
      </c>
      <c r="X68">
        <f>P68*Constants!$D$12</f>
        <v>0</v>
      </c>
      <c r="Y68">
        <f>Q68*Constants!$D$11</f>
        <v>0</v>
      </c>
      <c r="Z68">
        <f>R68*Constants!$D$13</f>
        <v>0</v>
      </c>
      <c r="AA68">
        <f>S68*Constants!$D$18</f>
        <v>0</v>
      </c>
      <c r="AB68">
        <f>T68*Constants!$D$17</f>
        <v>6.9262428049096121</v>
      </c>
      <c r="AC68" s="156">
        <f>U68*Constants!$D$3</f>
        <v>1.7868442964196505</v>
      </c>
      <c r="AD68" s="156">
        <f>V68*Constants!$D$4</f>
        <v>0</v>
      </c>
      <c r="AE68" s="156">
        <f>W68*Constants!$D$6</f>
        <v>0</v>
      </c>
      <c r="AF68" s="156">
        <f>P68*Constants!$E$12</f>
        <v>0</v>
      </c>
      <c r="AG68" s="156">
        <f>Q68*Constants!$E$11</f>
        <v>0</v>
      </c>
      <c r="AH68" s="156">
        <f>R68*Constants!$E$13</f>
        <v>0</v>
      </c>
      <c r="AI68" s="156">
        <f>S68*Constants!$E$18</f>
        <v>0</v>
      </c>
      <c r="AJ68" s="156">
        <f>T68*Constants!$E$17</f>
        <v>31.350362169590873</v>
      </c>
      <c r="AK68" s="156">
        <f>U68*Constants!$E$3</f>
        <v>7.1473771856786019</v>
      </c>
      <c r="AL68" s="156">
        <f>V68*Constants!$E$4</f>
        <v>0</v>
      </c>
      <c r="AM68">
        <f>W68*Constants!$E$6</f>
        <v>0</v>
      </c>
    </row>
    <row r="69" spans="1:39">
      <c r="A69" s="113">
        <f>'lab journal'!W70</f>
        <v>143.87291666666715</v>
      </c>
      <c r="B69" s="114">
        <v>0</v>
      </c>
      <c r="C69" s="114">
        <v>0</v>
      </c>
      <c r="D69" s="114">
        <v>0</v>
      </c>
      <c r="E69" s="114">
        <v>0</v>
      </c>
      <c r="F69" s="114">
        <v>0</v>
      </c>
      <c r="G69" s="114">
        <v>5</v>
      </c>
      <c r="H69">
        <v>11.73</v>
      </c>
      <c r="I69" t="s">
        <v>202</v>
      </c>
      <c r="J69" t="s">
        <v>202</v>
      </c>
      <c r="K69" s="115">
        <f t="shared" si="8"/>
        <v>0</v>
      </c>
      <c r="L69" s="115">
        <f t="shared" si="9"/>
        <v>0</v>
      </c>
      <c r="M69" s="115">
        <f t="shared" si="10"/>
        <v>0</v>
      </c>
      <c r="N69" s="115">
        <f t="shared" si="11"/>
        <v>0</v>
      </c>
      <c r="O69" s="115">
        <v>100</v>
      </c>
      <c r="P69" s="202">
        <f>K69/Constants!$C$12</f>
        <v>0</v>
      </c>
      <c r="Q69" s="202">
        <f>L69/Constants!$C$11</f>
        <v>0</v>
      </c>
      <c r="R69" s="202">
        <f>M69/Constants!$C$13</f>
        <v>0</v>
      </c>
      <c r="S69" s="202">
        <f>N69/Constants!$C$18</f>
        <v>0</v>
      </c>
      <c r="T69" s="202">
        <f>O69/Constants!$C$17</f>
        <v>0.36453909499524273</v>
      </c>
      <c r="U69" s="202">
        <f>IF(H69="n.a.", 0, H69*G69/Constants!$C$3)</f>
        <v>0.97668609492089942</v>
      </c>
      <c r="V69" s="202">
        <f>IF(I69="n.a.", 0, I69*G69/Constants!$C$4)</f>
        <v>0</v>
      </c>
      <c r="W69" s="202">
        <f>IF(J69="n.a.", 0, J69*G69/Constants!$C$6)</f>
        <v>0</v>
      </c>
      <c r="X69">
        <f>P69*Constants!$D$12</f>
        <v>0</v>
      </c>
      <c r="Y69">
        <f>Q69*Constants!$D$11</f>
        <v>0</v>
      </c>
      <c r="Z69">
        <f>R69*Constants!$D$13</f>
        <v>0</v>
      </c>
      <c r="AA69">
        <f>S69*Constants!$D$18</f>
        <v>0</v>
      </c>
      <c r="AB69">
        <f>T69*Constants!$D$17</f>
        <v>6.9262428049096121</v>
      </c>
      <c r="AC69" s="156">
        <f>U69*Constants!$D$3</f>
        <v>1.9533721898417988</v>
      </c>
      <c r="AD69" s="156">
        <f>V69*Constants!$D$4</f>
        <v>0</v>
      </c>
      <c r="AE69" s="156">
        <f>W69*Constants!$D$6</f>
        <v>0</v>
      </c>
      <c r="AF69" s="156">
        <f>P69*Constants!$E$12</f>
        <v>0</v>
      </c>
      <c r="AG69" s="156">
        <f>Q69*Constants!$E$11</f>
        <v>0</v>
      </c>
      <c r="AH69" s="156">
        <f>R69*Constants!$E$13</f>
        <v>0</v>
      </c>
      <c r="AI69" s="156">
        <f>S69*Constants!$E$18</f>
        <v>0</v>
      </c>
      <c r="AJ69" s="156">
        <f>T69*Constants!$E$17</f>
        <v>31.350362169590873</v>
      </c>
      <c r="AK69" s="156">
        <f>U69*Constants!$E$3</f>
        <v>7.8134887593671953</v>
      </c>
      <c r="AL69" s="156">
        <f>V69*Constants!$E$4</f>
        <v>0</v>
      </c>
      <c r="AM69">
        <f>W69*Constants!$E$6</f>
        <v>0</v>
      </c>
    </row>
    <row r="70" spans="1:39">
      <c r="A70" s="113">
        <f>'lab journal'!W71</f>
        <v>145.82013888889196</v>
      </c>
      <c r="B70" s="114">
        <v>0</v>
      </c>
      <c r="C70" s="114">
        <v>0</v>
      </c>
      <c r="D70" s="114">
        <v>0</v>
      </c>
      <c r="E70" s="114">
        <v>0</v>
      </c>
      <c r="F70" s="114">
        <v>0</v>
      </c>
      <c r="G70" s="114">
        <v>5</v>
      </c>
      <c r="H70">
        <v>12.73</v>
      </c>
      <c r="I70" t="s">
        <v>202</v>
      </c>
      <c r="J70" t="s">
        <v>202</v>
      </c>
      <c r="K70" s="115">
        <f t="shared" si="8"/>
        <v>0</v>
      </c>
      <c r="L70" s="115">
        <f t="shared" si="9"/>
        <v>0</v>
      </c>
      <c r="M70" s="115">
        <f t="shared" si="10"/>
        <v>0</v>
      </c>
      <c r="N70" s="115">
        <f t="shared" si="11"/>
        <v>0</v>
      </c>
      <c r="O70" s="115">
        <v>100</v>
      </c>
      <c r="P70" s="202">
        <f>K70/Constants!$C$12</f>
        <v>0</v>
      </c>
      <c r="Q70" s="202">
        <f>L70/Constants!$C$11</f>
        <v>0</v>
      </c>
      <c r="R70" s="202">
        <f>M70/Constants!$C$13</f>
        <v>0</v>
      </c>
      <c r="S70" s="202">
        <f>N70/Constants!$C$18</f>
        <v>0</v>
      </c>
      <c r="T70" s="202">
        <f>O70/Constants!$C$17</f>
        <v>0.36453909499524273</v>
      </c>
      <c r="U70" s="202">
        <f>IF(H70="n.a.", 0, H70*G70/Constants!$C$3)</f>
        <v>1.0599500416319736</v>
      </c>
      <c r="V70" s="202">
        <f>IF(I70="n.a.", 0, I70*G70/Constants!$C$4)</f>
        <v>0</v>
      </c>
      <c r="W70" s="202">
        <f>IF(J70="n.a.", 0, J70*G70/Constants!$C$6)</f>
        <v>0</v>
      </c>
      <c r="X70">
        <f>P70*Constants!$D$12</f>
        <v>0</v>
      </c>
      <c r="Y70">
        <f>Q70*Constants!$D$11</f>
        <v>0</v>
      </c>
      <c r="Z70">
        <f>R70*Constants!$D$13</f>
        <v>0</v>
      </c>
      <c r="AA70">
        <f>S70*Constants!$D$18</f>
        <v>0</v>
      </c>
      <c r="AB70">
        <f>T70*Constants!$D$17</f>
        <v>6.9262428049096121</v>
      </c>
      <c r="AC70" s="156">
        <f>U70*Constants!$D$3</f>
        <v>2.1199000832639472</v>
      </c>
      <c r="AD70" s="156">
        <f>V70*Constants!$D$4</f>
        <v>0</v>
      </c>
      <c r="AE70" s="156">
        <f>W70*Constants!$D$6</f>
        <v>0</v>
      </c>
      <c r="AF70" s="156">
        <f>P70*Constants!$E$12</f>
        <v>0</v>
      </c>
      <c r="AG70" s="156">
        <f>Q70*Constants!$E$11</f>
        <v>0</v>
      </c>
      <c r="AH70" s="156">
        <f>R70*Constants!$E$13</f>
        <v>0</v>
      </c>
      <c r="AI70" s="156">
        <f>S70*Constants!$E$18</f>
        <v>0</v>
      </c>
      <c r="AJ70" s="156">
        <f>T70*Constants!$E$17</f>
        <v>31.350362169590873</v>
      </c>
      <c r="AK70" s="156">
        <f>U70*Constants!$E$3</f>
        <v>8.4796003330557888</v>
      </c>
      <c r="AL70" s="156">
        <f>V70*Constants!$E$4</f>
        <v>0</v>
      </c>
      <c r="AM70">
        <f>W70*Constants!$E$6</f>
        <v>0</v>
      </c>
    </row>
    <row r="71" spans="1:39">
      <c r="A71" s="113">
        <f>'lab journal'!W72</f>
        <v>147.87291666666715</v>
      </c>
      <c r="B71" s="114">
        <v>0</v>
      </c>
      <c r="C71" s="114">
        <v>0</v>
      </c>
      <c r="D71" s="114">
        <v>0</v>
      </c>
      <c r="E71" s="114">
        <v>0</v>
      </c>
      <c r="F71" s="114">
        <v>0</v>
      </c>
      <c r="G71" s="114">
        <v>5</v>
      </c>
      <c r="H71">
        <v>13.73</v>
      </c>
      <c r="I71" t="s">
        <v>202</v>
      </c>
      <c r="J71" t="s">
        <v>202</v>
      </c>
      <c r="K71" s="115">
        <f t="shared" si="8"/>
        <v>0</v>
      </c>
      <c r="L71" s="115">
        <f t="shared" si="9"/>
        <v>0</v>
      </c>
      <c r="M71" s="115">
        <f t="shared" si="10"/>
        <v>0</v>
      </c>
      <c r="N71" s="115">
        <f t="shared" si="11"/>
        <v>0</v>
      </c>
      <c r="O71" s="115">
        <v>100</v>
      </c>
      <c r="P71" s="202">
        <f>K71/Constants!$C$12</f>
        <v>0</v>
      </c>
      <c r="Q71" s="202">
        <f>L71/Constants!$C$11</f>
        <v>0</v>
      </c>
      <c r="R71" s="202">
        <f>M71/Constants!$C$13</f>
        <v>0</v>
      </c>
      <c r="S71" s="202">
        <f>N71/Constants!$C$18</f>
        <v>0</v>
      </c>
      <c r="T71" s="202">
        <f>O71/Constants!$C$17</f>
        <v>0.36453909499524273</v>
      </c>
      <c r="U71" s="202">
        <f>IF(H71="n.a.", 0, H71*G71/Constants!$C$3)</f>
        <v>1.1432139883430477</v>
      </c>
      <c r="V71" s="202">
        <f>IF(I71="n.a.", 0, I71*G71/Constants!$C$4)</f>
        <v>0</v>
      </c>
      <c r="W71" s="202">
        <f>IF(J71="n.a.", 0, J71*G71/Constants!$C$6)</f>
        <v>0</v>
      </c>
      <c r="X71">
        <f>P71*Constants!$D$12</f>
        <v>0</v>
      </c>
      <c r="Y71">
        <f>Q71*Constants!$D$11</f>
        <v>0</v>
      </c>
      <c r="Z71">
        <f>R71*Constants!$D$13</f>
        <v>0</v>
      </c>
      <c r="AA71">
        <f>S71*Constants!$D$18</f>
        <v>0</v>
      </c>
      <c r="AB71">
        <f>T71*Constants!$D$17</f>
        <v>6.9262428049096121</v>
      </c>
      <c r="AC71" s="156">
        <f>U71*Constants!$D$3</f>
        <v>2.2864279766860953</v>
      </c>
      <c r="AD71" s="156">
        <f>V71*Constants!$D$4</f>
        <v>0</v>
      </c>
      <c r="AE71" s="156">
        <f>W71*Constants!$D$6</f>
        <v>0</v>
      </c>
      <c r="AF71" s="156">
        <f>P71*Constants!$E$12</f>
        <v>0</v>
      </c>
      <c r="AG71" s="156">
        <f>Q71*Constants!$E$11</f>
        <v>0</v>
      </c>
      <c r="AH71" s="156">
        <f>R71*Constants!$E$13</f>
        <v>0</v>
      </c>
      <c r="AI71" s="156">
        <f>S71*Constants!$E$18</f>
        <v>0</v>
      </c>
      <c r="AJ71" s="156">
        <f>T71*Constants!$E$17</f>
        <v>31.350362169590873</v>
      </c>
      <c r="AK71" s="156">
        <f>U71*Constants!$E$3</f>
        <v>9.1457119067443813</v>
      </c>
      <c r="AL71" s="156">
        <f>V71*Constants!$E$4</f>
        <v>0</v>
      </c>
      <c r="AM71">
        <f>W71*Constants!$E$6</f>
        <v>0</v>
      </c>
    </row>
    <row r="72" spans="1:39">
      <c r="A72" s="113">
        <f>'lab journal'!W73</f>
        <v>150.87013888889487</v>
      </c>
      <c r="B72" s="114">
        <v>0</v>
      </c>
      <c r="C72" s="114">
        <v>0</v>
      </c>
      <c r="D72" s="114">
        <v>0</v>
      </c>
      <c r="E72" s="114">
        <v>0</v>
      </c>
      <c r="F72" s="114">
        <v>0</v>
      </c>
      <c r="G72" s="114">
        <v>5</v>
      </c>
      <c r="H72">
        <v>14.73</v>
      </c>
      <c r="I72" t="s">
        <v>202</v>
      </c>
      <c r="J72" t="s">
        <v>202</v>
      </c>
      <c r="K72" s="115">
        <f t="shared" si="8"/>
        <v>0</v>
      </c>
      <c r="L72" s="115">
        <f t="shared" si="9"/>
        <v>0</v>
      </c>
      <c r="M72" s="115">
        <f t="shared" si="10"/>
        <v>0</v>
      </c>
      <c r="N72" s="115">
        <f t="shared" si="11"/>
        <v>0</v>
      </c>
      <c r="O72" s="115">
        <v>100</v>
      </c>
      <c r="P72" s="202">
        <f>K72/Constants!$C$12</f>
        <v>0</v>
      </c>
      <c r="Q72" s="202">
        <f>L72/Constants!$C$11</f>
        <v>0</v>
      </c>
      <c r="R72" s="202">
        <f>M72/Constants!$C$13</f>
        <v>0</v>
      </c>
      <c r="S72" s="202">
        <f>N72/Constants!$C$18</f>
        <v>0</v>
      </c>
      <c r="T72" s="202">
        <f>O72/Constants!$C$17</f>
        <v>0.36453909499524273</v>
      </c>
      <c r="U72" s="202">
        <f>IF(H72="n.a.", 0, H72*G72/Constants!$C$3)</f>
        <v>1.2264779350541217</v>
      </c>
      <c r="V72" s="202">
        <f>IF(I72="n.a.", 0, I72*G72/Constants!$C$4)</f>
        <v>0</v>
      </c>
      <c r="W72" s="202">
        <f>IF(J72="n.a.", 0, J72*G72/Constants!$C$6)</f>
        <v>0</v>
      </c>
      <c r="X72">
        <f>P72*Constants!$D$12</f>
        <v>0</v>
      </c>
      <c r="Y72">
        <f>Q72*Constants!$D$11</f>
        <v>0</v>
      </c>
      <c r="Z72">
        <f>R72*Constants!$D$13</f>
        <v>0</v>
      </c>
      <c r="AA72">
        <f>S72*Constants!$D$18</f>
        <v>0</v>
      </c>
      <c r="AB72">
        <f>T72*Constants!$D$17</f>
        <v>6.9262428049096121</v>
      </c>
      <c r="AC72" s="156">
        <f>U72*Constants!$D$3</f>
        <v>2.4529558701082435</v>
      </c>
      <c r="AD72" s="156">
        <f>V72*Constants!$D$4</f>
        <v>0</v>
      </c>
      <c r="AE72" s="156">
        <f>W72*Constants!$D$6</f>
        <v>0</v>
      </c>
      <c r="AF72" s="156">
        <f>P72*Constants!$E$12</f>
        <v>0</v>
      </c>
      <c r="AG72" s="156">
        <f>Q72*Constants!$E$11</f>
        <v>0</v>
      </c>
      <c r="AH72" s="156">
        <f>R72*Constants!$E$13</f>
        <v>0</v>
      </c>
      <c r="AI72" s="156">
        <f>S72*Constants!$E$18</f>
        <v>0</v>
      </c>
      <c r="AJ72" s="156">
        <f>T72*Constants!$E$17</f>
        <v>31.350362169590873</v>
      </c>
      <c r="AK72" s="156">
        <f>U72*Constants!$E$3</f>
        <v>9.8118234804329738</v>
      </c>
      <c r="AL72" s="156">
        <f>V72*Constants!$E$4</f>
        <v>0</v>
      </c>
      <c r="AM72">
        <f>W72*Constants!$E$6</f>
        <v>0</v>
      </c>
    </row>
    <row r="73" spans="1:39">
      <c r="A73" s="113">
        <f>'lab journal'!W74</f>
        <v>152.88333333333867</v>
      </c>
      <c r="B73" s="114">
        <v>0</v>
      </c>
      <c r="C73" s="114">
        <v>0</v>
      </c>
      <c r="D73" s="114">
        <v>0</v>
      </c>
      <c r="E73" s="114">
        <v>0</v>
      </c>
      <c r="F73" s="114">
        <v>0</v>
      </c>
      <c r="G73" s="114">
        <v>5</v>
      </c>
      <c r="H73">
        <v>15.73</v>
      </c>
      <c r="I73" t="s">
        <v>202</v>
      </c>
      <c r="J73" t="s">
        <v>202</v>
      </c>
      <c r="K73" s="115">
        <f t="shared" si="8"/>
        <v>0</v>
      </c>
      <c r="L73" s="115">
        <f t="shared" si="9"/>
        <v>0</v>
      </c>
      <c r="M73" s="115">
        <f t="shared" si="10"/>
        <v>0</v>
      </c>
      <c r="N73" s="115">
        <f t="shared" si="11"/>
        <v>0</v>
      </c>
      <c r="O73" s="115">
        <v>100</v>
      </c>
      <c r="P73" s="202">
        <f>K73/Constants!$C$12</f>
        <v>0</v>
      </c>
      <c r="Q73" s="202">
        <f>L73/Constants!$C$11</f>
        <v>0</v>
      </c>
      <c r="R73" s="202">
        <f>M73/Constants!$C$13</f>
        <v>0</v>
      </c>
      <c r="S73" s="202">
        <f>N73/Constants!$C$18</f>
        <v>0</v>
      </c>
      <c r="T73" s="202">
        <f>O73/Constants!$C$17</f>
        <v>0.36453909499524273</v>
      </c>
      <c r="U73" s="202">
        <f>IF(H73="n.a.", 0, H73*G73/Constants!$C$3)</f>
        <v>1.3097418817651958</v>
      </c>
      <c r="V73" s="202">
        <f>IF(I73="n.a.", 0, I73*G73/Constants!$C$4)</f>
        <v>0</v>
      </c>
      <c r="W73" s="202">
        <f>IF(J73="n.a.", 0, J73*G73/Constants!$C$6)</f>
        <v>0</v>
      </c>
      <c r="X73">
        <f>P73*Constants!$D$12</f>
        <v>0</v>
      </c>
      <c r="Y73">
        <f>Q73*Constants!$D$11</f>
        <v>0</v>
      </c>
      <c r="Z73">
        <f>R73*Constants!$D$13</f>
        <v>0</v>
      </c>
      <c r="AA73">
        <f>S73*Constants!$D$18</f>
        <v>0</v>
      </c>
      <c r="AB73">
        <f>T73*Constants!$D$17</f>
        <v>6.9262428049096121</v>
      </c>
      <c r="AC73" s="156">
        <f>U73*Constants!$D$3</f>
        <v>2.6194837635303916</v>
      </c>
      <c r="AD73" s="156">
        <f>V73*Constants!$D$4</f>
        <v>0</v>
      </c>
      <c r="AE73" s="156">
        <f>W73*Constants!$D$6</f>
        <v>0</v>
      </c>
      <c r="AF73" s="156">
        <f>P73*Constants!$E$12</f>
        <v>0</v>
      </c>
      <c r="AG73" s="156">
        <f>Q73*Constants!$E$11</f>
        <v>0</v>
      </c>
      <c r="AH73" s="156">
        <f>R73*Constants!$E$13</f>
        <v>0</v>
      </c>
      <c r="AI73" s="156">
        <f>S73*Constants!$E$18</f>
        <v>0</v>
      </c>
      <c r="AJ73" s="156">
        <f>T73*Constants!$E$17</f>
        <v>31.350362169590873</v>
      </c>
      <c r="AK73" s="156">
        <f>U73*Constants!$E$3</f>
        <v>10.477935054121566</v>
      </c>
      <c r="AL73" s="156">
        <f>V73*Constants!$E$4</f>
        <v>0</v>
      </c>
      <c r="AM73">
        <f>W73*Constants!$E$6</f>
        <v>0</v>
      </c>
    </row>
    <row r="74" spans="1:39">
      <c r="A74" s="113">
        <f>'lab journal'!W75</f>
        <v>155.00763888889196</v>
      </c>
      <c r="B74" s="114">
        <v>0</v>
      </c>
      <c r="C74" s="114">
        <v>0</v>
      </c>
      <c r="D74" s="114">
        <v>0</v>
      </c>
      <c r="E74" s="114">
        <v>0</v>
      </c>
      <c r="F74" s="114">
        <v>0</v>
      </c>
      <c r="G74" s="114">
        <v>5</v>
      </c>
      <c r="H74">
        <v>16.73</v>
      </c>
      <c r="I74" t="s">
        <v>202</v>
      </c>
      <c r="J74" t="s">
        <v>202</v>
      </c>
      <c r="K74" s="115">
        <f t="shared" si="8"/>
        <v>0</v>
      </c>
      <c r="L74" s="115">
        <f t="shared" si="9"/>
        <v>0</v>
      </c>
      <c r="M74" s="115">
        <f t="shared" si="10"/>
        <v>0</v>
      </c>
      <c r="N74" s="115">
        <f t="shared" si="11"/>
        <v>0</v>
      </c>
      <c r="O74" s="115">
        <v>100</v>
      </c>
      <c r="P74" s="202">
        <f>K74/Constants!$C$12</f>
        <v>0</v>
      </c>
      <c r="Q74" s="202">
        <f>L74/Constants!$C$11</f>
        <v>0</v>
      </c>
      <c r="R74" s="202">
        <f>M74/Constants!$C$13</f>
        <v>0</v>
      </c>
      <c r="S74" s="202">
        <f>N74/Constants!$C$18</f>
        <v>0</v>
      </c>
      <c r="T74" s="202">
        <f>O74/Constants!$C$17</f>
        <v>0.36453909499524273</v>
      </c>
      <c r="U74" s="202">
        <f>IF(H74="n.a.", 0, H74*G74/Constants!$C$3)</f>
        <v>1.3930058284762699</v>
      </c>
      <c r="V74" s="202">
        <f>IF(I74="n.a.", 0, I74*G74/Constants!$C$4)</f>
        <v>0</v>
      </c>
      <c r="W74" s="202">
        <f>IF(J74="n.a.", 0, J74*G74/Constants!$C$6)</f>
        <v>0</v>
      </c>
      <c r="X74">
        <f>P74*Constants!$D$12</f>
        <v>0</v>
      </c>
      <c r="Y74">
        <f>Q74*Constants!$D$11</f>
        <v>0</v>
      </c>
      <c r="Z74">
        <f>R74*Constants!$D$13</f>
        <v>0</v>
      </c>
      <c r="AA74">
        <f>S74*Constants!$D$18</f>
        <v>0</v>
      </c>
      <c r="AB74">
        <f>T74*Constants!$D$17</f>
        <v>6.9262428049096121</v>
      </c>
      <c r="AC74" s="156">
        <f>U74*Constants!$D$3</f>
        <v>2.7860116569525397</v>
      </c>
      <c r="AD74" s="156">
        <f>V74*Constants!$D$4</f>
        <v>0</v>
      </c>
      <c r="AE74" s="156">
        <f>W74*Constants!$D$6</f>
        <v>0</v>
      </c>
      <c r="AF74" s="156">
        <f>P74*Constants!$E$12</f>
        <v>0</v>
      </c>
      <c r="AG74" s="156">
        <f>Q74*Constants!$E$11</f>
        <v>0</v>
      </c>
      <c r="AH74" s="156">
        <f>R74*Constants!$E$13</f>
        <v>0</v>
      </c>
      <c r="AI74" s="156">
        <f>S74*Constants!$E$18</f>
        <v>0</v>
      </c>
      <c r="AJ74" s="156">
        <f>T74*Constants!$E$17</f>
        <v>31.350362169590873</v>
      </c>
      <c r="AK74" s="156">
        <f>U74*Constants!$E$3</f>
        <v>11.144046627810159</v>
      </c>
      <c r="AL74" s="156">
        <f>V74*Constants!$E$4</f>
        <v>0</v>
      </c>
      <c r="AM74">
        <f>W74*Constants!$E$6</f>
        <v>0</v>
      </c>
    </row>
    <row r="75" spans="1:39">
      <c r="A75" s="113">
        <f>'lab journal'!W76</f>
        <v>157.87638888889342</v>
      </c>
      <c r="B75" s="114">
        <v>0</v>
      </c>
      <c r="C75" s="114">
        <v>0</v>
      </c>
      <c r="D75" s="114">
        <v>0</v>
      </c>
      <c r="E75" s="114">
        <v>0</v>
      </c>
      <c r="F75" s="114">
        <v>0</v>
      </c>
      <c r="G75" s="114">
        <v>5</v>
      </c>
      <c r="H75">
        <v>17.73</v>
      </c>
      <c r="I75" t="s">
        <v>202</v>
      </c>
      <c r="J75" t="s">
        <v>202</v>
      </c>
      <c r="K75" s="115">
        <f t="shared" si="8"/>
        <v>0</v>
      </c>
      <c r="L75" s="115">
        <f t="shared" si="9"/>
        <v>0</v>
      </c>
      <c r="M75" s="115">
        <f t="shared" si="10"/>
        <v>0</v>
      </c>
      <c r="N75" s="115">
        <f t="shared" si="11"/>
        <v>0</v>
      </c>
      <c r="O75" s="115">
        <v>100</v>
      </c>
      <c r="P75" s="202">
        <f>K75/Constants!$C$12</f>
        <v>0</v>
      </c>
      <c r="Q75" s="202">
        <f>L75/Constants!$C$11</f>
        <v>0</v>
      </c>
      <c r="R75" s="202">
        <f>M75/Constants!$C$13</f>
        <v>0</v>
      </c>
      <c r="S75" s="202">
        <f>N75/Constants!$C$18</f>
        <v>0</v>
      </c>
      <c r="T75" s="202">
        <f>O75/Constants!$C$17</f>
        <v>0.36453909499524273</v>
      </c>
      <c r="U75" s="202">
        <f>IF(H75="n.a.", 0, H75*G75/Constants!$C$3)</f>
        <v>1.4762697751873441</v>
      </c>
      <c r="V75" s="202">
        <f>IF(I75="n.a.", 0, I75*G75/Constants!$C$4)</f>
        <v>0</v>
      </c>
      <c r="W75" s="202">
        <f>IF(J75="n.a.", 0, J75*G75/Constants!$C$6)</f>
        <v>0</v>
      </c>
      <c r="X75">
        <f>P75*Constants!$D$12</f>
        <v>0</v>
      </c>
      <c r="Y75">
        <f>Q75*Constants!$D$11</f>
        <v>0</v>
      </c>
      <c r="Z75">
        <f>R75*Constants!$D$13</f>
        <v>0</v>
      </c>
      <c r="AA75">
        <f>S75*Constants!$D$18</f>
        <v>0</v>
      </c>
      <c r="AB75">
        <f>T75*Constants!$D$17</f>
        <v>6.9262428049096121</v>
      </c>
      <c r="AC75" s="156">
        <f>U75*Constants!$D$3</f>
        <v>2.9525395503746883</v>
      </c>
      <c r="AD75" s="156">
        <f>V75*Constants!$D$4</f>
        <v>0</v>
      </c>
      <c r="AE75" s="156">
        <f>W75*Constants!$D$6</f>
        <v>0</v>
      </c>
      <c r="AF75" s="156">
        <f>P75*Constants!$E$12</f>
        <v>0</v>
      </c>
      <c r="AG75" s="156">
        <f>Q75*Constants!$E$11</f>
        <v>0</v>
      </c>
      <c r="AH75" s="156">
        <f>R75*Constants!$E$13</f>
        <v>0</v>
      </c>
      <c r="AI75" s="156">
        <f>S75*Constants!$E$18</f>
        <v>0</v>
      </c>
      <c r="AJ75" s="156">
        <f>T75*Constants!$E$17</f>
        <v>31.350362169590873</v>
      </c>
      <c r="AK75" s="156">
        <f>U75*Constants!$E$3</f>
        <v>11.810158201498753</v>
      </c>
      <c r="AL75" s="156">
        <f>V75*Constants!$E$4</f>
        <v>0</v>
      </c>
      <c r="AM75">
        <f>W75*Constants!$E$6</f>
        <v>0</v>
      </c>
    </row>
    <row r="76" spans="1:39">
      <c r="A76" s="113">
        <f>'lab journal'!W77</f>
        <v>159.9152777777781</v>
      </c>
      <c r="B76" s="114">
        <v>0</v>
      </c>
      <c r="C76" s="114">
        <v>0</v>
      </c>
      <c r="D76" s="114">
        <v>0</v>
      </c>
      <c r="E76" s="114">
        <v>0</v>
      </c>
      <c r="F76" s="114">
        <v>0</v>
      </c>
      <c r="G76" s="114">
        <v>5</v>
      </c>
      <c r="H76">
        <v>18.73</v>
      </c>
      <c r="I76" t="s">
        <v>202</v>
      </c>
      <c r="J76" t="s">
        <v>202</v>
      </c>
      <c r="K76" s="115">
        <f t="shared" si="8"/>
        <v>0</v>
      </c>
      <c r="L76" s="115">
        <f t="shared" si="9"/>
        <v>0</v>
      </c>
      <c r="M76" s="115">
        <f t="shared" si="10"/>
        <v>0</v>
      </c>
      <c r="N76" s="115">
        <f t="shared" si="11"/>
        <v>0</v>
      </c>
      <c r="O76" s="115">
        <v>100</v>
      </c>
      <c r="P76" s="202">
        <f>K76/Constants!$C$12</f>
        <v>0</v>
      </c>
      <c r="Q76" s="202">
        <f>L76/Constants!$C$11</f>
        <v>0</v>
      </c>
      <c r="R76" s="202">
        <f>M76/Constants!$C$13</f>
        <v>0</v>
      </c>
      <c r="S76" s="202">
        <f>N76/Constants!$C$18</f>
        <v>0</v>
      </c>
      <c r="T76" s="202">
        <f>O76/Constants!$C$17</f>
        <v>0.36453909499524273</v>
      </c>
      <c r="U76" s="202">
        <f>IF(H76="n.a.", 0, H76*G76/Constants!$C$3)</f>
        <v>1.5595337218984182</v>
      </c>
      <c r="V76" s="202">
        <f>IF(I76="n.a.", 0, I76*G76/Constants!$C$4)</f>
        <v>0</v>
      </c>
      <c r="W76" s="202">
        <f>IF(J76="n.a.", 0, J76*G76/Constants!$C$6)</f>
        <v>0</v>
      </c>
      <c r="X76">
        <f>P76*Constants!$D$12</f>
        <v>0</v>
      </c>
      <c r="Y76">
        <f>Q76*Constants!$D$11</f>
        <v>0</v>
      </c>
      <c r="Z76">
        <f>R76*Constants!$D$13</f>
        <v>0</v>
      </c>
      <c r="AA76">
        <f>S76*Constants!$D$18</f>
        <v>0</v>
      </c>
      <c r="AB76">
        <f>T76*Constants!$D$17</f>
        <v>6.9262428049096121</v>
      </c>
      <c r="AC76" s="156">
        <f>U76*Constants!$D$3</f>
        <v>3.1190674437968364</v>
      </c>
      <c r="AD76" s="156">
        <f>V76*Constants!$D$4</f>
        <v>0</v>
      </c>
      <c r="AE76" s="156">
        <f>W76*Constants!$D$6</f>
        <v>0</v>
      </c>
      <c r="AF76" s="156">
        <f>P76*Constants!$E$12</f>
        <v>0</v>
      </c>
      <c r="AG76" s="156">
        <f>Q76*Constants!$E$11</f>
        <v>0</v>
      </c>
      <c r="AH76" s="156">
        <f>R76*Constants!$E$13</f>
        <v>0</v>
      </c>
      <c r="AI76" s="156">
        <f>S76*Constants!$E$18</f>
        <v>0</v>
      </c>
      <c r="AJ76" s="156">
        <f>T76*Constants!$E$17</f>
        <v>31.350362169590873</v>
      </c>
      <c r="AK76" s="156">
        <f>U76*Constants!$E$3</f>
        <v>12.476269775187346</v>
      </c>
      <c r="AL76" s="156">
        <f>V76*Constants!$E$4</f>
        <v>0</v>
      </c>
      <c r="AM76">
        <f>W76*Constants!$E$6</f>
        <v>0</v>
      </c>
    </row>
    <row r="77" spans="1:39">
      <c r="A77" s="113">
        <f>'lab journal'!W78</f>
        <v>161.89444444444962</v>
      </c>
      <c r="B77" s="114">
        <v>0</v>
      </c>
      <c r="C77" s="114">
        <v>0</v>
      </c>
      <c r="D77" s="114">
        <v>0</v>
      </c>
      <c r="E77" s="114">
        <v>0</v>
      </c>
      <c r="F77" s="114">
        <v>0</v>
      </c>
      <c r="G77" s="114">
        <v>5</v>
      </c>
      <c r="H77">
        <v>19.73</v>
      </c>
      <c r="I77" t="s">
        <v>202</v>
      </c>
      <c r="J77" t="s">
        <v>202</v>
      </c>
      <c r="K77" s="115">
        <f t="shared" si="8"/>
        <v>0</v>
      </c>
      <c r="L77" s="115">
        <f t="shared" si="9"/>
        <v>0</v>
      </c>
      <c r="M77" s="115">
        <f t="shared" si="10"/>
        <v>0</v>
      </c>
      <c r="N77" s="115">
        <f t="shared" si="11"/>
        <v>0</v>
      </c>
      <c r="O77" s="115">
        <v>100</v>
      </c>
      <c r="P77" s="202">
        <f>K77/Constants!$C$12</f>
        <v>0</v>
      </c>
      <c r="Q77" s="202">
        <f>L77/Constants!$C$11</f>
        <v>0</v>
      </c>
      <c r="R77" s="202">
        <f>M77/Constants!$C$13</f>
        <v>0</v>
      </c>
      <c r="S77" s="202">
        <f>N77/Constants!$C$18</f>
        <v>0</v>
      </c>
      <c r="T77" s="202">
        <f>O77/Constants!$C$17</f>
        <v>0.36453909499524273</v>
      </c>
      <c r="U77" s="202">
        <f>IF(H77="n.a.", 0, H77*G77/Constants!$C$3)</f>
        <v>1.6427976686094923</v>
      </c>
      <c r="V77" s="202">
        <f>IF(I77="n.a.", 0, I77*G77/Constants!$C$4)</f>
        <v>0</v>
      </c>
      <c r="W77" s="202">
        <f>IF(J77="n.a.", 0, J77*G77/Constants!$C$6)</f>
        <v>0</v>
      </c>
      <c r="X77">
        <f>P77*Constants!$D$12</f>
        <v>0</v>
      </c>
      <c r="Y77">
        <f>Q77*Constants!$D$11</f>
        <v>0</v>
      </c>
      <c r="Z77">
        <f>R77*Constants!$D$13</f>
        <v>0</v>
      </c>
      <c r="AA77">
        <f>S77*Constants!$D$18</f>
        <v>0</v>
      </c>
      <c r="AB77">
        <f>T77*Constants!$D$17</f>
        <v>6.9262428049096121</v>
      </c>
      <c r="AC77" s="156">
        <f>U77*Constants!$D$3</f>
        <v>3.2855953372189846</v>
      </c>
      <c r="AD77" s="156">
        <f>V77*Constants!$D$4</f>
        <v>0</v>
      </c>
      <c r="AE77" s="156">
        <f>W77*Constants!$D$6</f>
        <v>0</v>
      </c>
      <c r="AF77" s="156">
        <f>P77*Constants!$E$12</f>
        <v>0</v>
      </c>
      <c r="AG77" s="156">
        <f>Q77*Constants!$E$11</f>
        <v>0</v>
      </c>
      <c r="AH77" s="156">
        <f>R77*Constants!$E$13</f>
        <v>0</v>
      </c>
      <c r="AI77" s="156">
        <f>S77*Constants!$E$18</f>
        <v>0</v>
      </c>
      <c r="AJ77" s="156">
        <f>T77*Constants!$E$17</f>
        <v>31.350362169590873</v>
      </c>
      <c r="AK77" s="156">
        <f>U77*Constants!$E$3</f>
        <v>13.142381348875938</v>
      </c>
      <c r="AL77" s="156">
        <f>V77*Constants!$E$4</f>
        <v>0</v>
      </c>
      <c r="AM77">
        <f>W77*Constants!$E$6</f>
        <v>0</v>
      </c>
    </row>
    <row r="78" spans="1:39">
      <c r="A78" s="113">
        <f>'lab journal'!W79</f>
        <v>164.87708333333285</v>
      </c>
      <c r="B78" s="114">
        <v>0</v>
      </c>
      <c r="C78" s="114">
        <v>0</v>
      </c>
      <c r="D78" s="114">
        <v>0</v>
      </c>
      <c r="E78" s="114">
        <v>0</v>
      </c>
      <c r="F78" s="114">
        <v>0</v>
      </c>
      <c r="G78" s="114">
        <v>5</v>
      </c>
      <c r="H78">
        <v>20.73</v>
      </c>
      <c r="I78" t="s">
        <v>202</v>
      </c>
      <c r="J78" t="s">
        <v>202</v>
      </c>
      <c r="K78" s="115">
        <f t="shared" si="8"/>
        <v>0</v>
      </c>
      <c r="L78" s="115">
        <f t="shared" si="9"/>
        <v>0</v>
      </c>
      <c r="M78" s="115">
        <f t="shared" si="10"/>
        <v>0</v>
      </c>
      <c r="N78" s="115">
        <f t="shared" si="11"/>
        <v>0</v>
      </c>
      <c r="O78" s="115">
        <v>100</v>
      </c>
      <c r="P78" s="202">
        <f>K78/Constants!$C$12</f>
        <v>0</v>
      </c>
      <c r="Q78" s="202">
        <f>L78/Constants!$C$11</f>
        <v>0</v>
      </c>
      <c r="R78" s="202">
        <f>M78/Constants!$C$13</f>
        <v>0</v>
      </c>
      <c r="S78" s="202">
        <f>N78/Constants!$C$18</f>
        <v>0</v>
      </c>
      <c r="T78" s="202">
        <f>O78/Constants!$C$17</f>
        <v>0.36453909499524273</v>
      </c>
      <c r="U78" s="202">
        <f>IF(H78="n.a.", 0, H78*G78/Constants!$C$3)</f>
        <v>1.7260616153205663</v>
      </c>
      <c r="V78" s="202">
        <f>IF(I78="n.a.", 0, I78*G78/Constants!$C$4)</f>
        <v>0</v>
      </c>
      <c r="W78" s="202">
        <f>IF(J78="n.a.", 0, J78*G78/Constants!$C$6)</f>
        <v>0</v>
      </c>
      <c r="X78">
        <f>P78*Constants!$D$12</f>
        <v>0</v>
      </c>
      <c r="Y78">
        <f>Q78*Constants!$D$11</f>
        <v>0</v>
      </c>
      <c r="Z78">
        <f>R78*Constants!$D$13</f>
        <v>0</v>
      </c>
      <c r="AA78">
        <f>S78*Constants!$D$18</f>
        <v>0</v>
      </c>
      <c r="AB78">
        <f>T78*Constants!$D$17</f>
        <v>6.9262428049096121</v>
      </c>
      <c r="AC78" s="156">
        <f>U78*Constants!$D$3</f>
        <v>3.4521232306411327</v>
      </c>
      <c r="AD78" s="156">
        <f>V78*Constants!$D$4</f>
        <v>0</v>
      </c>
      <c r="AE78" s="156">
        <f>W78*Constants!$D$6</f>
        <v>0</v>
      </c>
      <c r="AF78" s="156">
        <f>P78*Constants!$E$12</f>
        <v>0</v>
      </c>
      <c r="AG78" s="156">
        <f>Q78*Constants!$E$11</f>
        <v>0</v>
      </c>
      <c r="AH78" s="156">
        <f>R78*Constants!$E$13</f>
        <v>0</v>
      </c>
      <c r="AI78" s="156">
        <f>S78*Constants!$E$18</f>
        <v>0</v>
      </c>
      <c r="AJ78" s="156">
        <f>T78*Constants!$E$17</f>
        <v>31.350362169590873</v>
      </c>
      <c r="AK78" s="156">
        <f>U78*Constants!$E$3</f>
        <v>13.808492922564531</v>
      </c>
      <c r="AL78" s="156">
        <f>V78*Constants!$E$4</f>
        <v>0</v>
      </c>
      <c r="AM78">
        <f>W78*Constants!$E$6</f>
        <v>0</v>
      </c>
    </row>
    <row r="79" spans="1:39">
      <c r="A79" s="113">
        <f>'lab journal'!W80</f>
        <v>166.88680555555766</v>
      </c>
      <c r="B79" s="114">
        <v>0</v>
      </c>
      <c r="C79" s="114">
        <v>0</v>
      </c>
      <c r="D79" s="114">
        <v>0</v>
      </c>
      <c r="E79" s="114">
        <v>0</v>
      </c>
      <c r="F79" s="114">
        <v>0</v>
      </c>
      <c r="G79" s="114">
        <v>5</v>
      </c>
      <c r="H79">
        <v>2.67</v>
      </c>
      <c r="I79" t="s">
        <v>202</v>
      </c>
      <c r="J79" t="s">
        <v>202</v>
      </c>
      <c r="K79" s="115">
        <f t="shared" si="8"/>
        <v>0</v>
      </c>
      <c r="L79" s="115">
        <f t="shared" si="9"/>
        <v>0</v>
      </c>
      <c r="M79" s="115">
        <f t="shared" si="10"/>
        <v>0</v>
      </c>
      <c r="N79" s="115">
        <f t="shared" si="11"/>
        <v>0</v>
      </c>
      <c r="O79" s="115">
        <v>100</v>
      </c>
      <c r="P79" s="202">
        <f>K79/Constants!$C$12</f>
        <v>0</v>
      </c>
      <c r="Q79" s="202">
        <f>L79/Constants!$C$11</f>
        <v>0</v>
      </c>
      <c r="R79" s="202">
        <f>M79/Constants!$C$13</f>
        <v>0</v>
      </c>
      <c r="S79" s="202">
        <f>N79/Constants!$C$18</f>
        <v>0</v>
      </c>
      <c r="T79" s="202">
        <f>O79/Constants!$C$17</f>
        <v>0.36453909499524273</v>
      </c>
      <c r="U79" s="202">
        <f>IF(H79="n.a.", 0, H79*G79/Constants!$C$3)</f>
        <v>0.22231473771856786</v>
      </c>
      <c r="V79" s="202">
        <f>IF(I79="n.a.", 0, I79*G79/Constants!$C$4)</f>
        <v>0</v>
      </c>
      <c r="W79" s="202">
        <f>IF(J79="n.a.", 0, J79*G79/Constants!$C$6)</f>
        <v>0</v>
      </c>
      <c r="X79">
        <f>P79*Constants!$D$12</f>
        <v>0</v>
      </c>
      <c r="Y79">
        <f>Q79*Constants!$D$11</f>
        <v>0</v>
      </c>
      <c r="Z79">
        <f>R79*Constants!$D$13</f>
        <v>0</v>
      </c>
      <c r="AA79">
        <f>S79*Constants!$D$18</f>
        <v>0</v>
      </c>
      <c r="AB79">
        <f>T79*Constants!$D$17</f>
        <v>6.9262428049096121</v>
      </c>
      <c r="AC79" s="156">
        <f>U79*Constants!$D$3</f>
        <v>0.44462947543713571</v>
      </c>
      <c r="AD79" s="156">
        <f>V79*Constants!$D$4</f>
        <v>0</v>
      </c>
      <c r="AE79" s="156">
        <f>W79*Constants!$D$6</f>
        <v>0</v>
      </c>
      <c r="AF79" s="156">
        <f>P79*Constants!$E$12</f>
        <v>0</v>
      </c>
      <c r="AG79" s="156">
        <f>Q79*Constants!$E$11</f>
        <v>0</v>
      </c>
      <c r="AH79" s="156">
        <f>R79*Constants!$E$13</f>
        <v>0</v>
      </c>
      <c r="AI79" s="156">
        <f>S79*Constants!$E$18</f>
        <v>0</v>
      </c>
      <c r="AJ79" s="156">
        <f>T79*Constants!$E$17</f>
        <v>31.350362169590873</v>
      </c>
      <c r="AK79" s="156">
        <f>U79*Constants!$E$3</f>
        <v>1.7785179017485429</v>
      </c>
      <c r="AL79" s="156">
        <f>V79*Constants!$E$4</f>
        <v>0</v>
      </c>
      <c r="AM79">
        <f>W79*Constants!$E$6</f>
        <v>0</v>
      </c>
    </row>
    <row r="80" spans="1:39">
      <c r="A80" s="113">
        <f>'lab journal'!W81</f>
        <v>168.87638888889342</v>
      </c>
      <c r="B80" s="114">
        <v>0</v>
      </c>
      <c r="C80" s="114">
        <v>0</v>
      </c>
      <c r="D80" s="114">
        <v>0</v>
      </c>
      <c r="E80" s="114">
        <v>0</v>
      </c>
      <c r="F80" s="114">
        <v>0</v>
      </c>
      <c r="G80" s="114">
        <v>5</v>
      </c>
      <c r="H80">
        <v>3.67</v>
      </c>
      <c r="I80" t="s">
        <v>202</v>
      </c>
      <c r="J80" t="s">
        <v>202</v>
      </c>
      <c r="K80" s="115">
        <f t="shared" si="8"/>
        <v>0</v>
      </c>
      <c r="L80" s="115">
        <f t="shared" si="9"/>
        <v>0</v>
      </c>
      <c r="M80" s="115">
        <f t="shared" si="10"/>
        <v>0</v>
      </c>
      <c r="N80" s="115">
        <f t="shared" si="11"/>
        <v>0</v>
      </c>
      <c r="O80" s="115">
        <v>100</v>
      </c>
      <c r="P80" s="202">
        <f>K80/Constants!$C$12</f>
        <v>0</v>
      </c>
      <c r="Q80" s="202">
        <f>L80/Constants!$C$11</f>
        <v>0</v>
      </c>
      <c r="R80" s="202">
        <f>M80/Constants!$C$13</f>
        <v>0</v>
      </c>
      <c r="S80" s="202">
        <f>N80/Constants!$C$18</f>
        <v>0</v>
      </c>
      <c r="T80" s="202">
        <f>O80/Constants!$C$17</f>
        <v>0.36453909499524273</v>
      </c>
      <c r="U80" s="202">
        <f>IF(H80="n.a.", 0, H80*G80/Constants!$C$3)</f>
        <v>0.30557868442964198</v>
      </c>
      <c r="V80" s="202">
        <f>IF(I80="n.a.", 0, I80*G80/Constants!$C$4)</f>
        <v>0</v>
      </c>
      <c r="W80" s="202">
        <f>IF(J80="n.a.", 0, J80*G80/Constants!$C$6)</f>
        <v>0</v>
      </c>
      <c r="X80">
        <f>P80*Constants!$D$12</f>
        <v>0</v>
      </c>
      <c r="Y80">
        <f>Q80*Constants!$D$11</f>
        <v>0</v>
      </c>
      <c r="Z80">
        <f>R80*Constants!$D$13</f>
        <v>0</v>
      </c>
      <c r="AA80">
        <f>S80*Constants!$D$18</f>
        <v>0</v>
      </c>
      <c r="AB80">
        <f>T80*Constants!$D$17</f>
        <v>6.9262428049096121</v>
      </c>
      <c r="AC80" s="156">
        <f>U80*Constants!$D$3</f>
        <v>0.61115736885928396</v>
      </c>
      <c r="AD80" s="156">
        <f>V80*Constants!$D$4</f>
        <v>0</v>
      </c>
      <c r="AE80" s="156">
        <f>W80*Constants!$D$6</f>
        <v>0</v>
      </c>
      <c r="AF80" s="156">
        <f>P80*Constants!$E$12</f>
        <v>0</v>
      </c>
      <c r="AG80" s="156">
        <f>Q80*Constants!$E$11</f>
        <v>0</v>
      </c>
      <c r="AH80" s="156">
        <f>R80*Constants!$E$13</f>
        <v>0</v>
      </c>
      <c r="AI80" s="156">
        <f>S80*Constants!$E$18</f>
        <v>0</v>
      </c>
      <c r="AJ80" s="156">
        <f>T80*Constants!$E$17</f>
        <v>31.350362169590873</v>
      </c>
      <c r="AK80" s="156">
        <f>U80*Constants!$E$3</f>
        <v>2.4446294754371358</v>
      </c>
      <c r="AL80" s="156">
        <f>V80*Constants!$E$4</f>
        <v>0</v>
      </c>
      <c r="AM80">
        <f>W80*Constants!$E$6</f>
        <v>0</v>
      </c>
    </row>
    <row r="81" spans="1:39">
      <c r="A81" s="113">
        <f>'lab journal'!W82</f>
        <v>171.86458333333576</v>
      </c>
      <c r="B81" s="114">
        <v>0</v>
      </c>
      <c r="C81" s="114">
        <v>0</v>
      </c>
      <c r="D81" s="114">
        <v>0</v>
      </c>
      <c r="E81" s="114">
        <v>0</v>
      </c>
      <c r="F81" s="114">
        <v>0</v>
      </c>
      <c r="G81" s="114">
        <v>5</v>
      </c>
      <c r="H81">
        <v>4.67</v>
      </c>
      <c r="I81" t="s">
        <v>202</v>
      </c>
      <c r="J81" t="s">
        <v>202</v>
      </c>
      <c r="K81" s="115">
        <f t="shared" si="8"/>
        <v>0</v>
      </c>
      <c r="L81" s="115">
        <f t="shared" si="9"/>
        <v>0</v>
      </c>
      <c r="M81" s="115">
        <f t="shared" si="10"/>
        <v>0</v>
      </c>
      <c r="N81" s="115">
        <f t="shared" si="11"/>
        <v>0</v>
      </c>
      <c r="O81" s="115">
        <v>100</v>
      </c>
      <c r="P81" s="202">
        <f>K81/Constants!$C$12</f>
        <v>0</v>
      </c>
      <c r="Q81" s="202">
        <f>L81/Constants!$C$11</f>
        <v>0</v>
      </c>
      <c r="R81" s="202">
        <f>M81/Constants!$C$13</f>
        <v>0</v>
      </c>
      <c r="S81" s="202">
        <f>N81/Constants!$C$18</f>
        <v>0</v>
      </c>
      <c r="T81" s="202">
        <f>O81/Constants!$C$17</f>
        <v>0.36453909499524273</v>
      </c>
      <c r="U81" s="202">
        <f>IF(H81="n.a.", 0, H81*G81/Constants!$C$3)</f>
        <v>0.3888426311407161</v>
      </c>
      <c r="V81" s="202">
        <f>IF(I81="n.a.", 0, I81*G81/Constants!$C$4)</f>
        <v>0</v>
      </c>
      <c r="W81" s="202">
        <f>IF(J81="n.a.", 0, J81*G81/Constants!$C$6)</f>
        <v>0</v>
      </c>
      <c r="X81">
        <f>P81*Constants!$D$12</f>
        <v>0</v>
      </c>
      <c r="Y81">
        <f>Q81*Constants!$D$11</f>
        <v>0</v>
      </c>
      <c r="Z81">
        <f>R81*Constants!$D$13</f>
        <v>0</v>
      </c>
      <c r="AA81">
        <f>S81*Constants!$D$18</f>
        <v>0</v>
      </c>
      <c r="AB81">
        <f>T81*Constants!$D$17</f>
        <v>6.9262428049096121</v>
      </c>
      <c r="AC81" s="156">
        <f>U81*Constants!$D$3</f>
        <v>0.7776852622814322</v>
      </c>
      <c r="AD81" s="156">
        <f>V81*Constants!$D$4</f>
        <v>0</v>
      </c>
      <c r="AE81" s="156">
        <f>W81*Constants!$D$6</f>
        <v>0</v>
      </c>
      <c r="AF81" s="156">
        <f>P81*Constants!$E$12</f>
        <v>0</v>
      </c>
      <c r="AG81" s="156">
        <f>Q81*Constants!$E$11</f>
        <v>0</v>
      </c>
      <c r="AH81" s="156">
        <f>R81*Constants!$E$13</f>
        <v>0</v>
      </c>
      <c r="AI81" s="156">
        <f>S81*Constants!$E$18</f>
        <v>0</v>
      </c>
      <c r="AJ81" s="156">
        <f>T81*Constants!$E$17</f>
        <v>31.350362169590873</v>
      </c>
      <c r="AK81" s="156">
        <f>U81*Constants!$E$3</f>
        <v>3.1107410491257288</v>
      </c>
      <c r="AL81" s="156">
        <f>V81*Constants!$E$4</f>
        <v>0</v>
      </c>
      <c r="AM81">
        <f>W81*Constants!$E$6</f>
        <v>0</v>
      </c>
    </row>
    <row r="82" spans="1:39">
      <c r="A82" s="113">
        <f>'lab journal'!W83</f>
        <v>173.86805555555475</v>
      </c>
      <c r="B82" s="114">
        <v>0</v>
      </c>
      <c r="C82" s="114">
        <v>0</v>
      </c>
      <c r="D82" s="114">
        <v>0</v>
      </c>
      <c r="E82" s="114">
        <v>0</v>
      </c>
      <c r="F82" s="114">
        <v>0</v>
      </c>
      <c r="G82" s="114">
        <v>5</v>
      </c>
      <c r="H82">
        <v>5.67</v>
      </c>
      <c r="I82" t="s">
        <v>202</v>
      </c>
      <c r="J82" t="s">
        <v>202</v>
      </c>
      <c r="K82" s="115">
        <f t="shared" si="8"/>
        <v>0</v>
      </c>
      <c r="L82" s="115">
        <f t="shared" si="9"/>
        <v>0</v>
      </c>
      <c r="M82" s="115">
        <f t="shared" si="10"/>
        <v>0</v>
      </c>
      <c r="N82" s="115">
        <f t="shared" si="11"/>
        <v>0</v>
      </c>
      <c r="O82" s="115">
        <v>100</v>
      </c>
      <c r="P82" s="202">
        <f>K82/Constants!$C$12</f>
        <v>0</v>
      </c>
      <c r="Q82" s="202">
        <f>L82/Constants!$C$11</f>
        <v>0</v>
      </c>
      <c r="R82" s="202">
        <f>M82/Constants!$C$13</f>
        <v>0</v>
      </c>
      <c r="S82" s="202">
        <f>N82/Constants!$C$18</f>
        <v>0</v>
      </c>
      <c r="T82" s="202">
        <f>O82/Constants!$C$17</f>
        <v>0.36453909499524273</v>
      </c>
      <c r="U82" s="202">
        <f>IF(H82="n.a.", 0, H82*G82/Constants!$C$3)</f>
        <v>0.47210657785179022</v>
      </c>
      <c r="V82" s="202">
        <f>IF(I82="n.a.", 0, I82*G82/Constants!$C$4)</f>
        <v>0</v>
      </c>
      <c r="W82" s="202">
        <f>IF(J82="n.a.", 0, J82*G82/Constants!$C$6)</f>
        <v>0</v>
      </c>
      <c r="X82">
        <f>P82*Constants!$D$12</f>
        <v>0</v>
      </c>
      <c r="Y82">
        <f>Q82*Constants!$D$11</f>
        <v>0</v>
      </c>
      <c r="Z82">
        <f>R82*Constants!$D$13</f>
        <v>0</v>
      </c>
      <c r="AA82">
        <f>S82*Constants!$D$18</f>
        <v>0</v>
      </c>
      <c r="AB82">
        <f>T82*Constants!$D$17</f>
        <v>6.9262428049096121</v>
      </c>
      <c r="AC82" s="156">
        <f>U82*Constants!$D$3</f>
        <v>0.94421315570358044</v>
      </c>
      <c r="AD82" s="156">
        <f>V82*Constants!$D$4</f>
        <v>0</v>
      </c>
      <c r="AE82" s="156">
        <f>W82*Constants!$D$6</f>
        <v>0</v>
      </c>
      <c r="AF82" s="156">
        <f>P82*Constants!$E$12</f>
        <v>0</v>
      </c>
      <c r="AG82" s="156">
        <f>Q82*Constants!$E$11</f>
        <v>0</v>
      </c>
      <c r="AH82" s="156">
        <f>R82*Constants!$E$13</f>
        <v>0</v>
      </c>
      <c r="AI82" s="156">
        <f>S82*Constants!$E$18</f>
        <v>0</v>
      </c>
      <c r="AJ82" s="156">
        <f>T82*Constants!$E$17</f>
        <v>31.350362169590873</v>
      </c>
      <c r="AK82" s="156">
        <f>U82*Constants!$E$3</f>
        <v>3.7768526228143218</v>
      </c>
      <c r="AL82" s="156">
        <f>V82*Constants!$E$4</f>
        <v>0</v>
      </c>
      <c r="AM82">
        <f>W82*Constants!$E$6</f>
        <v>0</v>
      </c>
    </row>
    <row r="83" spans="1:39">
      <c r="A83" s="113">
        <f>'lab journal'!W84</f>
        <v>175.80694444444816</v>
      </c>
      <c r="B83" s="114">
        <v>0</v>
      </c>
      <c r="C83" s="114">
        <v>0</v>
      </c>
      <c r="D83" s="114">
        <v>0</v>
      </c>
      <c r="E83" s="114">
        <v>0</v>
      </c>
      <c r="F83" s="114">
        <v>0</v>
      </c>
      <c r="G83" s="114">
        <v>5</v>
      </c>
      <c r="H83">
        <v>6.67</v>
      </c>
      <c r="I83" t="s">
        <v>202</v>
      </c>
      <c r="J83" t="s">
        <v>202</v>
      </c>
      <c r="K83" s="115">
        <f t="shared" si="8"/>
        <v>0</v>
      </c>
      <c r="L83" s="115">
        <f t="shared" si="9"/>
        <v>0</v>
      </c>
      <c r="M83" s="115">
        <f t="shared" si="10"/>
        <v>0</v>
      </c>
      <c r="N83" s="115">
        <f t="shared" si="11"/>
        <v>0</v>
      </c>
      <c r="O83" s="115">
        <v>100</v>
      </c>
      <c r="P83" s="202">
        <f>K83/Constants!$C$12</f>
        <v>0</v>
      </c>
      <c r="Q83" s="202">
        <f>L83/Constants!$C$11</f>
        <v>0</v>
      </c>
      <c r="R83" s="202">
        <f>M83/Constants!$C$13</f>
        <v>0</v>
      </c>
      <c r="S83" s="202">
        <f>N83/Constants!$C$18</f>
        <v>0</v>
      </c>
      <c r="T83" s="202">
        <f>O83/Constants!$C$17</f>
        <v>0.36453909499524273</v>
      </c>
      <c r="U83" s="202">
        <f>IF(H83="n.a.", 0, H83*G83/Constants!$C$3)</f>
        <v>0.55537052456286429</v>
      </c>
      <c r="V83" s="202">
        <f>IF(I83="n.a.", 0, I83*G83/Constants!$C$4)</f>
        <v>0</v>
      </c>
      <c r="W83" s="202">
        <f>IF(J83="n.a.", 0, J83*G83/Constants!$C$6)</f>
        <v>0</v>
      </c>
      <c r="X83">
        <f>P83*Constants!$D$12</f>
        <v>0</v>
      </c>
      <c r="Y83">
        <f>Q83*Constants!$D$11</f>
        <v>0</v>
      </c>
      <c r="Z83">
        <f>R83*Constants!$D$13</f>
        <v>0</v>
      </c>
      <c r="AA83">
        <f>S83*Constants!$D$18</f>
        <v>0</v>
      </c>
      <c r="AB83">
        <f>T83*Constants!$D$17</f>
        <v>6.9262428049096121</v>
      </c>
      <c r="AC83" s="156">
        <f>U83*Constants!$D$3</f>
        <v>1.1107410491257286</v>
      </c>
      <c r="AD83" s="156">
        <f>V83*Constants!$D$4</f>
        <v>0</v>
      </c>
      <c r="AE83" s="156">
        <f>W83*Constants!$D$6</f>
        <v>0</v>
      </c>
      <c r="AF83" s="156">
        <f>P83*Constants!$E$12</f>
        <v>0</v>
      </c>
      <c r="AG83" s="156">
        <f>Q83*Constants!$E$11</f>
        <v>0</v>
      </c>
      <c r="AH83" s="156">
        <f>R83*Constants!$E$13</f>
        <v>0</v>
      </c>
      <c r="AI83" s="156">
        <f>S83*Constants!$E$18</f>
        <v>0</v>
      </c>
      <c r="AJ83" s="156">
        <f>T83*Constants!$E$17</f>
        <v>31.350362169590873</v>
      </c>
      <c r="AK83" s="156">
        <f>U83*Constants!$E$3</f>
        <v>4.4429641965029143</v>
      </c>
      <c r="AL83" s="156">
        <f>V83*Constants!$E$4</f>
        <v>0</v>
      </c>
      <c r="AM83">
        <f>W83*Constants!$E$6</f>
        <v>0</v>
      </c>
    </row>
    <row r="84" spans="1:39">
      <c r="A84" s="113">
        <f>'lab journal'!W85</f>
        <v>179.02430555555475</v>
      </c>
      <c r="B84" s="114">
        <v>0</v>
      </c>
      <c r="C84" s="114">
        <v>0</v>
      </c>
      <c r="D84" s="114">
        <v>0</v>
      </c>
      <c r="E84" s="114">
        <v>0</v>
      </c>
      <c r="F84" s="114">
        <v>0</v>
      </c>
      <c r="G84" s="114">
        <v>5</v>
      </c>
      <c r="H84">
        <v>7.67</v>
      </c>
      <c r="I84" t="s">
        <v>202</v>
      </c>
      <c r="J84" t="s">
        <v>202</v>
      </c>
      <c r="K84" s="115">
        <f t="shared" si="8"/>
        <v>0</v>
      </c>
      <c r="L84" s="115">
        <f t="shared" si="9"/>
        <v>0</v>
      </c>
      <c r="M84" s="115">
        <f t="shared" si="10"/>
        <v>0</v>
      </c>
      <c r="N84" s="115">
        <f t="shared" si="11"/>
        <v>0</v>
      </c>
      <c r="O84" s="115">
        <v>100</v>
      </c>
      <c r="P84" s="202">
        <f>K84/Constants!$C$12</f>
        <v>0</v>
      </c>
      <c r="Q84" s="202">
        <f>L84/Constants!$C$11</f>
        <v>0</v>
      </c>
      <c r="R84" s="202">
        <f>M84/Constants!$C$13</f>
        <v>0</v>
      </c>
      <c r="S84" s="202">
        <f>N84/Constants!$C$18</f>
        <v>0</v>
      </c>
      <c r="T84" s="202">
        <f>O84/Constants!$C$17</f>
        <v>0.36453909499524273</v>
      </c>
      <c r="U84" s="202">
        <f>IF(H84="n.a.", 0, H84*G84/Constants!$C$3)</f>
        <v>0.63863447127393846</v>
      </c>
      <c r="V84" s="202">
        <f>IF(I84="n.a.", 0, I84*G84/Constants!$C$4)</f>
        <v>0</v>
      </c>
      <c r="W84" s="202">
        <f>IF(J84="n.a.", 0, J84*G84/Constants!$C$6)</f>
        <v>0</v>
      </c>
      <c r="X84">
        <f>P84*Constants!$D$12</f>
        <v>0</v>
      </c>
      <c r="Y84">
        <f>Q84*Constants!$D$11</f>
        <v>0</v>
      </c>
      <c r="Z84">
        <f>R84*Constants!$D$13</f>
        <v>0</v>
      </c>
      <c r="AA84">
        <f>S84*Constants!$D$18</f>
        <v>0</v>
      </c>
      <c r="AB84">
        <f>T84*Constants!$D$17</f>
        <v>6.9262428049096121</v>
      </c>
      <c r="AC84" s="156">
        <f>U84*Constants!$D$3</f>
        <v>1.2772689425478769</v>
      </c>
      <c r="AD84" s="156">
        <f>V84*Constants!$D$4</f>
        <v>0</v>
      </c>
      <c r="AE84" s="156">
        <f>W84*Constants!$D$6</f>
        <v>0</v>
      </c>
      <c r="AF84" s="156">
        <f>P84*Constants!$E$12</f>
        <v>0</v>
      </c>
      <c r="AG84" s="156">
        <f>Q84*Constants!$E$11</f>
        <v>0</v>
      </c>
      <c r="AH84" s="156">
        <f>R84*Constants!$E$13</f>
        <v>0</v>
      </c>
      <c r="AI84" s="156">
        <f>S84*Constants!$E$18</f>
        <v>0</v>
      </c>
      <c r="AJ84" s="156">
        <f>T84*Constants!$E$17</f>
        <v>31.350362169590873</v>
      </c>
      <c r="AK84" s="156">
        <f>U84*Constants!$E$3</f>
        <v>5.1090757701915077</v>
      </c>
      <c r="AL84" s="156">
        <f>V84*Constants!$E$4</f>
        <v>0</v>
      </c>
      <c r="AM84">
        <f>W84*Constants!$E$6</f>
        <v>0</v>
      </c>
    </row>
    <row r="85" spans="1:39">
      <c r="A85" s="113">
        <f>'lab journal'!W86</f>
        <v>180.88125000000582</v>
      </c>
      <c r="B85" s="114">
        <v>0</v>
      </c>
      <c r="C85" s="114">
        <v>0</v>
      </c>
      <c r="D85" s="114">
        <v>0</v>
      </c>
      <c r="E85" s="114">
        <v>0</v>
      </c>
      <c r="F85" s="114">
        <v>0</v>
      </c>
      <c r="G85" s="114">
        <v>5</v>
      </c>
      <c r="H85">
        <v>8.67</v>
      </c>
      <c r="I85" t="s">
        <v>202</v>
      </c>
      <c r="J85" t="s">
        <v>202</v>
      </c>
      <c r="K85" s="115">
        <f t="shared" si="8"/>
        <v>0</v>
      </c>
      <c r="L85" s="115">
        <f t="shared" si="9"/>
        <v>0</v>
      </c>
      <c r="M85" s="115">
        <f t="shared" si="10"/>
        <v>0</v>
      </c>
      <c r="N85" s="115">
        <f t="shared" si="11"/>
        <v>0</v>
      </c>
      <c r="O85" s="115">
        <v>100</v>
      </c>
      <c r="P85" s="202">
        <f>K85/Constants!$C$12</f>
        <v>0</v>
      </c>
      <c r="Q85" s="202">
        <f>L85/Constants!$C$11</f>
        <v>0</v>
      </c>
      <c r="R85" s="202">
        <f>M85/Constants!$C$13</f>
        <v>0</v>
      </c>
      <c r="S85" s="202">
        <f>N85/Constants!$C$18</f>
        <v>0</v>
      </c>
      <c r="T85" s="202">
        <f>O85/Constants!$C$17</f>
        <v>0.36453909499524273</v>
      </c>
      <c r="U85" s="202">
        <f>IF(H85="n.a.", 0, H85*G85/Constants!$C$3)</f>
        <v>0.72189841798501253</v>
      </c>
      <c r="V85" s="202">
        <f>IF(I85="n.a.", 0, I85*G85/Constants!$C$4)</f>
        <v>0</v>
      </c>
      <c r="W85" s="202">
        <f>IF(J85="n.a.", 0, J85*G85/Constants!$C$6)</f>
        <v>0</v>
      </c>
      <c r="X85">
        <f>P85*Constants!$D$12</f>
        <v>0</v>
      </c>
      <c r="Y85">
        <f>Q85*Constants!$D$11</f>
        <v>0</v>
      </c>
      <c r="Z85">
        <f>R85*Constants!$D$13</f>
        <v>0</v>
      </c>
      <c r="AA85">
        <f>S85*Constants!$D$18</f>
        <v>0</v>
      </c>
      <c r="AB85">
        <f>T85*Constants!$D$17</f>
        <v>6.9262428049096121</v>
      </c>
      <c r="AC85" s="156">
        <f>U85*Constants!$D$3</f>
        <v>1.4437968359700251</v>
      </c>
      <c r="AD85" s="156">
        <f>V85*Constants!$D$4</f>
        <v>0</v>
      </c>
      <c r="AE85" s="156">
        <f>W85*Constants!$D$6</f>
        <v>0</v>
      </c>
      <c r="AF85" s="156">
        <f>P85*Constants!$E$12</f>
        <v>0</v>
      </c>
      <c r="AG85" s="156">
        <f>Q85*Constants!$E$11</f>
        <v>0</v>
      </c>
      <c r="AH85" s="156">
        <f>R85*Constants!$E$13</f>
        <v>0</v>
      </c>
      <c r="AI85" s="156">
        <f>S85*Constants!$E$18</f>
        <v>0</v>
      </c>
      <c r="AJ85" s="156">
        <f>T85*Constants!$E$17</f>
        <v>31.350362169590873</v>
      </c>
      <c r="AK85" s="156">
        <f>U85*Constants!$E$3</f>
        <v>5.7751873438801002</v>
      </c>
      <c r="AL85" s="156">
        <f>V85*Constants!$E$4</f>
        <v>0</v>
      </c>
      <c r="AM85">
        <f>W85*Constants!$E$6</f>
        <v>0</v>
      </c>
    </row>
    <row r="86" spans="1:39">
      <c r="A86" s="113">
        <f>'lab journal'!W87</f>
        <v>183.0048611111124</v>
      </c>
      <c r="B86" s="114">
        <v>0</v>
      </c>
      <c r="C86" s="114">
        <v>0</v>
      </c>
      <c r="D86" s="114">
        <v>0</v>
      </c>
      <c r="E86" s="114">
        <v>0</v>
      </c>
      <c r="F86" s="114">
        <v>0</v>
      </c>
      <c r="G86" s="114">
        <v>5</v>
      </c>
      <c r="H86">
        <v>9.67</v>
      </c>
      <c r="I86" t="s">
        <v>202</v>
      </c>
      <c r="J86" t="s">
        <v>202</v>
      </c>
      <c r="K86" s="115">
        <f t="shared" si="8"/>
        <v>0</v>
      </c>
      <c r="L86" s="115">
        <f t="shared" si="9"/>
        <v>0</v>
      </c>
      <c r="M86" s="115">
        <f t="shared" si="10"/>
        <v>0</v>
      </c>
      <c r="N86" s="115">
        <f t="shared" si="11"/>
        <v>0</v>
      </c>
      <c r="O86" s="115">
        <v>100</v>
      </c>
      <c r="P86" s="202">
        <f>K86/Constants!$C$12</f>
        <v>0</v>
      </c>
      <c r="Q86" s="202">
        <f>L86/Constants!$C$11</f>
        <v>0</v>
      </c>
      <c r="R86" s="202">
        <f>M86/Constants!$C$13</f>
        <v>0</v>
      </c>
      <c r="S86" s="202">
        <f>N86/Constants!$C$18</f>
        <v>0</v>
      </c>
      <c r="T86" s="202">
        <f>O86/Constants!$C$17</f>
        <v>0.36453909499524273</v>
      </c>
      <c r="U86" s="202">
        <f>IF(H86="n.a.", 0, H86*G86/Constants!$C$3)</f>
        <v>0.80516236469608671</v>
      </c>
      <c r="V86" s="202">
        <f>IF(I86="n.a.", 0, I86*G86/Constants!$C$4)</f>
        <v>0</v>
      </c>
      <c r="W86" s="202">
        <f>IF(J86="n.a.", 0, J86*G86/Constants!$C$6)</f>
        <v>0</v>
      </c>
      <c r="X86">
        <f>P86*Constants!$D$12</f>
        <v>0</v>
      </c>
      <c r="Y86">
        <f>Q86*Constants!$D$11</f>
        <v>0</v>
      </c>
      <c r="Z86">
        <f>R86*Constants!$D$13</f>
        <v>0</v>
      </c>
      <c r="AA86">
        <f>S86*Constants!$D$18</f>
        <v>0</v>
      </c>
      <c r="AB86">
        <f>T86*Constants!$D$17</f>
        <v>6.9262428049096121</v>
      </c>
      <c r="AC86" s="156">
        <f>U86*Constants!$D$3</f>
        <v>1.6103247293921734</v>
      </c>
      <c r="AD86" s="156">
        <f>V86*Constants!$D$4</f>
        <v>0</v>
      </c>
      <c r="AE86" s="156">
        <f>W86*Constants!$D$6</f>
        <v>0</v>
      </c>
      <c r="AF86" s="156">
        <f>P86*Constants!$E$12</f>
        <v>0</v>
      </c>
      <c r="AG86" s="156">
        <f>Q86*Constants!$E$11</f>
        <v>0</v>
      </c>
      <c r="AH86" s="156">
        <f>R86*Constants!$E$13</f>
        <v>0</v>
      </c>
      <c r="AI86" s="156">
        <f>S86*Constants!$E$18</f>
        <v>0</v>
      </c>
      <c r="AJ86" s="156">
        <f>T86*Constants!$E$17</f>
        <v>31.350362169590873</v>
      </c>
      <c r="AK86" s="156">
        <f>U86*Constants!$E$3</f>
        <v>6.4412989175686937</v>
      </c>
      <c r="AL86" s="156">
        <f>V86*Constants!$E$4</f>
        <v>0</v>
      </c>
      <c r="AM86">
        <f>W86*Constants!$E$6</f>
        <v>0</v>
      </c>
    </row>
    <row r="87" spans="1:39">
      <c r="A87" s="113">
        <f>'lab journal'!W88</f>
        <v>186.01666666667006</v>
      </c>
      <c r="B87" s="114">
        <v>0</v>
      </c>
      <c r="C87" s="114">
        <v>0</v>
      </c>
      <c r="D87" s="114">
        <v>0</v>
      </c>
      <c r="E87" s="114">
        <v>0</v>
      </c>
      <c r="F87" s="114">
        <v>0</v>
      </c>
      <c r="G87" s="114">
        <v>5</v>
      </c>
      <c r="H87">
        <v>10.67</v>
      </c>
      <c r="I87" t="s">
        <v>202</v>
      </c>
      <c r="J87" t="s">
        <v>202</v>
      </c>
      <c r="K87" s="115">
        <f t="shared" si="8"/>
        <v>0</v>
      </c>
      <c r="L87" s="115">
        <f t="shared" si="9"/>
        <v>0</v>
      </c>
      <c r="M87" s="115">
        <f t="shared" si="10"/>
        <v>0</v>
      </c>
      <c r="N87" s="115">
        <f t="shared" si="11"/>
        <v>0</v>
      </c>
      <c r="O87" s="115">
        <v>100</v>
      </c>
      <c r="P87" s="202">
        <f>K87/Constants!$C$12</f>
        <v>0</v>
      </c>
      <c r="Q87" s="202">
        <f>L87/Constants!$C$11</f>
        <v>0</v>
      </c>
      <c r="R87" s="202">
        <f>M87/Constants!$C$13</f>
        <v>0</v>
      </c>
      <c r="S87" s="202">
        <f>N87/Constants!$C$18</f>
        <v>0</v>
      </c>
      <c r="T87" s="202">
        <f>O87/Constants!$C$17</f>
        <v>0.36453909499524273</v>
      </c>
      <c r="U87" s="202">
        <f>IF(H87="n.a.", 0, H87*G87/Constants!$C$3)</f>
        <v>0.88842631140716077</v>
      </c>
      <c r="V87" s="202">
        <f>IF(I87="n.a.", 0, I87*G87/Constants!$C$4)</f>
        <v>0</v>
      </c>
      <c r="W87" s="202">
        <f>IF(J87="n.a.", 0, J87*G87/Constants!$C$6)</f>
        <v>0</v>
      </c>
      <c r="X87">
        <f>P87*Constants!$D$12</f>
        <v>0</v>
      </c>
      <c r="Y87">
        <f>Q87*Constants!$D$11</f>
        <v>0</v>
      </c>
      <c r="Z87">
        <f>R87*Constants!$D$13</f>
        <v>0</v>
      </c>
      <c r="AA87">
        <f>S87*Constants!$D$18</f>
        <v>0</v>
      </c>
      <c r="AB87">
        <f>T87*Constants!$D$17</f>
        <v>6.9262428049096121</v>
      </c>
      <c r="AC87" s="156">
        <f>U87*Constants!$D$3</f>
        <v>1.7768526228143215</v>
      </c>
      <c r="AD87" s="156">
        <f>V87*Constants!$D$4</f>
        <v>0</v>
      </c>
      <c r="AE87" s="156">
        <f>W87*Constants!$D$6</f>
        <v>0</v>
      </c>
      <c r="AF87" s="156">
        <f>P87*Constants!$E$12</f>
        <v>0</v>
      </c>
      <c r="AG87" s="156">
        <f>Q87*Constants!$E$11</f>
        <v>0</v>
      </c>
      <c r="AH87" s="156">
        <f>R87*Constants!$E$13</f>
        <v>0</v>
      </c>
      <c r="AI87" s="156">
        <f>S87*Constants!$E$18</f>
        <v>0</v>
      </c>
      <c r="AJ87" s="156">
        <f>T87*Constants!$E$17</f>
        <v>31.350362169590873</v>
      </c>
      <c r="AK87" s="156">
        <f>U87*Constants!$E$3</f>
        <v>7.1074104912572862</v>
      </c>
      <c r="AL87" s="156">
        <f>V87*Constants!$E$4</f>
        <v>0</v>
      </c>
      <c r="AM87">
        <f>W87*Constants!$E$6</f>
        <v>0</v>
      </c>
    </row>
    <row r="88" spans="1:39">
      <c r="A88" s="113">
        <f>'lab journal'!W89</f>
        <v>187.90763888889342</v>
      </c>
      <c r="B88" s="114">
        <v>0</v>
      </c>
      <c r="C88" s="114">
        <v>0</v>
      </c>
      <c r="D88" s="114">
        <v>0</v>
      </c>
      <c r="E88" s="114">
        <v>0</v>
      </c>
      <c r="F88" s="114">
        <v>0</v>
      </c>
      <c r="G88" s="114">
        <v>5</v>
      </c>
      <c r="H88">
        <v>11.67</v>
      </c>
      <c r="I88" t="s">
        <v>202</v>
      </c>
      <c r="J88" t="s">
        <v>202</v>
      </c>
      <c r="K88" s="115">
        <f t="shared" si="8"/>
        <v>0</v>
      </c>
      <c r="L88" s="115">
        <f t="shared" si="9"/>
        <v>0</v>
      </c>
      <c r="M88" s="115">
        <f t="shared" si="10"/>
        <v>0</v>
      </c>
      <c r="N88" s="115">
        <f t="shared" si="11"/>
        <v>0</v>
      </c>
      <c r="O88" s="115">
        <v>100</v>
      </c>
      <c r="P88" s="202">
        <f>K88/Constants!$C$12</f>
        <v>0</v>
      </c>
      <c r="Q88" s="202">
        <f>L88/Constants!$C$11</f>
        <v>0</v>
      </c>
      <c r="R88" s="202">
        <f>M88/Constants!$C$13</f>
        <v>0</v>
      </c>
      <c r="S88" s="202">
        <f>N88/Constants!$C$18</f>
        <v>0</v>
      </c>
      <c r="T88" s="202">
        <f>O88/Constants!$C$17</f>
        <v>0.36453909499524273</v>
      </c>
      <c r="U88" s="202">
        <f>IF(H88="n.a.", 0, H88*G88/Constants!$C$3)</f>
        <v>0.97169025811823484</v>
      </c>
      <c r="V88" s="202">
        <f>IF(I88="n.a.", 0, I88*G88/Constants!$C$4)</f>
        <v>0</v>
      </c>
      <c r="W88" s="202">
        <f>IF(J88="n.a.", 0, J88*G88/Constants!$C$6)</f>
        <v>0</v>
      </c>
      <c r="X88">
        <f>P88*Constants!$D$12</f>
        <v>0</v>
      </c>
      <c r="Y88">
        <f>Q88*Constants!$D$11</f>
        <v>0</v>
      </c>
      <c r="Z88">
        <f>R88*Constants!$D$13</f>
        <v>0</v>
      </c>
      <c r="AA88">
        <f>S88*Constants!$D$18</f>
        <v>0</v>
      </c>
      <c r="AB88">
        <f>T88*Constants!$D$17</f>
        <v>6.9262428049096121</v>
      </c>
      <c r="AC88" s="156">
        <f>U88*Constants!$D$3</f>
        <v>1.9433805162364697</v>
      </c>
      <c r="AD88" s="156">
        <f>V88*Constants!$D$4</f>
        <v>0</v>
      </c>
      <c r="AE88" s="156">
        <f>W88*Constants!$D$6</f>
        <v>0</v>
      </c>
      <c r="AF88" s="156">
        <f>P88*Constants!$E$12</f>
        <v>0</v>
      </c>
      <c r="AG88" s="156">
        <f>Q88*Constants!$E$11</f>
        <v>0</v>
      </c>
      <c r="AH88" s="156">
        <f>R88*Constants!$E$13</f>
        <v>0</v>
      </c>
      <c r="AI88" s="156">
        <f>S88*Constants!$E$18</f>
        <v>0</v>
      </c>
      <c r="AJ88" s="156">
        <f>T88*Constants!$E$17</f>
        <v>31.350362169590873</v>
      </c>
      <c r="AK88" s="156">
        <f>U88*Constants!$E$3</f>
        <v>7.7735220649458787</v>
      </c>
      <c r="AL88" s="156">
        <f>V88*Constants!$E$4</f>
        <v>0</v>
      </c>
      <c r="AM88">
        <f>W88*Constants!$E$6</f>
        <v>0</v>
      </c>
    </row>
    <row r="89" spans="1:39">
      <c r="A89" s="113">
        <f>'lab journal'!W90</f>
        <v>189.92916666666861</v>
      </c>
      <c r="B89" s="114">
        <v>0</v>
      </c>
      <c r="C89" s="114">
        <v>0</v>
      </c>
      <c r="D89" s="114">
        <v>0</v>
      </c>
      <c r="E89" s="114">
        <v>0</v>
      </c>
      <c r="F89" s="114">
        <v>0</v>
      </c>
      <c r="G89" s="114">
        <v>5</v>
      </c>
      <c r="H89">
        <v>12.67</v>
      </c>
      <c r="I89" t="s">
        <v>202</v>
      </c>
      <c r="J89" t="s">
        <v>202</v>
      </c>
      <c r="K89" s="115">
        <f t="shared" si="8"/>
        <v>0</v>
      </c>
      <c r="L89" s="115">
        <f t="shared" si="9"/>
        <v>0</v>
      </c>
      <c r="M89" s="115">
        <f t="shared" si="10"/>
        <v>0</v>
      </c>
      <c r="N89" s="115">
        <f t="shared" si="11"/>
        <v>0</v>
      </c>
      <c r="O89" s="115">
        <v>100</v>
      </c>
      <c r="P89" s="202">
        <f>K89/Constants!$C$12</f>
        <v>0</v>
      </c>
      <c r="Q89" s="202">
        <f>L89/Constants!$C$11</f>
        <v>0</v>
      </c>
      <c r="R89" s="202">
        <f>M89/Constants!$C$13</f>
        <v>0</v>
      </c>
      <c r="S89" s="202">
        <f>N89/Constants!$C$18</f>
        <v>0</v>
      </c>
      <c r="T89" s="202">
        <f>O89/Constants!$C$17</f>
        <v>0.36453909499524273</v>
      </c>
      <c r="U89" s="202">
        <f>IF(H89="n.a.", 0, H89*G89/Constants!$C$3)</f>
        <v>1.054954204829309</v>
      </c>
      <c r="V89" s="202">
        <f>IF(I89="n.a.", 0, I89*G89/Constants!$C$4)</f>
        <v>0</v>
      </c>
      <c r="W89" s="202">
        <f>IF(J89="n.a.", 0, J89*G89/Constants!$C$6)</f>
        <v>0</v>
      </c>
      <c r="X89">
        <f>P89*Constants!$D$12</f>
        <v>0</v>
      </c>
      <c r="Y89">
        <f>Q89*Constants!$D$11</f>
        <v>0</v>
      </c>
      <c r="Z89">
        <f>R89*Constants!$D$13</f>
        <v>0</v>
      </c>
      <c r="AA89">
        <f>S89*Constants!$D$18</f>
        <v>0</v>
      </c>
      <c r="AB89">
        <f>T89*Constants!$D$17</f>
        <v>6.9262428049096121</v>
      </c>
      <c r="AC89" s="156">
        <f>U89*Constants!$D$3</f>
        <v>2.109908409658618</v>
      </c>
      <c r="AD89" s="156">
        <f>V89*Constants!$D$4</f>
        <v>0</v>
      </c>
      <c r="AE89" s="156">
        <f>W89*Constants!$D$6</f>
        <v>0</v>
      </c>
      <c r="AF89" s="156">
        <f>P89*Constants!$E$12</f>
        <v>0</v>
      </c>
      <c r="AG89" s="156">
        <f>Q89*Constants!$E$11</f>
        <v>0</v>
      </c>
      <c r="AH89" s="156">
        <f>R89*Constants!$E$13</f>
        <v>0</v>
      </c>
      <c r="AI89" s="156">
        <f>S89*Constants!$E$18</f>
        <v>0</v>
      </c>
      <c r="AJ89" s="156">
        <f>T89*Constants!$E$17</f>
        <v>31.350362169590873</v>
      </c>
      <c r="AK89" s="156">
        <f>U89*Constants!$E$3</f>
        <v>8.4396336386344721</v>
      </c>
      <c r="AL89" s="156">
        <f>V89*Constants!$E$4</f>
        <v>0</v>
      </c>
      <c r="AM89">
        <f>W89*Constants!$E$6</f>
        <v>0</v>
      </c>
    </row>
    <row r="90" spans="1:39">
      <c r="A90" s="113">
        <f>'lab journal'!W91</f>
        <v>192.90347222222772</v>
      </c>
      <c r="B90" s="114">
        <v>0</v>
      </c>
      <c r="C90" s="114">
        <v>0</v>
      </c>
      <c r="D90" s="114">
        <v>0</v>
      </c>
      <c r="E90" s="114">
        <v>0</v>
      </c>
      <c r="F90" s="114">
        <v>0</v>
      </c>
      <c r="G90" s="114">
        <v>5</v>
      </c>
      <c r="H90">
        <v>13.67</v>
      </c>
      <c r="I90" t="s">
        <v>202</v>
      </c>
      <c r="J90" t="s">
        <v>202</v>
      </c>
      <c r="K90" s="115">
        <f t="shared" si="8"/>
        <v>0</v>
      </c>
      <c r="L90" s="115">
        <f t="shared" si="9"/>
        <v>0</v>
      </c>
      <c r="M90" s="115">
        <f t="shared" si="10"/>
        <v>0</v>
      </c>
      <c r="N90" s="115">
        <f t="shared" si="11"/>
        <v>0</v>
      </c>
      <c r="O90" s="115">
        <v>100</v>
      </c>
      <c r="P90" s="202">
        <f>K90/Constants!$C$12</f>
        <v>0</v>
      </c>
      <c r="Q90" s="202">
        <f>L90/Constants!$C$11</f>
        <v>0</v>
      </c>
      <c r="R90" s="202">
        <f>M90/Constants!$C$13</f>
        <v>0</v>
      </c>
      <c r="S90" s="202">
        <f>N90/Constants!$C$18</f>
        <v>0</v>
      </c>
      <c r="T90" s="202">
        <f>O90/Constants!$C$17</f>
        <v>0.36453909499524273</v>
      </c>
      <c r="U90" s="202">
        <f>IF(H90="n.a.", 0, H90*G90/Constants!$C$3)</f>
        <v>1.1382181515403831</v>
      </c>
      <c r="V90" s="202">
        <f>IF(I90="n.a.", 0, I90*G90/Constants!$C$4)</f>
        <v>0</v>
      </c>
      <c r="W90" s="202">
        <f>IF(J90="n.a.", 0, J90*G90/Constants!$C$6)</f>
        <v>0</v>
      </c>
      <c r="X90">
        <f>P90*Constants!$D$12</f>
        <v>0</v>
      </c>
      <c r="Y90">
        <f>Q90*Constants!$D$11</f>
        <v>0</v>
      </c>
      <c r="Z90">
        <f>R90*Constants!$D$13</f>
        <v>0</v>
      </c>
      <c r="AA90">
        <f>S90*Constants!$D$18</f>
        <v>0</v>
      </c>
      <c r="AB90">
        <f>T90*Constants!$D$17</f>
        <v>6.9262428049096121</v>
      </c>
      <c r="AC90" s="156">
        <f>U90*Constants!$D$3</f>
        <v>2.2764363030807662</v>
      </c>
      <c r="AD90" s="156">
        <f>V90*Constants!$D$4</f>
        <v>0</v>
      </c>
      <c r="AE90" s="156">
        <f>W90*Constants!$D$6</f>
        <v>0</v>
      </c>
      <c r="AF90" s="156">
        <f>P90*Constants!$E$12</f>
        <v>0</v>
      </c>
      <c r="AG90" s="156">
        <f>Q90*Constants!$E$11</f>
        <v>0</v>
      </c>
      <c r="AH90" s="156">
        <f>R90*Constants!$E$13</f>
        <v>0</v>
      </c>
      <c r="AI90" s="156">
        <f>S90*Constants!$E$18</f>
        <v>0</v>
      </c>
      <c r="AJ90" s="156">
        <f>T90*Constants!$E$17</f>
        <v>31.350362169590873</v>
      </c>
      <c r="AK90" s="156">
        <f>U90*Constants!$E$3</f>
        <v>9.1057452123230647</v>
      </c>
      <c r="AL90" s="156">
        <f>V90*Constants!$E$4</f>
        <v>0</v>
      </c>
      <c r="AM90">
        <f>W90*Constants!$E$6</f>
        <v>0</v>
      </c>
    </row>
    <row r="91" spans="1:39">
      <c r="A91" s="113">
        <f>'lab journal'!W92</f>
        <v>194.88958333333721</v>
      </c>
      <c r="B91" s="114">
        <v>0</v>
      </c>
      <c r="C91" s="114">
        <v>0</v>
      </c>
      <c r="D91" s="114">
        <v>0</v>
      </c>
      <c r="E91" s="114">
        <v>0</v>
      </c>
      <c r="F91" s="114">
        <v>0</v>
      </c>
      <c r="G91" s="114">
        <v>5</v>
      </c>
      <c r="H91">
        <v>14.67</v>
      </c>
      <c r="I91" t="s">
        <v>202</v>
      </c>
      <c r="J91" t="s">
        <v>202</v>
      </c>
      <c r="K91" s="115">
        <f t="shared" si="8"/>
        <v>0</v>
      </c>
      <c r="L91" s="115">
        <f t="shared" si="9"/>
        <v>0</v>
      </c>
      <c r="M91" s="115">
        <f t="shared" si="10"/>
        <v>0</v>
      </c>
      <c r="N91" s="115">
        <f t="shared" si="11"/>
        <v>0</v>
      </c>
      <c r="O91" s="115">
        <v>100</v>
      </c>
      <c r="P91" s="202">
        <f>K91/Constants!$C$12</f>
        <v>0</v>
      </c>
      <c r="Q91" s="202">
        <f>L91/Constants!$C$11</f>
        <v>0</v>
      </c>
      <c r="R91" s="202">
        <f>M91/Constants!$C$13</f>
        <v>0</v>
      </c>
      <c r="S91" s="202">
        <f>N91/Constants!$C$18</f>
        <v>0</v>
      </c>
      <c r="T91" s="202">
        <f>O91/Constants!$C$17</f>
        <v>0.36453909499524273</v>
      </c>
      <c r="U91" s="202">
        <f>IF(H91="n.a.", 0, H91*G91/Constants!$C$3)</f>
        <v>1.2214820982514571</v>
      </c>
      <c r="V91" s="202">
        <f>IF(I91="n.a.", 0, I91*G91/Constants!$C$4)</f>
        <v>0</v>
      </c>
      <c r="W91" s="202">
        <f>IF(J91="n.a.", 0, J91*G91/Constants!$C$6)</f>
        <v>0</v>
      </c>
      <c r="X91">
        <f>P91*Constants!$D$12</f>
        <v>0</v>
      </c>
      <c r="Y91">
        <f>Q91*Constants!$D$11</f>
        <v>0</v>
      </c>
      <c r="Z91">
        <f>R91*Constants!$D$13</f>
        <v>0</v>
      </c>
      <c r="AA91">
        <f>S91*Constants!$D$18</f>
        <v>0</v>
      </c>
      <c r="AB91">
        <f>T91*Constants!$D$17</f>
        <v>6.9262428049096121</v>
      </c>
      <c r="AC91" s="156">
        <f>U91*Constants!$D$3</f>
        <v>2.4429641965029143</v>
      </c>
      <c r="AD91" s="156">
        <f>V91*Constants!$D$4</f>
        <v>0</v>
      </c>
      <c r="AE91" s="156">
        <f>W91*Constants!$D$6</f>
        <v>0</v>
      </c>
      <c r="AF91" s="156">
        <f>P91*Constants!$E$12</f>
        <v>0</v>
      </c>
      <c r="AG91" s="156">
        <f>Q91*Constants!$E$11</f>
        <v>0</v>
      </c>
      <c r="AH91" s="156">
        <f>R91*Constants!$E$13</f>
        <v>0</v>
      </c>
      <c r="AI91" s="156">
        <f>S91*Constants!$E$18</f>
        <v>0</v>
      </c>
      <c r="AJ91" s="156">
        <f>T91*Constants!$E$17</f>
        <v>31.350362169590873</v>
      </c>
      <c r="AK91" s="156">
        <f>U91*Constants!$E$3</f>
        <v>9.7718567860116572</v>
      </c>
      <c r="AL91" s="156">
        <f>V91*Constants!$E$4</f>
        <v>0</v>
      </c>
      <c r="AM91">
        <f>W91*Constants!$E$6</f>
        <v>0</v>
      </c>
    </row>
    <row r="92" spans="1:39">
      <c r="A92" s="113">
        <f>'lab journal'!W93</f>
        <v>196.91250000000582</v>
      </c>
      <c r="B92" s="114">
        <v>0</v>
      </c>
      <c r="C92" s="114">
        <v>0</v>
      </c>
      <c r="D92" s="114">
        <v>0</v>
      </c>
      <c r="E92" s="114">
        <v>0</v>
      </c>
      <c r="F92" s="114">
        <v>0</v>
      </c>
      <c r="G92" s="114">
        <v>5</v>
      </c>
      <c r="H92">
        <v>15.67</v>
      </c>
      <c r="I92" t="s">
        <v>202</v>
      </c>
      <c r="J92" t="s">
        <v>202</v>
      </c>
      <c r="K92" s="115">
        <f t="shared" si="8"/>
        <v>0</v>
      </c>
      <c r="L92" s="115">
        <f t="shared" si="9"/>
        <v>0</v>
      </c>
      <c r="M92" s="115">
        <f t="shared" si="10"/>
        <v>0</v>
      </c>
      <c r="N92" s="115">
        <f t="shared" si="11"/>
        <v>0</v>
      </c>
      <c r="O92" s="115">
        <v>100</v>
      </c>
      <c r="P92" s="202">
        <f>K92/Constants!$C$12</f>
        <v>0</v>
      </c>
      <c r="Q92" s="202">
        <f>L92/Constants!$C$11</f>
        <v>0</v>
      </c>
      <c r="R92" s="202">
        <f>M92/Constants!$C$13</f>
        <v>0</v>
      </c>
      <c r="S92" s="202">
        <f>N92/Constants!$C$18</f>
        <v>0</v>
      </c>
      <c r="T92" s="202">
        <f>O92/Constants!$C$17</f>
        <v>0.36453909499524273</v>
      </c>
      <c r="U92" s="202">
        <f>IF(H92="n.a.", 0, H92*G92/Constants!$C$3)</f>
        <v>1.3047460449625312</v>
      </c>
      <c r="V92" s="202">
        <f>IF(I92="n.a.", 0, I92*G92/Constants!$C$4)</f>
        <v>0</v>
      </c>
      <c r="W92" s="202">
        <f>IF(J92="n.a.", 0, J92*G92/Constants!$C$6)</f>
        <v>0</v>
      </c>
      <c r="X92">
        <f>P92*Constants!$D$12</f>
        <v>0</v>
      </c>
      <c r="Y92">
        <f>Q92*Constants!$D$11</f>
        <v>0</v>
      </c>
      <c r="Z92">
        <f>R92*Constants!$D$13</f>
        <v>0</v>
      </c>
      <c r="AA92">
        <f>S92*Constants!$D$18</f>
        <v>0</v>
      </c>
      <c r="AB92">
        <f>T92*Constants!$D$17</f>
        <v>6.9262428049096121</v>
      </c>
      <c r="AC92" s="156">
        <f>U92*Constants!$D$3</f>
        <v>2.6094920899250624</v>
      </c>
      <c r="AD92" s="156">
        <f>V92*Constants!$D$4</f>
        <v>0</v>
      </c>
      <c r="AE92" s="156">
        <f>W92*Constants!$D$6</f>
        <v>0</v>
      </c>
      <c r="AF92" s="156">
        <f>P92*Constants!$E$12</f>
        <v>0</v>
      </c>
      <c r="AG92" s="156">
        <f>Q92*Constants!$E$11</f>
        <v>0</v>
      </c>
      <c r="AH92" s="156">
        <f>R92*Constants!$E$13</f>
        <v>0</v>
      </c>
      <c r="AI92" s="156">
        <f>S92*Constants!$E$18</f>
        <v>0</v>
      </c>
      <c r="AJ92" s="156">
        <f>T92*Constants!$E$17</f>
        <v>31.350362169590873</v>
      </c>
      <c r="AK92" s="156">
        <f>U92*Constants!$E$3</f>
        <v>10.43796835970025</v>
      </c>
      <c r="AL92" s="156">
        <f>V92*Constants!$E$4</f>
        <v>0</v>
      </c>
      <c r="AM92">
        <f>W92*Constants!$E$6</f>
        <v>0</v>
      </c>
    </row>
    <row r="93" spans="1:39">
      <c r="A93" s="113">
        <f>'lab journal'!W94</f>
        <v>199.89861111111531</v>
      </c>
      <c r="B93" s="114">
        <v>0</v>
      </c>
      <c r="C93" s="114">
        <v>0</v>
      </c>
      <c r="D93" s="114">
        <v>0</v>
      </c>
      <c r="E93" s="114">
        <v>0</v>
      </c>
      <c r="F93" s="114">
        <v>0</v>
      </c>
      <c r="G93" s="114">
        <v>5</v>
      </c>
      <c r="H93">
        <v>16.670000000000002</v>
      </c>
      <c r="I93" t="s">
        <v>202</v>
      </c>
      <c r="J93" t="s">
        <v>202</v>
      </c>
      <c r="K93" s="115">
        <f t="shared" si="8"/>
        <v>0</v>
      </c>
      <c r="L93" s="115">
        <f t="shared" si="9"/>
        <v>0</v>
      </c>
      <c r="M93" s="115">
        <f t="shared" si="10"/>
        <v>0</v>
      </c>
      <c r="N93" s="115">
        <f t="shared" si="11"/>
        <v>0</v>
      </c>
      <c r="O93" s="115">
        <v>100</v>
      </c>
      <c r="P93" s="202">
        <f>K93/Constants!$C$12</f>
        <v>0</v>
      </c>
      <c r="Q93" s="202">
        <f>L93/Constants!$C$11</f>
        <v>0</v>
      </c>
      <c r="R93" s="202">
        <f>M93/Constants!$C$13</f>
        <v>0</v>
      </c>
      <c r="S93" s="202">
        <f>N93/Constants!$C$18</f>
        <v>0</v>
      </c>
      <c r="T93" s="202">
        <f>O93/Constants!$C$17</f>
        <v>0.36453909499524273</v>
      </c>
      <c r="U93" s="202">
        <f>IF(H93="n.a.", 0, H93*G93/Constants!$C$3)</f>
        <v>1.3880099916736055</v>
      </c>
      <c r="V93" s="202">
        <f>IF(I93="n.a.", 0, I93*G93/Constants!$C$4)</f>
        <v>0</v>
      </c>
      <c r="W93" s="202">
        <f>IF(J93="n.a.", 0, J93*G93/Constants!$C$6)</f>
        <v>0</v>
      </c>
      <c r="X93">
        <f>P93*Constants!$D$12</f>
        <v>0</v>
      </c>
      <c r="Y93">
        <f>Q93*Constants!$D$11</f>
        <v>0</v>
      </c>
      <c r="Z93">
        <f>R93*Constants!$D$13</f>
        <v>0</v>
      </c>
      <c r="AA93">
        <f>S93*Constants!$D$18</f>
        <v>0</v>
      </c>
      <c r="AB93">
        <f>T93*Constants!$D$17</f>
        <v>6.9262428049096121</v>
      </c>
      <c r="AC93" s="156">
        <f>U93*Constants!$D$3</f>
        <v>2.776019983347211</v>
      </c>
      <c r="AD93" s="156">
        <f>V93*Constants!$D$4</f>
        <v>0</v>
      </c>
      <c r="AE93" s="156">
        <f>W93*Constants!$D$6</f>
        <v>0</v>
      </c>
      <c r="AF93" s="156">
        <f>P93*Constants!$E$12</f>
        <v>0</v>
      </c>
      <c r="AG93" s="156">
        <f>Q93*Constants!$E$11</f>
        <v>0</v>
      </c>
      <c r="AH93" s="156">
        <f>R93*Constants!$E$13</f>
        <v>0</v>
      </c>
      <c r="AI93" s="156">
        <f>S93*Constants!$E$18</f>
        <v>0</v>
      </c>
      <c r="AJ93" s="156">
        <f>T93*Constants!$E$17</f>
        <v>31.350362169590873</v>
      </c>
      <c r="AK93" s="156">
        <f>U93*Constants!$E$3</f>
        <v>11.104079933388844</v>
      </c>
      <c r="AL93" s="156">
        <f>V93*Constants!$E$4</f>
        <v>0</v>
      </c>
      <c r="AM93">
        <f>W93*Constants!$E$6</f>
        <v>0</v>
      </c>
    </row>
    <row r="94" spans="1:39">
      <c r="A94" s="113">
        <f>'lab journal'!W95</f>
        <v>202.90277777778101</v>
      </c>
      <c r="B94" s="114">
        <v>0</v>
      </c>
      <c r="C94" s="114">
        <v>0</v>
      </c>
      <c r="D94" s="114">
        <v>0</v>
      </c>
      <c r="E94" s="114">
        <v>0</v>
      </c>
      <c r="F94" s="114">
        <v>0</v>
      </c>
      <c r="G94" s="114">
        <v>5</v>
      </c>
      <c r="H94">
        <v>17.670000000000002</v>
      </c>
      <c r="I94" t="s">
        <v>202</v>
      </c>
      <c r="J94" t="s">
        <v>202</v>
      </c>
      <c r="K94" s="115">
        <f t="shared" si="8"/>
        <v>0</v>
      </c>
      <c r="L94" s="115">
        <f t="shared" si="9"/>
        <v>0</v>
      </c>
      <c r="M94" s="115">
        <f t="shared" si="10"/>
        <v>0</v>
      </c>
      <c r="N94" s="115">
        <f t="shared" si="11"/>
        <v>0</v>
      </c>
      <c r="O94" s="115">
        <v>100</v>
      </c>
      <c r="P94" s="202">
        <f>K94/Constants!$C$12</f>
        <v>0</v>
      </c>
      <c r="Q94" s="202">
        <f>L94/Constants!$C$11</f>
        <v>0</v>
      </c>
      <c r="R94" s="202">
        <f>M94/Constants!$C$13</f>
        <v>0</v>
      </c>
      <c r="S94" s="202">
        <f>N94/Constants!$C$18</f>
        <v>0</v>
      </c>
      <c r="T94" s="202">
        <f>O94/Constants!$C$17</f>
        <v>0.36453909499524273</v>
      </c>
      <c r="U94" s="202">
        <f>IF(H94="n.a.", 0, H94*G94/Constants!$C$3)</f>
        <v>1.4712739383846796</v>
      </c>
      <c r="V94" s="202">
        <f>IF(I94="n.a.", 0, I94*G94/Constants!$C$4)</f>
        <v>0</v>
      </c>
      <c r="W94" s="202">
        <f>IF(J94="n.a.", 0, J94*G94/Constants!$C$6)</f>
        <v>0</v>
      </c>
      <c r="X94">
        <f>P94*Constants!$D$12</f>
        <v>0</v>
      </c>
      <c r="Y94">
        <f>Q94*Constants!$D$11</f>
        <v>0</v>
      </c>
      <c r="Z94">
        <f>R94*Constants!$D$13</f>
        <v>0</v>
      </c>
      <c r="AA94">
        <f>S94*Constants!$D$18</f>
        <v>0</v>
      </c>
      <c r="AB94">
        <f>T94*Constants!$D$17</f>
        <v>6.9262428049096121</v>
      </c>
      <c r="AC94" s="156">
        <f>U94*Constants!$D$3</f>
        <v>2.9425478767693591</v>
      </c>
      <c r="AD94" s="156">
        <f>V94*Constants!$D$4</f>
        <v>0</v>
      </c>
      <c r="AE94" s="156">
        <f>W94*Constants!$D$6</f>
        <v>0</v>
      </c>
      <c r="AF94" s="156">
        <f>P94*Constants!$E$12</f>
        <v>0</v>
      </c>
      <c r="AG94" s="156">
        <f>Q94*Constants!$E$11</f>
        <v>0</v>
      </c>
      <c r="AH94" s="156">
        <f>R94*Constants!$E$13</f>
        <v>0</v>
      </c>
      <c r="AI94" s="156">
        <f>S94*Constants!$E$18</f>
        <v>0</v>
      </c>
      <c r="AJ94" s="156">
        <f>T94*Constants!$E$17</f>
        <v>31.350362169590873</v>
      </c>
      <c r="AK94" s="156">
        <f>U94*Constants!$E$3</f>
        <v>11.770191507077437</v>
      </c>
      <c r="AL94" s="156">
        <f>V94*Constants!$E$4</f>
        <v>0</v>
      </c>
      <c r="AM94">
        <f>W94*Constants!$E$6</f>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660A6-81ED-4BA6-956D-24BE448FDF22}">
  <dimension ref="A1:BF94"/>
  <sheetViews>
    <sheetView workbookViewId="0">
      <pane xSplit="1" ySplit="3" topLeftCell="B4" activePane="bottomRight" state="frozen"/>
      <selection pane="topRight" activeCell="B1" sqref="B1"/>
      <selection pane="bottomLeft" activeCell="A4" sqref="A4"/>
      <selection pane="bottomRight" activeCell="N4" sqref="N4"/>
    </sheetView>
  </sheetViews>
  <sheetFormatPr defaultColWidth="9.140625" defaultRowHeight="15"/>
  <cols>
    <col min="1" max="3" width="9.140625" style="200"/>
    <col min="4" max="4" width="13.7109375" style="200" customWidth="1"/>
    <col min="5" max="5" width="9.140625" style="200"/>
    <col min="6" max="6" width="10.7109375" style="200" customWidth="1"/>
    <col min="7" max="8" width="9.140625" style="200"/>
    <col min="9" max="9" width="13" style="200" customWidth="1"/>
    <col min="10" max="10" width="11" style="200" customWidth="1"/>
    <col min="11" max="11" width="13" style="200" customWidth="1"/>
    <col min="12" max="12" width="12.5703125" style="200" customWidth="1"/>
    <col min="13" max="13" width="13" style="200" customWidth="1"/>
    <col min="14" max="14" width="12.85546875" style="200" customWidth="1"/>
    <col min="15" max="15" width="9.140625" style="200"/>
    <col min="16" max="16" width="11.28515625" style="200" customWidth="1"/>
    <col min="17" max="18" width="9.140625" style="200"/>
    <col min="19" max="19" width="9.5703125" style="200" customWidth="1"/>
    <col min="20" max="20" width="11.85546875" style="200" customWidth="1"/>
    <col min="21" max="21" width="11.7109375" style="200" customWidth="1"/>
    <col min="22" max="24" width="11.5703125" style="200" customWidth="1"/>
    <col min="25" max="25" width="11.7109375" style="200" bestFit="1" customWidth="1"/>
    <col min="26" max="26" width="9.140625" style="200"/>
    <col min="27" max="27" width="13.140625" style="200" customWidth="1"/>
    <col min="28" max="29" width="9.140625" style="200"/>
    <col min="30" max="30" width="10.7109375" style="200" customWidth="1"/>
    <col min="31" max="31" width="13.140625" style="200" customWidth="1"/>
    <col min="32" max="32" width="12.42578125" style="200" customWidth="1"/>
    <col min="33" max="33" width="13.28515625" style="200" customWidth="1"/>
    <col min="34" max="34" width="14.28515625" style="200" customWidth="1"/>
    <col min="35" max="35" width="14.42578125" style="200" customWidth="1"/>
    <col min="36" max="36" width="13.42578125" style="200" customWidth="1"/>
    <col min="37" max="37" width="9.140625" style="200"/>
    <col min="38" max="38" width="11.85546875" style="200" customWidth="1"/>
    <col min="39" max="40" width="9.140625" style="200"/>
    <col min="41" max="41" width="11.42578125" style="200" customWidth="1"/>
    <col min="42" max="42" width="12.140625" style="200" customWidth="1"/>
    <col min="43" max="43" width="11.42578125" style="200" customWidth="1"/>
    <col min="44" max="44" width="13.5703125" style="200" customWidth="1"/>
    <col min="45" max="45" width="12.5703125" style="200" customWidth="1"/>
    <col min="46" max="46" width="12.140625" style="200" customWidth="1"/>
    <col min="47" max="47" width="12.7109375" style="200" customWidth="1"/>
    <col min="48" max="48" width="9.140625" style="200"/>
    <col min="49" max="49" width="12.5703125" style="200" customWidth="1"/>
    <col min="50" max="51" width="9.140625" style="200"/>
    <col min="52" max="52" width="10.85546875" style="200" customWidth="1"/>
    <col min="53" max="53" width="13.28515625" style="200" customWidth="1"/>
    <col min="54" max="54" width="13.140625" style="200" customWidth="1"/>
    <col min="55" max="55" width="11.7109375" style="200" customWidth="1"/>
    <col min="56" max="56" width="12.140625" style="200" customWidth="1"/>
    <col min="57" max="57" width="11.28515625" style="200" customWidth="1"/>
    <col min="58" max="58" width="12.140625" style="200" customWidth="1"/>
    <col min="59" max="16384" width="9.140625" style="200"/>
  </cols>
  <sheetData>
    <row r="1" spans="1:58" s="189" customFormat="1" ht="37.5" customHeight="1">
      <c r="B1" s="189" t="s">
        <v>206</v>
      </c>
      <c r="G1" s="189" t="s">
        <v>207</v>
      </c>
      <c r="O1" s="190" t="s">
        <v>208</v>
      </c>
    </row>
    <row r="2" spans="1:58" s="191" customFormat="1" ht="21" customHeight="1">
      <c r="B2" s="191" t="s">
        <v>196</v>
      </c>
      <c r="C2" s="191" t="s">
        <v>142</v>
      </c>
      <c r="D2" s="191" t="s">
        <v>142</v>
      </c>
      <c r="E2" s="191" t="s">
        <v>142</v>
      </c>
      <c r="F2" s="191" t="s">
        <v>142</v>
      </c>
      <c r="G2" s="191" t="s">
        <v>196</v>
      </c>
      <c r="H2" s="191" t="s">
        <v>142</v>
      </c>
      <c r="I2" s="191" t="s">
        <v>142</v>
      </c>
      <c r="J2" s="191" t="s">
        <v>142</v>
      </c>
      <c r="K2" s="191" t="s">
        <v>142</v>
      </c>
      <c r="L2" s="191" t="s">
        <v>142</v>
      </c>
      <c r="M2" s="191" t="s">
        <v>142</v>
      </c>
      <c r="N2" s="191" t="s">
        <v>142</v>
      </c>
      <c r="O2" s="191" t="s">
        <v>142</v>
      </c>
      <c r="P2" s="191" t="s">
        <v>142</v>
      </c>
      <c r="Q2" s="191" t="s">
        <v>142</v>
      </c>
      <c r="R2" s="191" t="s">
        <v>142</v>
      </c>
      <c r="S2" s="191" t="s">
        <v>142</v>
      </c>
      <c r="T2" s="191" t="s">
        <v>142</v>
      </c>
      <c r="U2" s="191" t="s">
        <v>142</v>
      </c>
      <c r="V2" s="191" t="s">
        <v>142</v>
      </c>
      <c r="W2" s="191" t="s">
        <v>142</v>
      </c>
      <c r="X2" s="191" t="s">
        <v>142</v>
      </c>
      <c r="Y2" s="191" t="s">
        <v>142</v>
      </c>
      <c r="Z2" s="191" t="s">
        <v>152</v>
      </c>
      <c r="AA2" s="191" t="s">
        <v>152</v>
      </c>
      <c r="AB2" s="191" t="s">
        <v>152</v>
      </c>
      <c r="AC2" s="191" t="s">
        <v>152</v>
      </c>
      <c r="AD2" s="191" t="s">
        <v>152</v>
      </c>
      <c r="AE2" s="191" t="s">
        <v>152</v>
      </c>
      <c r="AF2" s="191" t="s">
        <v>152</v>
      </c>
      <c r="AG2" s="191" t="s">
        <v>152</v>
      </c>
      <c r="AH2" s="191" t="s">
        <v>152</v>
      </c>
      <c r="AI2" s="191" t="s">
        <v>152</v>
      </c>
      <c r="AJ2" s="191" t="s">
        <v>152</v>
      </c>
      <c r="AK2" s="191" t="s">
        <v>153</v>
      </c>
      <c r="AL2" s="191" t="s">
        <v>153</v>
      </c>
      <c r="AM2" s="191" t="s">
        <v>153</v>
      </c>
      <c r="AN2" s="191" t="s">
        <v>153</v>
      </c>
      <c r="AO2" s="191" t="s">
        <v>153</v>
      </c>
      <c r="AP2" s="191" t="s">
        <v>153</v>
      </c>
      <c r="AQ2" s="191" t="s">
        <v>153</v>
      </c>
      <c r="AR2" s="191" t="s">
        <v>153</v>
      </c>
      <c r="AS2" s="191" t="s">
        <v>153</v>
      </c>
      <c r="AT2" s="191" t="s">
        <v>153</v>
      </c>
      <c r="AU2" s="191" t="s">
        <v>153</v>
      </c>
      <c r="AV2" s="191" t="s">
        <v>210</v>
      </c>
      <c r="AW2" s="191" t="s">
        <v>210</v>
      </c>
      <c r="AX2" s="191" t="s">
        <v>210</v>
      </c>
      <c r="AY2" s="191" t="s">
        <v>210</v>
      </c>
      <c r="AZ2" s="191" t="s">
        <v>210</v>
      </c>
      <c r="BA2" s="191" t="s">
        <v>210</v>
      </c>
      <c r="BB2" s="191" t="s">
        <v>210</v>
      </c>
      <c r="BC2" s="191" t="s">
        <v>210</v>
      </c>
      <c r="BD2" s="191" t="s">
        <v>210</v>
      </c>
      <c r="BE2" s="191" t="s">
        <v>210</v>
      </c>
      <c r="BF2" s="191" t="s">
        <v>210</v>
      </c>
    </row>
    <row r="3" spans="1:58" s="198" customFormat="1" ht="31.5">
      <c r="A3" s="191" t="str">
        <f>'Influent Concentration'!A3</f>
        <v>Days</v>
      </c>
      <c r="B3" s="192" t="s">
        <v>201</v>
      </c>
      <c r="C3" s="193" t="s">
        <v>143</v>
      </c>
      <c r="D3" s="193" t="s">
        <v>144</v>
      </c>
      <c r="E3" s="193" t="s">
        <v>145</v>
      </c>
      <c r="F3" s="193" t="s">
        <v>198</v>
      </c>
      <c r="G3" s="192" t="s">
        <v>205</v>
      </c>
      <c r="H3" s="193" t="s">
        <v>147</v>
      </c>
      <c r="I3" s="193" t="s">
        <v>148</v>
      </c>
      <c r="J3" s="193" t="s">
        <v>203</v>
      </c>
      <c r="K3" s="193" t="s">
        <v>149</v>
      </c>
      <c r="L3" s="193" t="s">
        <v>204</v>
      </c>
      <c r="M3" s="193" t="s">
        <v>150</v>
      </c>
      <c r="N3" s="193" t="s">
        <v>151</v>
      </c>
      <c r="O3" s="194" t="s">
        <v>143</v>
      </c>
      <c r="P3" s="194" t="s">
        <v>144</v>
      </c>
      <c r="Q3" s="194" t="s">
        <v>145</v>
      </c>
      <c r="R3" s="194" t="s">
        <v>198</v>
      </c>
      <c r="S3" s="194" t="s">
        <v>147</v>
      </c>
      <c r="T3" s="194" t="s">
        <v>148</v>
      </c>
      <c r="U3" s="194" t="s">
        <v>203</v>
      </c>
      <c r="V3" s="194" t="s">
        <v>149</v>
      </c>
      <c r="W3" s="194" t="s">
        <v>204</v>
      </c>
      <c r="X3" s="194" t="s">
        <v>150</v>
      </c>
      <c r="Y3" s="194" t="s">
        <v>151</v>
      </c>
      <c r="Z3" s="195" t="s">
        <v>143</v>
      </c>
      <c r="AA3" s="195" t="s">
        <v>144</v>
      </c>
      <c r="AB3" s="195" t="s">
        <v>145</v>
      </c>
      <c r="AC3" s="195" t="s">
        <v>198</v>
      </c>
      <c r="AD3" s="195" t="s">
        <v>147</v>
      </c>
      <c r="AE3" s="195" t="s">
        <v>148</v>
      </c>
      <c r="AF3" s="195" t="s">
        <v>203</v>
      </c>
      <c r="AG3" s="195" t="s">
        <v>149</v>
      </c>
      <c r="AH3" s="195" t="s">
        <v>204</v>
      </c>
      <c r="AI3" s="195" t="s">
        <v>150</v>
      </c>
      <c r="AJ3" s="195" t="s">
        <v>151</v>
      </c>
      <c r="AK3" s="196" t="s">
        <v>143</v>
      </c>
      <c r="AL3" s="196" t="s">
        <v>144</v>
      </c>
      <c r="AM3" s="196" t="s">
        <v>145</v>
      </c>
      <c r="AN3" s="196" t="s">
        <v>198</v>
      </c>
      <c r="AO3" s="196" t="s">
        <v>147</v>
      </c>
      <c r="AP3" s="196" t="s">
        <v>148</v>
      </c>
      <c r="AQ3" s="196" t="s">
        <v>203</v>
      </c>
      <c r="AR3" s="196" t="s">
        <v>149</v>
      </c>
      <c r="AS3" s="196" t="s">
        <v>204</v>
      </c>
      <c r="AT3" s="196" t="s">
        <v>150</v>
      </c>
      <c r="AU3" s="196" t="s">
        <v>151</v>
      </c>
      <c r="AV3" s="197" t="s">
        <v>143</v>
      </c>
      <c r="AW3" s="197" t="s">
        <v>144</v>
      </c>
      <c r="AX3" s="197" t="s">
        <v>145</v>
      </c>
      <c r="AY3" s="197" t="s">
        <v>198</v>
      </c>
      <c r="AZ3" s="197" t="s">
        <v>147</v>
      </c>
      <c r="BA3" s="197" t="s">
        <v>148</v>
      </c>
      <c r="BB3" s="197" t="s">
        <v>203</v>
      </c>
      <c r="BC3" s="197" t="s">
        <v>149</v>
      </c>
      <c r="BD3" s="197" t="s">
        <v>204</v>
      </c>
      <c r="BE3" s="197" t="s">
        <v>150</v>
      </c>
      <c r="BF3" s="197" t="s">
        <v>151</v>
      </c>
    </row>
    <row r="4" spans="1:58">
      <c r="A4" s="199">
        <f>'Influent Concentration'!A4</f>
        <v>0</v>
      </c>
      <c r="B4" s="201">
        <v>100</v>
      </c>
      <c r="C4" s="201">
        <v>49.18</v>
      </c>
      <c r="D4" s="201">
        <v>0</v>
      </c>
      <c r="E4" s="201">
        <v>7.46</v>
      </c>
      <c r="F4" s="201">
        <v>6.63</v>
      </c>
      <c r="G4" s="201">
        <v>5</v>
      </c>
      <c r="H4" s="201" t="s">
        <v>202</v>
      </c>
      <c r="I4" s="201" t="s">
        <v>202</v>
      </c>
      <c r="J4" s="201" t="s">
        <v>202</v>
      </c>
      <c r="K4" s="201">
        <v>1.28</v>
      </c>
      <c r="L4" s="201" t="s">
        <v>202</v>
      </c>
      <c r="M4" s="201" t="s">
        <v>202</v>
      </c>
      <c r="N4" s="201" t="s">
        <v>202</v>
      </c>
      <c r="O4" s="200">
        <f>IF(C4="n.a.", 0, C4*B4)</f>
        <v>4918</v>
      </c>
      <c r="P4" s="200">
        <f>IF(D4="n.a.", 0, D4*B4)</f>
        <v>0</v>
      </c>
      <c r="Q4" s="200">
        <f>IF(E4="n.a.", 0, E4*B4)</f>
        <v>746</v>
      </c>
      <c r="R4" s="200">
        <f>IF(F4="n.a.", 0, F4*B4)</f>
        <v>663</v>
      </c>
      <c r="S4" s="200">
        <f>IF(H4="n.a.", 0, H4*G4)</f>
        <v>0</v>
      </c>
      <c r="T4" s="200">
        <f>IF(I4="n.a.", 0, I4*G4)</f>
        <v>0</v>
      </c>
      <c r="U4" s="200">
        <f>IF(J4="n.a.", 0, J4*G4)</f>
        <v>0</v>
      </c>
      <c r="V4" s="200">
        <f>IF(K4="n.a.", 0, K4*G4)</f>
        <v>6.4</v>
      </c>
      <c r="W4" s="200">
        <f>IF(L4="n.a.", 0, L4*G4)</f>
        <v>0</v>
      </c>
      <c r="X4" s="200">
        <f>IF(M4="n.a.", 0, M4*G4)</f>
        <v>0</v>
      </c>
      <c r="Y4" s="200">
        <f>IF(N4="n.a.", 0, N4*G4)</f>
        <v>0</v>
      </c>
      <c r="Z4" s="216">
        <f>O4/Constants!$C$12</f>
        <v>47.240993424875967</v>
      </c>
      <c r="AA4" s="216">
        <f>P4/Constants!$C$11</f>
        <v>0</v>
      </c>
      <c r="AB4" s="216">
        <f>Q4/Constants!$C$13</f>
        <v>8.2815275310834817</v>
      </c>
      <c r="AC4" s="216">
        <f>R4/Constants!$C$18</f>
        <v>5.6124608482180651</v>
      </c>
      <c r="AD4" s="216">
        <f>S4/Constants!$C$3</f>
        <v>0</v>
      </c>
      <c r="AE4" s="216">
        <f>T4/Constants!$C$4</f>
        <v>0</v>
      </c>
      <c r="AF4" s="216">
        <f>U4/Constants!$C$5</f>
        <v>0</v>
      </c>
      <c r="AG4" s="216">
        <f>V4/Constants!$C$6</f>
        <v>7.2636477130859162E-2</v>
      </c>
      <c r="AH4" s="216">
        <f>W4/Constants!$C$7</f>
        <v>0</v>
      </c>
      <c r="AI4" s="216">
        <f>X4/Constants!$C$8</f>
        <v>0</v>
      </c>
      <c r="AJ4" s="216">
        <f>Y4/Constants!$C$10</f>
        <v>0</v>
      </c>
      <c r="AK4" s="213">
        <f>Z4*Constants!$D$12</f>
        <v>188.96397369950387</v>
      </c>
      <c r="AL4" s="213">
        <f>AA4*Constants!$D$11</f>
        <v>0</v>
      </c>
      <c r="AM4" s="213">
        <f>AB4*Constants!$D$13</f>
        <v>24.844582593250443</v>
      </c>
      <c r="AN4" s="213">
        <f>AC4*Constants!$D$18</f>
        <v>28.062304241090324</v>
      </c>
      <c r="AO4" s="214">
        <f>AD4*Constants!$D$3</f>
        <v>0</v>
      </c>
      <c r="AP4" s="214">
        <f>AE4*Constants!$D$4</f>
        <v>0</v>
      </c>
      <c r="AQ4" s="214">
        <f>AF4*Constants!$D$5</f>
        <v>0</v>
      </c>
      <c r="AR4" s="214">
        <f>AG4*Constants!$D$6</f>
        <v>0.29054590852343665</v>
      </c>
      <c r="AS4" s="214">
        <f>AH4*Constants!$D$7</f>
        <v>0</v>
      </c>
      <c r="AT4" s="214">
        <f>AI4*Constants!$D$8</f>
        <v>0</v>
      </c>
      <c r="AU4" s="214">
        <f>AJ4*Constants!$D$10</f>
        <v>0</v>
      </c>
      <c r="AV4" s="199">
        <f>Z4*Constants!$E$12</f>
        <v>850.3378816477674</v>
      </c>
      <c r="AW4" s="199">
        <f>AA4*Constants!$E$11</f>
        <v>0</v>
      </c>
      <c r="AX4" s="199">
        <f>AB4*Constants!$E$13</f>
        <v>99.378330373001774</v>
      </c>
      <c r="AY4" s="199">
        <f>AC4*Constants!$E$18</f>
        <v>134.69906035723358</v>
      </c>
      <c r="AZ4" s="199">
        <f>AD4*Constants!$E$3</f>
        <v>0</v>
      </c>
      <c r="BA4" s="199">
        <f>AE4*Constants!$E$4</f>
        <v>0</v>
      </c>
      <c r="BB4" s="199">
        <f>AF4*Constants!$E$5</f>
        <v>0</v>
      </c>
      <c r="BC4" s="199">
        <f>AG4*Constants!$E$6</f>
        <v>1.4527295426171833</v>
      </c>
      <c r="BD4" s="199">
        <f>AH4*Constants!$E$7</f>
        <v>0</v>
      </c>
      <c r="BE4" s="199">
        <f>AI4*Constants!$E$8</f>
        <v>0</v>
      </c>
      <c r="BF4" s="199">
        <f>AJ4*Constants!$E$10</f>
        <v>0</v>
      </c>
    </row>
    <row r="5" spans="1:58">
      <c r="A5" s="199">
        <f>'Influent Concentration'!A5</f>
        <v>0.95138888889050577</v>
      </c>
      <c r="B5" s="201">
        <v>100</v>
      </c>
      <c r="C5" s="201">
        <v>72.39</v>
      </c>
      <c r="D5" s="201" t="s">
        <v>202</v>
      </c>
      <c r="E5" s="201" t="s">
        <v>202</v>
      </c>
      <c r="F5" s="201">
        <v>4.05</v>
      </c>
      <c r="G5" s="201">
        <v>10</v>
      </c>
      <c r="H5" s="201">
        <v>95.86</v>
      </c>
      <c r="I5" s="201" t="s">
        <v>202</v>
      </c>
      <c r="J5" s="201">
        <v>0.11</v>
      </c>
      <c r="K5" s="201">
        <v>30.05</v>
      </c>
      <c r="L5" s="201" t="s">
        <v>202</v>
      </c>
      <c r="M5" s="201">
        <v>1.03</v>
      </c>
      <c r="N5" s="201">
        <v>0.39</v>
      </c>
      <c r="O5" s="200">
        <f t="shared" ref="O5:O68" si="0">IF(C5="n.a.", 0, C5*B5)</f>
        <v>7239</v>
      </c>
      <c r="P5" s="200">
        <f t="shared" ref="P5:P68" si="1">IF(D5="n.a.", 0, D5*B5)</f>
        <v>0</v>
      </c>
      <c r="Q5" s="200">
        <f t="shared" ref="Q5:Q68" si="2">IF(E5="n.a.", 0, E5*B5)</f>
        <v>0</v>
      </c>
      <c r="R5" s="200">
        <f t="shared" ref="R5:R68" si="3">IF(F5="n.a.", 0, F5*B5)</f>
        <v>405</v>
      </c>
      <c r="S5" s="200">
        <f>IF(H5="n.a.", 0, H5*G5)</f>
        <v>958.6</v>
      </c>
      <c r="T5" s="200">
        <f t="shared" ref="T5:T68" si="4">IF(I5="n.a.", 0, I5*G5)</f>
        <v>0</v>
      </c>
      <c r="U5" s="200">
        <f t="shared" ref="U5:U68" si="5">IF(J5="n.a.", 0, J5*G5)</f>
        <v>1.1000000000000001</v>
      </c>
      <c r="V5" s="200">
        <f t="shared" ref="V5:V68" si="6">IF(K5="n.a.", 0, K5*G5)</f>
        <v>300.5</v>
      </c>
      <c r="W5" s="200">
        <f t="shared" ref="W5:W68" si="7">IF(L5="n.a.", 0, L5*G5)</f>
        <v>0</v>
      </c>
      <c r="X5" s="200">
        <f t="shared" ref="X5:X68" si="8">IF(M5="n.a.", 0, M5*G5)</f>
        <v>10.3</v>
      </c>
      <c r="Y5" s="200">
        <f t="shared" ref="Y5:Y68" si="9">IF(N5="n.a.", 0, N5*G5)</f>
        <v>3.9000000000000004</v>
      </c>
      <c r="Z5" s="216">
        <f>O5/Constants!$C$12</f>
        <v>69.535899024537841</v>
      </c>
      <c r="AA5" s="216">
        <f>P5/Constants!$C$11</f>
        <v>0</v>
      </c>
      <c r="AB5" s="216">
        <f>Q5/Constants!$C$13</f>
        <v>0</v>
      </c>
      <c r="AC5" s="216">
        <f>R5/Constants!$C$18</f>
        <v>3.4284263099974606</v>
      </c>
      <c r="AD5" s="216">
        <f>S5/Constants!$C$3</f>
        <v>15.963363863447128</v>
      </c>
      <c r="AE5" s="216">
        <f>T5/Constants!$C$4</f>
        <v>0</v>
      </c>
      <c r="AF5" s="216">
        <f>U5/Constants!$C$5</f>
        <v>1.2484394506866418E-2</v>
      </c>
      <c r="AG5" s="216">
        <f>V5/Constants!$C$6</f>
        <v>3.410509590284871</v>
      </c>
      <c r="AH5" s="216">
        <f>W5/Constants!$C$7</f>
        <v>0</v>
      </c>
      <c r="AI5" s="216">
        <f>X5/Constants!$C$8</f>
        <v>0.10085185547831196</v>
      </c>
      <c r="AJ5" s="216">
        <f>Y5/Constants!$C$10</f>
        <v>3.3574380165289262E-2</v>
      </c>
      <c r="AK5" s="213">
        <f>Z5*Constants!$D$12</f>
        <v>278.14359609815136</v>
      </c>
      <c r="AL5" s="213">
        <f>AA5*Constants!$D$11</f>
        <v>0</v>
      </c>
      <c r="AM5" s="213">
        <f>AB5*Constants!$D$13</f>
        <v>0</v>
      </c>
      <c r="AN5" s="213">
        <f>AC5*Constants!$D$18</f>
        <v>17.142131549987305</v>
      </c>
      <c r="AO5" s="214">
        <f>AD5*Constants!$D$3</f>
        <v>31.926727726894256</v>
      </c>
      <c r="AP5" s="214">
        <f>AE5*Constants!$D$4</f>
        <v>0</v>
      </c>
      <c r="AQ5" s="214">
        <f>AF5*Constants!$D$5</f>
        <v>4.9937578027465672E-2</v>
      </c>
      <c r="AR5" s="214">
        <f>AG5*Constants!$D$6</f>
        <v>13.642038361139484</v>
      </c>
      <c r="AS5" s="214">
        <f>AH5*Constants!$D$7</f>
        <v>0</v>
      </c>
      <c r="AT5" s="214">
        <f>AI5*Constants!$D$8</f>
        <v>0.50425927739155985</v>
      </c>
      <c r="AU5" s="214">
        <f>AJ5*Constants!$D$10</f>
        <v>0.20144628099173556</v>
      </c>
      <c r="AV5" s="199">
        <f>Z5*Constants!$E$12</f>
        <v>1251.646182441681</v>
      </c>
      <c r="AW5" s="199">
        <f>AA5*Constants!$E$11</f>
        <v>0</v>
      </c>
      <c r="AX5" s="199">
        <f>AB5*Constants!$E$13</f>
        <v>0</v>
      </c>
      <c r="AY5" s="199">
        <f>AC5*Constants!$E$18</f>
        <v>82.282231439939054</v>
      </c>
      <c r="AZ5" s="199">
        <f>AD5*Constants!$E$3</f>
        <v>127.70691090757703</v>
      </c>
      <c r="BA5" s="199">
        <f>AE5*Constants!$E$4</f>
        <v>0</v>
      </c>
      <c r="BB5" s="199">
        <f>AF5*Constants!$E$5</f>
        <v>0.24968789013732837</v>
      </c>
      <c r="BC5" s="199">
        <f>AG5*Constants!$E$6</f>
        <v>68.21019180569742</v>
      </c>
      <c r="BD5" s="199">
        <f>AH5*Constants!$E$7</f>
        <v>0</v>
      </c>
      <c r="BE5" s="199">
        <f>AI5*Constants!$E$8</f>
        <v>2.6221482424361109</v>
      </c>
      <c r="BF5" s="199">
        <f>AJ5*Constants!$E$10</f>
        <v>1.0743801652892564</v>
      </c>
    </row>
    <row r="6" spans="1:58">
      <c r="A6" s="199">
        <f>'Influent Concentration'!A6</f>
        <v>4.0208333333357587</v>
      </c>
      <c r="B6" s="201">
        <v>100</v>
      </c>
      <c r="C6" s="201">
        <v>60.83</v>
      </c>
      <c r="D6" s="201">
        <v>7.0000000000000007E-2</v>
      </c>
      <c r="E6" s="201" t="s">
        <v>202</v>
      </c>
      <c r="F6" s="201">
        <v>0.8</v>
      </c>
      <c r="G6" s="201">
        <v>10</v>
      </c>
      <c r="H6" s="201">
        <v>78.88</v>
      </c>
      <c r="I6" s="201">
        <v>2.91</v>
      </c>
      <c r="J6" s="201">
        <v>0.17</v>
      </c>
      <c r="K6" s="201">
        <v>141.80000000000001</v>
      </c>
      <c r="L6" s="201">
        <v>0.26</v>
      </c>
      <c r="M6" s="201">
        <v>1.4</v>
      </c>
      <c r="N6" s="201">
        <v>0.53</v>
      </c>
      <c r="O6" s="200">
        <f t="shared" si="0"/>
        <v>6083</v>
      </c>
      <c r="P6" s="200">
        <f t="shared" si="1"/>
        <v>7.0000000000000009</v>
      </c>
      <c r="Q6" s="200">
        <f t="shared" si="2"/>
        <v>0</v>
      </c>
      <c r="R6" s="200">
        <f t="shared" si="3"/>
        <v>80</v>
      </c>
      <c r="S6" s="200">
        <f t="shared" ref="S6:S68" si="10">IF(H6="n.a.", 0, H6*G6)</f>
        <v>788.8</v>
      </c>
      <c r="T6" s="200">
        <f t="shared" si="4"/>
        <v>29.1</v>
      </c>
      <c r="U6" s="200">
        <f t="shared" si="5"/>
        <v>1.7000000000000002</v>
      </c>
      <c r="V6" s="200">
        <f t="shared" si="6"/>
        <v>1418</v>
      </c>
      <c r="W6" s="200">
        <f t="shared" si="7"/>
        <v>2.6</v>
      </c>
      <c r="X6" s="200">
        <f t="shared" si="8"/>
        <v>14</v>
      </c>
      <c r="Y6" s="200">
        <f t="shared" si="9"/>
        <v>5.3000000000000007</v>
      </c>
      <c r="Z6" s="216">
        <f>O6/Constants!$C$12</f>
        <v>58.431672021862646</v>
      </c>
      <c r="AA6" s="216">
        <f>P6/Constants!$C$11</f>
        <v>8.131025670809619E-2</v>
      </c>
      <c r="AB6" s="216">
        <f>Q6/Constants!$C$13</f>
        <v>0</v>
      </c>
      <c r="AC6" s="216">
        <f>R6/Constants!$C$18</f>
        <v>0.67722001185135028</v>
      </c>
      <c r="AD6" s="216">
        <f>S6/Constants!$C$3</f>
        <v>13.13572023313905</v>
      </c>
      <c r="AE6" s="216">
        <f>T6/Constants!$C$4</f>
        <v>0.3928185745140389</v>
      </c>
      <c r="AF6" s="216">
        <f>U6/Constants!$C$5</f>
        <v>1.9294064237884465E-2</v>
      </c>
      <c r="AG6" s="216">
        <f>V6/Constants!$C$6</f>
        <v>16.093519464305981</v>
      </c>
      <c r="AH6" s="216">
        <f>W6/Constants!$C$7</f>
        <v>2.5457749926564185E-2</v>
      </c>
      <c r="AI6" s="216">
        <f>X6/Constants!$C$8</f>
        <v>0.1370801919122687</v>
      </c>
      <c r="AJ6" s="216">
        <f>Y6/Constants!$C$10</f>
        <v>4.5626721763085409E-2</v>
      </c>
      <c r="AK6" s="213">
        <f>Z6*Constants!$D$12</f>
        <v>233.72668808745058</v>
      </c>
      <c r="AL6" s="213">
        <f>AA6*Constants!$D$11</f>
        <v>0.32524102683238476</v>
      </c>
      <c r="AM6" s="213">
        <f>AB6*Constants!$D$13</f>
        <v>0</v>
      </c>
      <c r="AN6" s="213">
        <f>AC6*Constants!$D$18</f>
        <v>3.3861000592567514</v>
      </c>
      <c r="AO6" s="214">
        <f>AD6*Constants!$D$3</f>
        <v>26.271440466278101</v>
      </c>
      <c r="AP6" s="214">
        <f>AE6*Constants!$D$4</f>
        <v>1.1784557235421167</v>
      </c>
      <c r="AQ6" s="214">
        <f>AF6*Constants!$D$5</f>
        <v>7.7176256951537861E-2</v>
      </c>
      <c r="AR6" s="214">
        <f>AG6*Constants!$D$6</f>
        <v>64.374077857223924</v>
      </c>
      <c r="AS6" s="214">
        <f>AH6*Constants!$D$7</f>
        <v>0.12728874963282091</v>
      </c>
      <c r="AT6" s="214">
        <f>AI6*Constants!$D$8</f>
        <v>0.6854009595613435</v>
      </c>
      <c r="AU6" s="214">
        <f>AJ6*Constants!$D$10</f>
        <v>0.27376033057851246</v>
      </c>
      <c r="AV6" s="199">
        <f>Z6*Constants!$E$12</f>
        <v>1051.7700963935276</v>
      </c>
      <c r="AW6" s="199">
        <f>AA6*Constants!$E$11</f>
        <v>1.4635846207457315</v>
      </c>
      <c r="AX6" s="199">
        <f>AB6*Constants!$E$13</f>
        <v>0</v>
      </c>
      <c r="AY6" s="199">
        <f>AC6*Constants!$E$18</f>
        <v>16.253280284432407</v>
      </c>
      <c r="AZ6" s="199">
        <f>AD6*Constants!$E$3</f>
        <v>105.0857618651124</v>
      </c>
      <c r="BA6" s="199">
        <f>AE6*Constants!$E$4</f>
        <v>5.4994600431965441</v>
      </c>
      <c r="BB6" s="199">
        <f>AF6*Constants!$E$5</f>
        <v>0.38588128475768929</v>
      </c>
      <c r="BC6" s="199">
        <f>AG6*Constants!$E$6</f>
        <v>321.87038928611963</v>
      </c>
      <c r="BD6" s="199">
        <f>AH6*Constants!$E$7</f>
        <v>0.66190149809066878</v>
      </c>
      <c r="BE6" s="199">
        <f>AI6*Constants!$E$8</f>
        <v>3.5640849897189861</v>
      </c>
      <c r="BF6" s="199">
        <f>AJ6*Constants!$E$10</f>
        <v>1.4600550964187331</v>
      </c>
    </row>
    <row r="7" spans="1:58" s="245" customFormat="1">
      <c r="A7" s="243">
        <f>'Influent Concentration'!A7</f>
        <v>5.7222222222262644</v>
      </c>
      <c r="B7" s="244">
        <v>100</v>
      </c>
      <c r="C7" s="244">
        <v>48.64</v>
      </c>
      <c r="D7" s="244">
        <v>0.1</v>
      </c>
      <c r="E7" s="244" t="s">
        <v>202</v>
      </c>
      <c r="F7" s="244" t="s">
        <v>202</v>
      </c>
      <c r="G7" s="244">
        <v>10</v>
      </c>
      <c r="H7" s="244">
        <v>256.72000000000003</v>
      </c>
      <c r="I7" s="244">
        <v>3.78</v>
      </c>
      <c r="J7" s="244">
        <v>0.32</v>
      </c>
      <c r="K7" s="244">
        <v>226.74</v>
      </c>
      <c r="L7" s="244">
        <v>0.43</v>
      </c>
      <c r="M7" s="244">
        <v>1</v>
      </c>
      <c r="N7" s="244">
        <v>2.61</v>
      </c>
      <c r="O7" s="245">
        <f t="shared" si="0"/>
        <v>4864</v>
      </c>
      <c r="P7" s="245">
        <f t="shared" si="1"/>
        <v>10</v>
      </c>
      <c r="Q7" s="245">
        <f t="shared" si="2"/>
        <v>0</v>
      </c>
      <c r="R7" s="245">
        <f t="shared" si="3"/>
        <v>0</v>
      </c>
      <c r="S7" s="245">
        <f t="shared" si="10"/>
        <v>2567.2000000000003</v>
      </c>
      <c r="T7" s="245">
        <f t="shared" si="4"/>
        <v>37.799999999999997</v>
      </c>
      <c r="U7" s="245">
        <f t="shared" si="5"/>
        <v>3.2</v>
      </c>
      <c r="V7" s="245">
        <f t="shared" si="6"/>
        <v>2267.4</v>
      </c>
      <c r="W7" s="245">
        <f t="shared" si="7"/>
        <v>4.3</v>
      </c>
      <c r="X7" s="245">
        <f t="shared" si="8"/>
        <v>10</v>
      </c>
      <c r="Y7" s="245">
        <f t="shared" si="9"/>
        <v>26.099999999999998</v>
      </c>
      <c r="Z7" s="246">
        <f>O7/Constants!$C$12</f>
        <v>46.722283859007057</v>
      </c>
      <c r="AA7" s="246">
        <f>P7/Constants!$C$11</f>
        <v>0.11615750958299453</v>
      </c>
      <c r="AB7" s="246">
        <f>Q7/Constants!$C$13</f>
        <v>0</v>
      </c>
      <c r="AC7" s="246">
        <f>R7/Constants!$C$18</f>
        <v>0</v>
      </c>
      <c r="AD7" s="246">
        <f>S7/Constants!$C$3</f>
        <v>42.751040799333893</v>
      </c>
      <c r="AE7" s="246">
        <f>T7/Constants!$C$4</f>
        <v>0.51025917926565867</v>
      </c>
      <c r="AF7" s="246">
        <f>U7/Constants!$C$5</f>
        <v>3.6318238565429581E-2</v>
      </c>
      <c r="AG7" s="246">
        <f>V7/Constants!$C$6</f>
        <v>25.733741913517196</v>
      </c>
      <c r="AH7" s="246">
        <f>W7/Constants!$C$7</f>
        <v>4.2103201801625377E-2</v>
      </c>
      <c r="AI7" s="246">
        <f>X7/Constants!$C$8</f>
        <v>9.7914422794477637E-2</v>
      </c>
      <c r="AJ7" s="246">
        <f>Y7/Constants!$C$10</f>
        <v>0.22469008264462809</v>
      </c>
      <c r="AK7" s="247">
        <f>Z7*Constants!$D$12</f>
        <v>186.88913543602823</v>
      </c>
      <c r="AL7" s="247">
        <f>AA7*Constants!$D$11</f>
        <v>0.46463003833197813</v>
      </c>
      <c r="AM7" s="247">
        <f>AB7*Constants!$D$13</f>
        <v>0</v>
      </c>
      <c r="AN7" s="247">
        <f>AC7*Constants!$D$18</f>
        <v>0</v>
      </c>
      <c r="AO7" s="248">
        <f>AD7*Constants!$D$3</f>
        <v>85.502081598667786</v>
      </c>
      <c r="AP7" s="248">
        <f>AE7*Constants!$D$4</f>
        <v>1.5307775377969759</v>
      </c>
      <c r="AQ7" s="248">
        <f>AF7*Constants!$D$5</f>
        <v>0.14527295426171832</v>
      </c>
      <c r="AR7" s="248">
        <f>AG7*Constants!$D$6</f>
        <v>102.93496765406879</v>
      </c>
      <c r="AS7" s="248">
        <f>AH7*Constants!$D$7</f>
        <v>0.21051600900812689</v>
      </c>
      <c r="AT7" s="248">
        <f>AI7*Constants!$D$8</f>
        <v>0.4895721139723882</v>
      </c>
      <c r="AU7" s="248">
        <f>AJ7*Constants!$D$10</f>
        <v>1.3481404958677685</v>
      </c>
      <c r="AV7" s="243">
        <f>Z7*Constants!$E$12</f>
        <v>841.00110946212703</v>
      </c>
      <c r="AW7" s="243">
        <f>AA7*Constants!$E$11</f>
        <v>2.0908351724939016</v>
      </c>
      <c r="AX7" s="243">
        <f>AB7*Constants!$E$13</f>
        <v>0</v>
      </c>
      <c r="AY7" s="243">
        <f>AC7*Constants!$E$18</f>
        <v>0</v>
      </c>
      <c r="AZ7" s="243">
        <f>AD7*Constants!$E$3</f>
        <v>342.00832639467114</v>
      </c>
      <c r="BA7" s="243">
        <f>AE7*Constants!$E$4</f>
        <v>7.1436285097192211</v>
      </c>
      <c r="BB7" s="243">
        <f>AF7*Constants!$E$5</f>
        <v>0.72636477130859167</v>
      </c>
      <c r="BC7" s="243">
        <f>AG7*Constants!$E$6</f>
        <v>514.67483827034391</v>
      </c>
      <c r="BD7" s="243">
        <f>AH7*Constants!$E$7</f>
        <v>1.0946832468422598</v>
      </c>
      <c r="BE7" s="243">
        <f>AI7*Constants!$E$8</f>
        <v>2.5457749926564186</v>
      </c>
      <c r="BF7" s="243">
        <f>AJ7*Constants!$E$10</f>
        <v>7.1900826446280988</v>
      </c>
    </row>
    <row r="8" spans="1:58">
      <c r="A8" s="199">
        <f>'Influent Concentration'!A8</f>
        <v>6.7687500000029104</v>
      </c>
      <c r="B8" s="201">
        <v>10</v>
      </c>
      <c r="C8" s="201">
        <v>36.840000000000003</v>
      </c>
      <c r="D8" s="201">
        <v>0.76</v>
      </c>
      <c r="E8" s="201" t="s">
        <v>202</v>
      </c>
      <c r="F8" s="201">
        <v>1.37</v>
      </c>
      <c r="G8" s="201">
        <v>10</v>
      </c>
      <c r="H8" s="201">
        <v>343.59</v>
      </c>
      <c r="I8" s="201">
        <v>4.1100000000000003</v>
      </c>
      <c r="J8" s="201">
        <v>0.42</v>
      </c>
      <c r="K8" s="201">
        <v>273.69</v>
      </c>
      <c r="L8" s="201">
        <v>0.62</v>
      </c>
      <c r="M8" s="201">
        <v>1.4</v>
      </c>
      <c r="N8" s="201">
        <v>2.7</v>
      </c>
      <c r="O8" s="200">
        <f t="shared" si="0"/>
        <v>368.40000000000003</v>
      </c>
      <c r="P8" s="200">
        <f t="shared" si="1"/>
        <v>7.6</v>
      </c>
      <c r="Q8" s="200">
        <f t="shared" si="2"/>
        <v>0</v>
      </c>
      <c r="R8" s="200">
        <f t="shared" si="3"/>
        <v>13.700000000000001</v>
      </c>
      <c r="S8" s="200">
        <f t="shared" si="10"/>
        <v>3435.8999999999996</v>
      </c>
      <c r="T8" s="200">
        <f t="shared" si="4"/>
        <v>41.1</v>
      </c>
      <c r="U8" s="200">
        <f t="shared" si="5"/>
        <v>4.2</v>
      </c>
      <c r="V8" s="200">
        <f t="shared" si="6"/>
        <v>2736.9</v>
      </c>
      <c r="W8" s="200">
        <f t="shared" si="7"/>
        <v>6.2</v>
      </c>
      <c r="X8" s="200">
        <f t="shared" si="8"/>
        <v>14</v>
      </c>
      <c r="Y8" s="200">
        <f t="shared" si="9"/>
        <v>27</v>
      </c>
      <c r="Z8" s="216">
        <f>O8/Constants!$C$12</f>
        <v>3.5387519271501233</v>
      </c>
      <c r="AA8" s="216">
        <f>P8/Constants!$C$11</f>
        <v>8.8279707283075839E-2</v>
      </c>
      <c r="AB8" s="216">
        <f>Q8/Constants!$C$13</f>
        <v>0</v>
      </c>
      <c r="AC8" s="216">
        <f>R8/Constants!$C$18</f>
        <v>0.11597392702954373</v>
      </c>
      <c r="AD8" s="216">
        <f>S8/Constants!$C$3</f>
        <v>57.217318900915899</v>
      </c>
      <c r="AE8" s="216">
        <f>T8/Constants!$C$4</f>
        <v>0.55480561555075603</v>
      </c>
      <c r="AF8" s="216">
        <f>U8/Constants!$C$5</f>
        <v>4.7667688117126322E-2</v>
      </c>
      <c r="AG8" s="216">
        <f>V8/Constants!$C$6</f>
        <v>31.062308478038815</v>
      </c>
      <c r="AH8" s="216">
        <f>W8/Constants!$C$7</f>
        <v>6.070694213257613E-2</v>
      </c>
      <c r="AI8" s="216">
        <f>X8/Constants!$C$8</f>
        <v>0.1370801919122687</v>
      </c>
      <c r="AJ8" s="216">
        <f>Y8/Constants!$C$10</f>
        <v>0.23243801652892562</v>
      </c>
      <c r="AK8" s="199">
        <f>Z8*Constants!$D$12</f>
        <v>14.155007708600493</v>
      </c>
      <c r="AL8" s="199">
        <f>AA8*Constants!$D$11</f>
        <v>0.35311882913230336</v>
      </c>
      <c r="AM8" s="199">
        <f>AB8*Constants!$D$13</f>
        <v>0</v>
      </c>
      <c r="AN8" s="199">
        <f>AC8*Constants!$D$18</f>
        <v>0.57986963514771861</v>
      </c>
      <c r="AO8" s="199">
        <f>AD8*Constants!$D$3</f>
        <v>114.4346378018318</v>
      </c>
      <c r="AP8" s="199">
        <f>AE8*Constants!$D$4</f>
        <v>1.664416846652268</v>
      </c>
      <c r="AQ8" s="199">
        <f>AF8*Constants!$D$5</f>
        <v>0.19067075246850529</v>
      </c>
      <c r="AR8" s="199">
        <f>AG8*Constants!$D$6</f>
        <v>124.24923391215526</v>
      </c>
      <c r="AS8" s="199">
        <f>AH8*Constants!$D$7</f>
        <v>0.30353471066288062</v>
      </c>
      <c r="AT8" s="199">
        <f>AI8*Constants!$D$8</f>
        <v>0.6854009595613435</v>
      </c>
      <c r="AU8" s="199">
        <f>AJ8*Constants!$D$10</f>
        <v>1.3946280991735538</v>
      </c>
      <c r="AV8" s="199">
        <f>Z8*Constants!$E$12</f>
        <v>63.69753468870222</v>
      </c>
      <c r="AW8" s="199">
        <f>AA8*Constants!$E$11</f>
        <v>1.5890347310953652</v>
      </c>
      <c r="AX8" s="199">
        <f>AB8*Constants!$E$13</f>
        <v>0</v>
      </c>
      <c r="AY8" s="199">
        <f>AC8*Constants!$E$18</f>
        <v>2.7833742487090496</v>
      </c>
      <c r="AZ8" s="199">
        <f>AD8*Constants!$E$3</f>
        <v>457.73855120732719</v>
      </c>
      <c r="BA8" s="199">
        <f>AE8*Constants!$E$4</f>
        <v>7.7672786177105841</v>
      </c>
      <c r="BB8" s="199">
        <f>AF8*Constants!$E$5</f>
        <v>0.95335376234252645</v>
      </c>
      <c r="BC8" s="199">
        <f>AG8*Constants!$E$6</f>
        <v>621.24616956077625</v>
      </c>
      <c r="BD8" s="199">
        <f>AH8*Constants!$E$7</f>
        <v>1.5783804954469793</v>
      </c>
      <c r="BE8" s="199">
        <f>AI8*Constants!$E$8</f>
        <v>3.5640849897189861</v>
      </c>
      <c r="BF8" s="199">
        <f>AJ8*Constants!$E$10</f>
        <v>7.4380165289256199</v>
      </c>
    </row>
    <row r="9" spans="1:58">
      <c r="A9" s="199">
        <f>'Influent Concentration'!A9</f>
        <v>7.7881944444452529</v>
      </c>
      <c r="B9" s="201">
        <v>10</v>
      </c>
      <c r="C9" s="201">
        <v>90.53</v>
      </c>
      <c r="D9" s="201">
        <v>0.45</v>
      </c>
      <c r="E9" s="201" t="s">
        <v>202</v>
      </c>
      <c r="F9" s="201">
        <v>25.81</v>
      </c>
      <c r="G9" s="201">
        <v>20</v>
      </c>
      <c r="H9" s="201">
        <v>258.91000000000003</v>
      </c>
      <c r="I9" s="201">
        <v>2.0499999999999998</v>
      </c>
      <c r="J9" s="201">
        <v>0.38</v>
      </c>
      <c r="K9" s="201">
        <v>206.5</v>
      </c>
      <c r="L9" s="201">
        <v>0.28999999999999998</v>
      </c>
      <c r="M9" s="201">
        <v>1.6</v>
      </c>
      <c r="N9" s="201">
        <v>2.6</v>
      </c>
      <c r="O9" s="200">
        <f t="shared" si="0"/>
        <v>905.3</v>
      </c>
      <c r="P9" s="200">
        <f t="shared" si="1"/>
        <v>4.5</v>
      </c>
      <c r="Q9" s="200">
        <f t="shared" si="2"/>
        <v>0</v>
      </c>
      <c r="R9" s="200">
        <f t="shared" si="3"/>
        <v>258.09999999999997</v>
      </c>
      <c r="S9" s="200">
        <f t="shared" si="10"/>
        <v>5178.2000000000007</v>
      </c>
      <c r="T9" s="200">
        <f t="shared" si="4"/>
        <v>41</v>
      </c>
      <c r="U9" s="200">
        <f t="shared" si="5"/>
        <v>7.6</v>
      </c>
      <c r="V9" s="200">
        <f t="shared" si="6"/>
        <v>4130</v>
      </c>
      <c r="W9" s="200">
        <f t="shared" si="7"/>
        <v>5.8</v>
      </c>
      <c r="X9" s="200">
        <f t="shared" si="8"/>
        <v>32</v>
      </c>
      <c r="Y9" s="200">
        <f t="shared" si="9"/>
        <v>52</v>
      </c>
      <c r="Z9" s="216">
        <f>O9/Constants!$C$12</f>
        <v>8.6960698144652717</v>
      </c>
      <c r="AA9" s="216">
        <f>P9/Constants!$C$11</f>
        <v>5.2270879312347543E-2</v>
      </c>
      <c r="AB9" s="216">
        <f>Q9/Constants!$C$13</f>
        <v>0</v>
      </c>
      <c r="AC9" s="216">
        <f>R9/Constants!$C$18</f>
        <v>2.1848810632354185</v>
      </c>
      <c r="AD9" s="216">
        <f>S9/Constants!$C$3</f>
        <v>86.231473771856798</v>
      </c>
      <c r="AE9" s="216">
        <f>T9/Constants!$C$4</f>
        <v>0.5534557235421167</v>
      </c>
      <c r="AF9" s="216">
        <f>U9/Constants!$C$5</f>
        <v>8.6255816592895246E-2</v>
      </c>
      <c r="AG9" s="216">
        <f>V9/Constants!$C$6</f>
        <v>46.873226648507547</v>
      </c>
      <c r="AH9" s="216">
        <f>W9/Constants!$C$7</f>
        <v>5.6790365220797022E-2</v>
      </c>
      <c r="AI9" s="216">
        <f>X9/Constants!$C$8</f>
        <v>0.31332615294232841</v>
      </c>
      <c r="AJ9" s="216">
        <f>Y9/Constants!$C$10</f>
        <v>0.44765840220385678</v>
      </c>
      <c r="AK9" s="199">
        <f>Z9*Constants!$D$12</f>
        <v>34.784279257861087</v>
      </c>
      <c r="AL9" s="199">
        <f>AA9*Constants!$D$11</f>
        <v>0.20908351724939017</v>
      </c>
      <c r="AM9" s="199">
        <f>AB9*Constants!$D$13</f>
        <v>0</v>
      </c>
      <c r="AN9" s="199">
        <f>AC9*Constants!$D$18</f>
        <v>10.924405316177094</v>
      </c>
      <c r="AO9" s="199">
        <f>AD9*Constants!$D$3</f>
        <v>172.4629475437136</v>
      </c>
      <c r="AP9" s="199">
        <f>AE9*Constants!$D$4</f>
        <v>1.6603671706263501</v>
      </c>
      <c r="AQ9" s="199">
        <f>AF9*Constants!$D$5</f>
        <v>0.34502326637158098</v>
      </c>
      <c r="AR9" s="199">
        <f>AG9*Constants!$D$6</f>
        <v>187.49290659403019</v>
      </c>
      <c r="AS9" s="199">
        <f>AH9*Constants!$D$7</f>
        <v>0.28395182610398512</v>
      </c>
      <c r="AT9" s="199">
        <f>AI9*Constants!$D$8</f>
        <v>1.566630764711642</v>
      </c>
      <c r="AU9" s="199">
        <f>AJ9*Constants!$D$10</f>
        <v>2.6859504132231407</v>
      </c>
      <c r="AV9" s="199">
        <f>Z9*Constants!$E$12</f>
        <v>156.5292566603749</v>
      </c>
      <c r="AW9" s="199">
        <f>AA9*Constants!$E$11</f>
        <v>0.94087582762225574</v>
      </c>
      <c r="AX9" s="199">
        <f>AB9*Constants!$E$13</f>
        <v>0</v>
      </c>
      <c r="AY9" s="199">
        <f>AC9*Constants!$E$18</f>
        <v>52.437145517650045</v>
      </c>
      <c r="AZ9" s="199">
        <f>AD9*Constants!$E$3</f>
        <v>689.85179017485439</v>
      </c>
      <c r="BA9" s="199">
        <f>AE9*Constants!$E$4</f>
        <v>7.7483801295896342</v>
      </c>
      <c r="BB9" s="199">
        <f>AF9*Constants!$E$5</f>
        <v>1.725116331857905</v>
      </c>
      <c r="BC9" s="199">
        <f>AG9*Constants!$E$6</f>
        <v>937.46453297015091</v>
      </c>
      <c r="BD9" s="199">
        <f>AH9*Constants!$E$7</f>
        <v>1.4765494957407226</v>
      </c>
      <c r="BE9" s="199">
        <f>AI9*Constants!$E$8</f>
        <v>8.1464799765005385</v>
      </c>
      <c r="BF9" s="199">
        <f>AJ9*Constants!$E$10</f>
        <v>14.325068870523417</v>
      </c>
    </row>
    <row r="10" spans="1:58">
      <c r="A10" s="199">
        <f>'Influent Concentration'!A10</f>
        <v>10.788194444445253</v>
      </c>
      <c r="B10" s="201">
        <v>10</v>
      </c>
      <c r="C10" s="201">
        <v>15.72</v>
      </c>
      <c r="D10" s="201">
        <v>0.18</v>
      </c>
      <c r="E10" s="201" t="s">
        <v>202</v>
      </c>
      <c r="F10" s="201" t="s">
        <v>202</v>
      </c>
      <c r="G10" s="201">
        <v>20</v>
      </c>
      <c r="H10" s="201">
        <v>297.64</v>
      </c>
      <c r="I10" s="201">
        <v>5.88</v>
      </c>
      <c r="J10" s="201">
        <v>0.26</v>
      </c>
      <c r="K10" s="201">
        <v>255.85</v>
      </c>
      <c r="L10" s="201">
        <v>0.28000000000000003</v>
      </c>
      <c r="M10" s="201">
        <v>2.36</v>
      </c>
      <c r="N10" s="201">
        <v>2.87</v>
      </c>
      <c r="O10" s="200">
        <f t="shared" si="0"/>
        <v>157.20000000000002</v>
      </c>
      <c r="P10" s="200">
        <f t="shared" si="1"/>
        <v>1.7999999999999998</v>
      </c>
      <c r="Q10" s="200">
        <f t="shared" si="2"/>
        <v>0</v>
      </c>
      <c r="R10" s="200">
        <f t="shared" si="3"/>
        <v>0</v>
      </c>
      <c r="S10" s="200">
        <f t="shared" si="10"/>
        <v>5952.7999999999993</v>
      </c>
      <c r="T10" s="200">
        <f t="shared" si="4"/>
        <v>117.6</v>
      </c>
      <c r="U10" s="200">
        <f t="shared" si="5"/>
        <v>5.2</v>
      </c>
      <c r="V10" s="200">
        <f t="shared" si="6"/>
        <v>5117</v>
      </c>
      <c r="W10" s="200">
        <f t="shared" si="7"/>
        <v>5.6000000000000005</v>
      </c>
      <c r="X10" s="200">
        <f t="shared" si="8"/>
        <v>47.199999999999996</v>
      </c>
      <c r="Y10" s="200">
        <f t="shared" si="9"/>
        <v>57.400000000000006</v>
      </c>
      <c r="Z10" s="216">
        <f>O10/Constants!$C$12</f>
        <v>1.5100211806406065</v>
      </c>
      <c r="AA10" s="216">
        <f>P10/Constants!$C$11</f>
        <v>2.0908351724939014E-2</v>
      </c>
      <c r="AB10" s="216">
        <f>Q10/Constants!$C$13</f>
        <v>0</v>
      </c>
      <c r="AC10" s="216">
        <f>R10/Constants!$C$18</f>
        <v>0</v>
      </c>
      <c r="AD10" s="216">
        <f>S10/Constants!$C$3</f>
        <v>99.130724396336376</v>
      </c>
      <c r="AE10" s="216">
        <f>T10/Constants!$C$4</f>
        <v>1.5874730021598271</v>
      </c>
      <c r="AF10" s="216">
        <f>U10/Constants!$C$5</f>
        <v>5.9017137668823064E-2</v>
      </c>
      <c r="AG10" s="216">
        <f>V10/Constants!$C$6</f>
        <v>58.075133356032232</v>
      </c>
      <c r="AH10" s="216">
        <f>W10/Constants!$C$7</f>
        <v>5.4832076764907478E-2</v>
      </c>
      <c r="AI10" s="216">
        <f>X10/Constants!$C$8</f>
        <v>0.46215607558993438</v>
      </c>
      <c r="AJ10" s="216">
        <f>Y10/Constants!$C$10</f>
        <v>0.49414600550964194</v>
      </c>
      <c r="AK10" s="199">
        <f>Z10*Constants!$D$12</f>
        <v>6.0400847225624261</v>
      </c>
      <c r="AL10" s="199">
        <f>AA10*Constants!$D$11</f>
        <v>8.3633406899756055E-2</v>
      </c>
      <c r="AM10" s="199">
        <f>AB10*Constants!$D$13</f>
        <v>0</v>
      </c>
      <c r="AN10" s="199">
        <f>AC10*Constants!$D$18</f>
        <v>0</v>
      </c>
      <c r="AO10" s="199">
        <f>AD10*Constants!$D$3</f>
        <v>198.26144879267275</v>
      </c>
      <c r="AP10" s="199">
        <f>AE10*Constants!$D$4</f>
        <v>4.7624190064794814</v>
      </c>
      <c r="AQ10" s="199">
        <f>AF10*Constants!$D$5</f>
        <v>0.23606855067529225</v>
      </c>
      <c r="AR10" s="199">
        <f>AG10*Constants!$D$6</f>
        <v>232.30053342412893</v>
      </c>
      <c r="AS10" s="199">
        <f>AH10*Constants!$D$7</f>
        <v>0.27416038382453739</v>
      </c>
      <c r="AT10" s="199">
        <f>AI10*Constants!$D$8</f>
        <v>2.3107803779496718</v>
      </c>
      <c r="AU10" s="199">
        <f>AJ10*Constants!$D$10</f>
        <v>2.9648760330578519</v>
      </c>
      <c r="AV10" s="199">
        <f>Z10*Constants!$E$12</f>
        <v>27.180381251530918</v>
      </c>
      <c r="AW10" s="199">
        <f>AA10*Constants!$E$11</f>
        <v>0.37635033104890225</v>
      </c>
      <c r="AX10" s="199">
        <f>AB10*Constants!$E$13</f>
        <v>0</v>
      </c>
      <c r="AY10" s="199">
        <f>AC10*Constants!$E$18</f>
        <v>0</v>
      </c>
      <c r="AZ10" s="199">
        <f>AD10*Constants!$E$3</f>
        <v>793.04579517069101</v>
      </c>
      <c r="BA10" s="199">
        <f>AE10*Constants!$E$4</f>
        <v>22.22462203023758</v>
      </c>
      <c r="BB10" s="199">
        <f>AF10*Constants!$E$5</f>
        <v>1.1803427533764612</v>
      </c>
      <c r="BC10" s="199">
        <f>AG10*Constants!$E$6</f>
        <v>1161.5026671206447</v>
      </c>
      <c r="BD10" s="199">
        <f>AH10*Constants!$E$7</f>
        <v>1.4256339958875945</v>
      </c>
      <c r="BE10" s="199">
        <f>AI10*Constants!$E$8</f>
        <v>12.016057965338295</v>
      </c>
      <c r="BF10" s="199">
        <f>AJ10*Constants!$E$10</f>
        <v>15.812672176308542</v>
      </c>
    </row>
    <row r="11" spans="1:58">
      <c r="A11" s="199">
        <f>'Influent Concentration'!A11</f>
        <v>12.790972222224809</v>
      </c>
      <c r="B11" s="201">
        <v>10</v>
      </c>
      <c r="C11" s="201">
        <v>58.89</v>
      </c>
      <c r="D11" s="201">
        <v>0.56000000000000005</v>
      </c>
      <c r="E11" s="201" t="s">
        <v>202</v>
      </c>
      <c r="F11" s="201">
        <v>1.27</v>
      </c>
      <c r="G11" s="201">
        <v>20</v>
      </c>
      <c r="H11" s="201">
        <v>300.66000000000003</v>
      </c>
      <c r="I11" s="201">
        <v>13.24</v>
      </c>
      <c r="J11" s="201">
        <v>0.32</v>
      </c>
      <c r="K11" s="201">
        <v>236.76</v>
      </c>
      <c r="L11" s="201">
        <v>0.25</v>
      </c>
      <c r="M11" s="201">
        <v>2.87</v>
      </c>
      <c r="N11" s="201">
        <v>2.71</v>
      </c>
      <c r="O11" s="200">
        <f t="shared" si="0"/>
        <v>588.9</v>
      </c>
      <c r="P11" s="200">
        <f t="shared" si="1"/>
        <v>5.6000000000000005</v>
      </c>
      <c r="Q11" s="200">
        <f t="shared" si="2"/>
        <v>0</v>
      </c>
      <c r="R11" s="200">
        <f t="shared" si="3"/>
        <v>12.7</v>
      </c>
      <c r="S11" s="200">
        <f t="shared" si="10"/>
        <v>6013.2000000000007</v>
      </c>
      <c r="T11" s="200">
        <f t="shared" si="4"/>
        <v>264.8</v>
      </c>
      <c r="U11" s="200">
        <f t="shared" si="5"/>
        <v>6.4</v>
      </c>
      <c r="V11" s="200">
        <f t="shared" si="6"/>
        <v>4735.2</v>
      </c>
      <c r="W11" s="200">
        <f t="shared" si="7"/>
        <v>5</v>
      </c>
      <c r="X11" s="200">
        <f t="shared" si="8"/>
        <v>57.400000000000006</v>
      </c>
      <c r="Y11" s="200">
        <f t="shared" si="9"/>
        <v>54.2</v>
      </c>
      <c r="Z11" s="216">
        <f>O11/Constants!$C$12</f>
        <v>5.6568159877815081</v>
      </c>
      <c r="AA11" s="216">
        <f>P11/Constants!$C$11</f>
        <v>6.5048205366476944E-2</v>
      </c>
      <c r="AB11" s="216">
        <f>Q11/Constants!$C$13</f>
        <v>0</v>
      </c>
      <c r="AC11" s="216">
        <f>R11/Constants!$C$18</f>
        <v>0.10750867688140184</v>
      </c>
      <c r="AD11" s="216">
        <f>S11/Constants!$C$3</f>
        <v>100.13655287260617</v>
      </c>
      <c r="AE11" s="216">
        <f>T11/Constants!$C$4</f>
        <v>3.5745140388768899</v>
      </c>
      <c r="AF11" s="216">
        <f>U11/Constants!$C$5</f>
        <v>7.2636477130859162E-2</v>
      </c>
      <c r="AG11" s="216">
        <f>V11/Constants!$C$6</f>
        <v>53.741913517194412</v>
      </c>
      <c r="AH11" s="216">
        <f>W11/Constants!$C$7</f>
        <v>4.8957211397238819E-2</v>
      </c>
      <c r="AI11" s="216">
        <f>X11/Constants!$C$8</f>
        <v>0.56202878684030166</v>
      </c>
      <c r="AJ11" s="216">
        <f>Y11/Constants!$C$10</f>
        <v>0.46659779614325075</v>
      </c>
      <c r="AK11" s="199">
        <f>Z11*Constants!$D$12</f>
        <v>22.627263951126032</v>
      </c>
      <c r="AL11" s="199">
        <f>AA11*Constants!$D$11</f>
        <v>0.26019282146590778</v>
      </c>
      <c r="AM11" s="199">
        <f>AB11*Constants!$D$13</f>
        <v>0</v>
      </c>
      <c r="AN11" s="199">
        <f>AC11*Constants!$D$18</f>
        <v>0.53754338440700922</v>
      </c>
      <c r="AO11" s="199">
        <f>AD11*Constants!$D$3</f>
        <v>200.27310574521235</v>
      </c>
      <c r="AP11" s="199">
        <f>AE11*Constants!$D$4</f>
        <v>10.72354211663067</v>
      </c>
      <c r="AQ11" s="199">
        <f>AF11*Constants!$D$5</f>
        <v>0.29054590852343665</v>
      </c>
      <c r="AR11" s="199">
        <f>AG11*Constants!$D$6</f>
        <v>214.96765406877765</v>
      </c>
      <c r="AS11" s="199">
        <f>AH11*Constants!$D$7</f>
        <v>0.2447860569861941</v>
      </c>
      <c r="AT11" s="199">
        <f>AI11*Constants!$D$8</f>
        <v>2.8101439342015082</v>
      </c>
      <c r="AU11" s="199">
        <f>AJ11*Constants!$D$10</f>
        <v>2.7995867768595044</v>
      </c>
      <c r="AV11" s="199">
        <f>Z11*Constants!$E$12</f>
        <v>101.82268778006714</v>
      </c>
      <c r="AW11" s="199">
        <f>AA11*Constants!$E$11</f>
        <v>1.170867696596585</v>
      </c>
      <c r="AX11" s="199">
        <f>AB11*Constants!$E$13</f>
        <v>0</v>
      </c>
      <c r="AY11" s="199">
        <f>AC11*Constants!$E$18</f>
        <v>2.5802082451536439</v>
      </c>
      <c r="AZ11" s="199">
        <f>AD11*Constants!$E$3</f>
        <v>801.09242298084939</v>
      </c>
      <c r="BA11" s="199">
        <f>AE11*Constants!$E$4</f>
        <v>50.043196544276455</v>
      </c>
      <c r="BB11" s="199">
        <f>AF11*Constants!$E$5</f>
        <v>1.4527295426171833</v>
      </c>
      <c r="BC11" s="199">
        <f>AG11*Constants!$E$6</f>
        <v>1074.8382703438883</v>
      </c>
      <c r="BD11" s="199">
        <f>AH11*Constants!$E$7</f>
        <v>1.2728874963282093</v>
      </c>
      <c r="BE11" s="199">
        <f>AI11*Constants!$E$8</f>
        <v>14.612748457847843</v>
      </c>
      <c r="BF11" s="199">
        <f>AJ11*Constants!$E$10</f>
        <v>14.931129476584024</v>
      </c>
    </row>
    <row r="12" spans="1:58">
      <c r="A12" s="199">
        <f>'Influent Concentration'!A12</f>
        <v>14.790277777778101</v>
      </c>
      <c r="B12" s="201">
        <v>10</v>
      </c>
      <c r="C12" s="201">
        <v>7.89</v>
      </c>
      <c r="D12" s="201">
        <v>0.44</v>
      </c>
      <c r="E12" s="201" t="s">
        <v>202</v>
      </c>
      <c r="F12" s="201" t="s">
        <v>202</v>
      </c>
      <c r="G12" s="201">
        <v>20</v>
      </c>
      <c r="H12" s="201">
        <v>324.95</v>
      </c>
      <c r="I12" s="201">
        <v>15.69</v>
      </c>
      <c r="J12" s="201">
        <v>0.38</v>
      </c>
      <c r="K12" s="201">
        <v>242.2</v>
      </c>
      <c r="L12" s="201">
        <v>0.24</v>
      </c>
      <c r="M12" s="201">
        <v>3.53</v>
      </c>
      <c r="N12" s="201">
        <v>1.64</v>
      </c>
      <c r="O12" s="200">
        <f t="shared" si="0"/>
        <v>78.899999999999991</v>
      </c>
      <c r="P12" s="200">
        <f t="shared" si="1"/>
        <v>4.4000000000000004</v>
      </c>
      <c r="Q12" s="200">
        <f t="shared" si="2"/>
        <v>0</v>
      </c>
      <c r="R12" s="200">
        <f t="shared" si="3"/>
        <v>0</v>
      </c>
      <c r="S12" s="200">
        <f t="shared" si="10"/>
        <v>6499</v>
      </c>
      <c r="T12" s="200">
        <f t="shared" si="4"/>
        <v>313.8</v>
      </c>
      <c r="U12" s="200">
        <f t="shared" si="5"/>
        <v>7.6</v>
      </c>
      <c r="V12" s="200">
        <f t="shared" si="6"/>
        <v>4844</v>
      </c>
      <c r="W12" s="200">
        <f t="shared" si="7"/>
        <v>4.8</v>
      </c>
      <c r="X12" s="200">
        <f t="shared" si="8"/>
        <v>70.599999999999994</v>
      </c>
      <c r="Y12" s="200">
        <f t="shared" si="9"/>
        <v>32.799999999999997</v>
      </c>
      <c r="Z12" s="216">
        <f>O12/Constants!$C$12</f>
        <v>0.75789231013068592</v>
      </c>
      <c r="AA12" s="216">
        <f>P12/Constants!$C$11</f>
        <v>5.1109304216517597E-2</v>
      </c>
      <c r="AB12" s="216">
        <f>Q12/Constants!$C$13</f>
        <v>0</v>
      </c>
      <c r="AC12" s="216">
        <f>R12/Constants!$C$18</f>
        <v>0</v>
      </c>
      <c r="AD12" s="216">
        <f>S12/Constants!$C$3</f>
        <v>108.22647793505412</v>
      </c>
      <c r="AE12" s="216">
        <f>T12/Constants!$C$4</f>
        <v>4.235961123110151</v>
      </c>
      <c r="AF12" s="216">
        <f>U12/Constants!$C$5</f>
        <v>8.6255816592895246E-2</v>
      </c>
      <c r="AG12" s="216">
        <f>V12/Constants!$C$6</f>
        <v>54.976733628419019</v>
      </c>
      <c r="AH12" s="216">
        <f>W12/Constants!$C$7</f>
        <v>4.6998922941349261E-2</v>
      </c>
      <c r="AI12" s="216">
        <f>X12/Constants!$C$8</f>
        <v>0.69127582492901207</v>
      </c>
      <c r="AJ12" s="216">
        <f>Y12/Constants!$C$10</f>
        <v>0.28236914600550961</v>
      </c>
      <c r="AK12" s="199">
        <f>Z12*Constants!$D$12</f>
        <v>3.0315692405227437</v>
      </c>
      <c r="AL12" s="199">
        <f>AA12*Constants!$D$11</f>
        <v>0.20443721686607039</v>
      </c>
      <c r="AM12" s="199">
        <f>AB12*Constants!$D$13</f>
        <v>0</v>
      </c>
      <c r="AN12" s="199">
        <f>AC12*Constants!$D$18</f>
        <v>0</v>
      </c>
      <c r="AO12" s="199">
        <f>AD12*Constants!$D$3</f>
        <v>216.45295587010824</v>
      </c>
      <c r="AP12" s="199">
        <f>AE12*Constants!$D$4</f>
        <v>12.707883369330453</v>
      </c>
      <c r="AQ12" s="199">
        <f>AF12*Constants!$D$5</f>
        <v>0.34502326637158098</v>
      </c>
      <c r="AR12" s="199">
        <f>AG12*Constants!$D$6</f>
        <v>219.90693451367608</v>
      </c>
      <c r="AS12" s="199">
        <f>AH12*Constants!$D$7</f>
        <v>0.23499461470674632</v>
      </c>
      <c r="AT12" s="199">
        <f>AI12*Constants!$D$8</f>
        <v>3.4563791246450606</v>
      </c>
      <c r="AU12" s="199">
        <f>AJ12*Constants!$D$10</f>
        <v>1.6942148760330578</v>
      </c>
      <c r="AV12" s="199">
        <f>Z12*Constants!$E$12</f>
        <v>13.642061582352346</v>
      </c>
      <c r="AW12" s="199">
        <f>AA12*Constants!$E$11</f>
        <v>0.91996747589731676</v>
      </c>
      <c r="AX12" s="199">
        <f>AB12*Constants!$E$13</f>
        <v>0</v>
      </c>
      <c r="AY12" s="199">
        <f>AC12*Constants!$E$18</f>
        <v>0</v>
      </c>
      <c r="AZ12" s="199">
        <f>AD12*Constants!$E$3</f>
        <v>865.81182348043296</v>
      </c>
      <c r="BA12" s="199">
        <f>AE12*Constants!$E$4</f>
        <v>59.303455723542115</v>
      </c>
      <c r="BB12" s="199">
        <f>AF12*Constants!$E$5</f>
        <v>1.725116331857905</v>
      </c>
      <c r="BC12" s="199">
        <f>AG12*Constants!$E$6</f>
        <v>1099.5346725683803</v>
      </c>
      <c r="BD12" s="199">
        <f>AH12*Constants!$E$7</f>
        <v>1.2219719964750808</v>
      </c>
      <c r="BE12" s="199">
        <f>AI12*Constants!$E$8</f>
        <v>17.973171448154314</v>
      </c>
      <c r="BF12" s="199">
        <f>AJ12*Constants!$E$10</f>
        <v>9.0358126721763075</v>
      </c>
    </row>
    <row r="13" spans="1:58">
      <c r="A13" s="199">
        <f>'Influent Concentration'!A13</f>
        <v>17.790277777778101</v>
      </c>
      <c r="B13" s="201">
        <v>10</v>
      </c>
      <c r="C13" s="201">
        <v>6.28</v>
      </c>
      <c r="D13" s="201">
        <v>1.79</v>
      </c>
      <c r="E13" s="201" t="s">
        <v>202</v>
      </c>
      <c r="F13" s="201" t="s">
        <v>202</v>
      </c>
      <c r="G13" s="201">
        <v>20</v>
      </c>
      <c r="H13" s="201">
        <v>326.75</v>
      </c>
      <c r="I13" s="201">
        <v>14.42</v>
      </c>
      <c r="J13" s="201">
        <v>0.19</v>
      </c>
      <c r="K13" s="201">
        <v>235.5</v>
      </c>
      <c r="L13" s="201">
        <v>0.15</v>
      </c>
      <c r="M13" s="201">
        <v>4.3499999999999996</v>
      </c>
      <c r="N13" s="201">
        <v>0.99</v>
      </c>
      <c r="O13" s="200">
        <f t="shared" si="0"/>
        <v>62.800000000000004</v>
      </c>
      <c r="P13" s="200">
        <f t="shared" si="1"/>
        <v>17.899999999999999</v>
      </c>
      <c r="Q13" s="200">
        <f t="shared" si="2"/>
        <v>0</v>
      </c>
      <c r="R13" s="200">
        <f t="shared" si="3"/>
        <v>0</v>
      </c>
      <c r="S13" s="200">
        <f t="shared" si="10"/>
        <v>6535</v>
      </c>
      <c r="T13" s="200">
        <f t="shared" si="4"/>
        <v>288.39999999999998</v>
      </c>
      <c r="U13" s="200">
        <f t="shared" si="5"/>
        <v>3.8</v>
      </c>
      <c r="V13" s="200">
        <f t="shared" si="6"/>
        <v>4710</v>
      </c>
      <c r="W13" s="200">
        <f t="shared" si="7"/>
        <v>3</v>
      </c>
      <c r="X13" s="200">
        <f t="shared" si="8"/>
        <v>87</v>
      </c>
      <c r="Y13" s="200">
        <f t="shared" si="9"/>
        <v>19.8</v>
      </c>
      <c r="Z13" s="216">
        <f>O13/Constants!$C$12</f>
        <v>0.60324001364014046</v>
      </c>
      <c r="AA13" s="216">
        <f>P13/Constants!$C$11</f>
        <v>0.20792194215356019</v>
      </c>
      <c r="AB13" s="216">
        <f>Q13/Constants!$C$13</f>
        <v>0</v>
      </c>
      <c r="AC13" s="216">
        <f>R13/Constants!$C$18</f>
        <v>0</v>
      </c>
      <c r="AD13" s="216">
        <f>S13/Constants!$C$3</f>
        <v>108.82597835137386</v>
      </c>
      <c r="AE13" s="216">
        <f>T13/Constants!$C$4</f>
        <v>3.8930885529157666</v>
      </c>
      <c r="AF13" s="216">
        <f>U13/Constants!$C$5</f>
        <v>4.3127908296447623E-2</v>
      </c>
      <c r="AG13" s="216">
        <f>V13/Constants!$C$6</f>
        <v>53.45590738849166</v>
      </c>
      <c r="AH13" s="216">
        <f>W13/Constants!$C$7</f>
        <v>2.937432683834329E-2</v>
      </c>
      <c r="AI13" s="216">
        <f>X13/Constants!$C$8</f>
        <v>0.85185547831195541</v>
      </c>
      <c r="AJ13" s="216">
        <f>Y13/Constants!$C$10</f>
        <v>0.17045454545454547</v>
      </c>
      <c r="AK13" s="199">
        <f>Z13*Constants!$D$12</f>
        <v>2.4129600545605618</v>
      </c>
      <c r="AL13" s="199">
        <f>AA13*Constants!$D$11</f>
        <v>0.83168776861424076</v>
      </c>
      <c r="AM13" s="199">
        <f>AB13*Constants!$D$13</f>
        <v>0</v>
      </c>
      <c r="AN13" s="199">
        <f>AC13*Constants!$D$18</f>
        <v>0</v>
      </c>
      <c r="AO13" s="199">
        <f>AD13*Constants!$D$3</f>
        <v>217.65195670274773</v>
      </c>
      <c r="AP13" s="199">
        <f>AE13*Constants!$D$4</f>
        <v>11.679265658747299</v>
      </c>
      <c r="AQ13" s="199">
        <f>AF13*Constants!$D$5</f>
        <v>0.17251163318579049</v>
      </c>
      <c r="AR13" s="199">
        <f>AG13*Constants!$D$6</f>
        <v>213.82362955396664</v>
      </c>
      <c r="AS13" s="199">
        <f>AH13*Constants!$D$7</f>
        <v>0.14687163419171645</v>
      </c>
      <c r="AT13" s="199">
        <f>AI13*Constants!$D$8</f>
        <v>4.2592773915597775</v>
      </c>
      <c r="AU13" s="199">
        <f>AJ13*Constants!$D$10</f>
        <v>1.0227272727272729</v>
      </c>
      <c r="AV13" s="199">
        <f>Z13*Constants!$E$12</f>
        <v>10.858320245522528</v>
      </c>
      <c r="AW13" s="199">
        <f>AA13*Constants!$E$11</f>
        <v>3.7425949587640837</v>
      </c>
      <c r="AX13" s="199">
        <f>AB13*Constants!$E$13</f>
        <v>0</v>
      </c>
      <c r="AY13" s="199">
        <f>AC13*Constants!$E$18</f>
        <v>0</v>
      </c>
      <c r="AZ13" s="199">
        <f>AD13*Constants!$E$3</f>
        <v>870.6078268109909</v>
      </c>
      <c r="BA13" s="199">
        <f>AE13*Constants!$E$4</f>
        <v>54.503239740820732</v>
      </c>
      <c r="BB13" s="199">
        <f>AF13*Constants!$E$5</f>
        <v>0.86255816592895251</v>
      </c>
      <c r="BC13" s="199">
        <f>AG13*Constants!$E$6</f>
        <v>1069.1181477698333</v>
      </c>
      <c r="BD13" s="199">
        <f>AH13*Constants!$E$7</f>
        <v>0.76373249779692554</v>
      </c>
      <c r="BE13" s="199">
        <f>AI13*Constants!$E$8</f>
        <v>22.148242436110841</v>
      </c>
      <c r="BF13" s="199">
        <f>AJ13*Constants!$E$10</f>
        <v>5.454545454545455</v>
      </c>
    </row>
    <row r="14" spans="1:58">
      <c r="A14" s="199">
        <f>'Influent Concentration'!A14</f>
        <v>19.788194444445253</v>
      </c>
      <c r="B14" s="201">
        <v>10</v>
      </c>
      <c r="C14" s="201">
        <v>2.72</v>
      </c>
      <c r="D14" s="201">
        <v>0.84</v>
      </c>
      <c r="E14" s="201" t="s">
        <v>202</v>
      </c>
      <c r="F14" s="201" t="s">
        <v>202</v>
      </c>
      <c r="G14" s="201">
        <v>20</v>
      </c>
      <c r="H14" s="201">
        <v>326.52999999999997</v>
      </c>
      <c r="I14" s="201">
        <v>12.34</v>
      </c>
      <c r="J14" s="201">
        <v>0.1</v>
      </c>
      <c r="K14" s="201">
        <v>234.93</v>
      </c>
      <c r="L14" s="201">
        <v>7.0000000000000007E-2</v>
      </c>
      <c r="M14" s="201">
        <v>3.95</v>
      </c>
      <c r="N14" s="201">
        <v>0.98</v>
      </c>
      <c r="O14" s="200">
        <f t="shared" si="0"/>
        <v>27.200000000000003</v>
      </c>
      <c r="P14" s="200">
        <f t="shared" si="1"/>
        <v>8.4</v>
      </c>
      <c r="Q14" s="200">
        <f t="shared" si="2"/>
        <v>0</v>
      </c>
      <c r="R14" s="200">
        <f t="shared" si="3"/>
        <v>0</v>
      </c>
      <c r="S14" s="200">
        <f t="shared" si="10"/>
        <v>6530.5999999999995</v>
      </c>
      <c r="T14" s="200">
        <f t="shared" si="4"/>
        <v>246.8</v>
      </c>
      <c r="U14" s="200">
        <f t="shared" si="5"/>
        <v>2</v>
      </c>
      <c r="V14" s="200">
        <f t="shared" si="6"/>
        <v>4698.6000000000004</v>
      </c>
      <c r="W14" s="200">
        <f t="shared" si="7"/>
        <v>1.4000000000000001</v>
      </c>
      <c r="X14" s="200">
        <f t="shared" si="8"/>
        <v>79</v>
      </c>
      <c r="Y14" s="200">
        <f t="shared" si="9"/>
        <v>19.600000000000001</v>
      </c>
      <c r="Z14" s="216">
        <f>O14/Constants!$C$12</f>
        <v>0.26127592947471051</v>
      </c>
      <c r="AA14" s="216">
        <f>P14/Constants!$C$11</f>
        <v>9.7572308049715409E-2</v>
      </c>
      <c r="AB14" s="216">
        <f>Q14/Constants!$C$13</f>
        <v>0</v>
      </c>
      <c r="AC14" s="216">
        <f>R14/Constants!$C$18</f>
        <v>0</v>
      </c>
      <c r="AD14" s="216">
        <f>S14/Constants!$C$3</f>
        <v>108.7527060782681</v>
      </c>
      <c r="AE14" s="216">
        <f>T14/Constants!$C$4</f>
        <v>3.3315334773218144</v>
      </c>
      <c r="AF14" s="216">
        <f>U14/Constants!$C$5</f>
        <v>2.2698899103393486E-2</v>
      </c>
      <c r="AG14" s="216">
        <f>V14/Constants!$C$6</f>
        <v>53.326523663602323</v>
      </c>
      <c r="AH14" s="216">
        <f>W14/Constants!$C$7</f>
        <v>1.370801919122687E-2</v>
      </c>
      <c r="AI14" s="216">
        <f>X14/Constants!$C$8</f>
        <v>0.77352394007637326</v>
      </c>
      <c r="AJ14" s="216">
        <f>Y14/Constants!$C$10</f>
        <v>0.16873278236914602</v>
      </c>
      <c r="AK14" s="199">
        <f>Z14*Constants!$D$12</f>
        <v>1.045103717898842</v>
      </c>
      <c r="AL14" s="199">
        <f>AA14*Constants!$D$11</f>
        <v>0.39028923219886164</v>
      </c>
      <c r="AM14" s="199">
        <f>AB14*Constants!$D$13</f>
        <v>0</v>
      </c>
      <c r="AN14" s="199">
        <f>AC14*Constants!$D$18</f>
        <v>0</v>
      </c>
      <c r="AO14" s="199">
        <f>AD14*Constants!$D$3</f>
        <v>217.50541215653621</v>
      </c>
      <c r="AP14" s="199">
        <f>AE14*Constants!$D$4</f>
        <v>9.9946004319654431</v>
      </c>
      <c r="AQ14" s="199">
        <f>AF14*Constants!$D$5</f>
        <v>9.0795596413573945E-2</v>
      </c>
      <c r="AR14" s="199">
        <f>AG14*Constants!$D$6</f>
        <v>213.30609465440929</v>
      </c>
      <c r="AS14" s="199">
        <f>AH14*Constants!$D$7</f>
        <v>6.8540095956134348E-2</v>
      </c>
      <c r="AT14" s="199">
        <f>AI14*Constants!$D$8</f>
        <v>3.8676197003818662</v>
      </c>
      <c r="AU14" s="199">
        <f>AJ14*Constants!$D$10</f>
        <v>1.0123966942148761</v>
      </c>
      <c r="AV14" s="199">
        <f>Z14*Constants!$E$12</f>
        <v>4.7029667305447891</v>
      </c>
      <c r="AW14" s="199">
        <f>AA14*Constants!$E$11</f>
        <v>1.7563015448948773</v>
      </c>
      <c r="AX14" s="199">
        <f>AB14*Constants!$E$13</f>
        <v>0</v>
      </c>
      <c r="AY14" s="199">
        <f>AC14*Constants!$E$18</f>
        <v>0</v>
      </c>
      <c r="AZ14" s="199">
        <f>AD14*Constants!$E$3</f>
        <v>870.02164862614484</v>
      </c>
      <c r="BA14" s="199">
        <f>AE14*Constants!$E$4</f>
        <v>46.641468682505405</v>
      </c>
      <c r="BB14" s="199">
        <f>AF14*Constants!$E$5</f>
        <v>0.45397798206786971</v>
      </c>
      <c r="BC14" s="199">
        <f>AG14*Constants!$E$6</f>
        <v>1066.5304732720465</v>
      </c>
      <c r="BD14" s="199">
        <f>AH14*Constants!$E$7</f>
        <v>0.35640849897189864</v>
      </c>
      <c r="BE14" s="199">
        <f>AI14*Constants!$E$8</f>
        <v>20.111622441985705</v>
      </c>
      <c r="BF14" s="199">
        <f>AJ14*Constants!$E$10</f>
        <v>5.3994490358126725</v>
      </c>
    </row>
    <row r="15" spans="1:58">
      <c r="A15" s="199">
        <f>'Influent Concentration'!A15</f>
        <v>21.788194444445253</v>
      </c>
      <c r="B15" s="201">
        <v>10</v>
      </c>
      <c r="C15" s="201">
        <v>2.92</v>
      </c>
      <c r="D15" s="201">
        <v>0.83</v>
      </c>
      <c r="E15" s="201">
        <v>0.38</v>
      </c>
      <c r="F15" s="201" t="s">
        <v>202</v>
      </c>
      <c r="G15" s="201">
        <v>20</v>
      </c>
      <c r="H15" s="201">
        <v>327.61</v>
      </c>
      <c r="I15" s="201">
        <v>11.82</v>
      </c>
      <c r="J15" s="201">
        <v>0.05</v>
      </c>
      <c r="K15" s="201">
        <v>236.7</v>
      </c>
      <c r="L15" s="201">
        <v>0.22</v>
      </c>
      <c r="M15" s="201">
        <v>4.08</v>
      </c>
      <c r="N15" s="201">
        <v>1.08</v>
      </c>
      <c r="O15" s="200">
        <f t="shared" si="0"/>
        <v>29.2</v>
      </c>
      <c r="P15" s="200">
        <f t="shared" si="1"/>
        <v>8.2999999999999989</v>
      </c>
      <c r="Q15" s="200">
        <f t="shared" si="2"/>
        <v>3.8</v>
      </c>
      <c r="R15" s="200">
        <f t="shared" si="3"/>
        <v>0</v>
      </c>
      <c r="S15" s="200">
        <f t="shared" si="10"/>
        <v>6552.2000000000007</v>
      </c>
      <c r="T15" s="200">
        <f t="shared" si="4"/>
        <v>236.4</v>
      </c>
      <c r="U15" s="200">
        <f t="shared" si="5"/>
        <v>1</v>
      </c>
      <c r="V15" s="200">
        <f t="shared" si="6"/>
        <v>4734</v>
      </c>
      <c r="W15" s="200">
        <f t="shared" si="7"/>
        <v>4.4000000000000004</v>
      </c>
      <c r="X15" s="200">
        <f t="shared" si="8"/>
        <v>81.599999999999994</v>
      </c>
      <c r="Y15" s="200">
        <f t="shared" si="9"/>
        <v>21.6</v>
      </c>
      <c r="Z15" s="216">
        <f>O15/Constants!$C$12</f>
        <v>0.28048739487726276</v>
      </c>
      <c r="AA15" s="216">
        <f>P15/Constants!$C$11</f>
        <v>9.6410732953885456E-2</v>
      </c>
      <c r="AB15" s="216">
        <f>Q15/Constants!$C$13</f>
        <v>4.2184724689165183E-2</v>
      </c>
      <c r="AC15" s="216">
        <f>R15/Constants!$C$18</f>
        <v>0</v>
      </c>
      <c r="AD15" s="216">
        <f>S15/Constants!$C$3</f>
        <v>109.11240632805996</v>
      </c>
      <c r="AE15" s="216">
        <f>T15/Constants!$C$4</f>
        <v>3.1911447084233262</v>
      </c>
      <c r="AF15" s="216">
        <f>U15/Constants!$C$5</f>
        <v>1.1349449551696743E-2</v>
      </c>
      <c r="AG15" s="216">
        <f>V15/Constants!$C$6</f>
        <v>53.72829417773238</v>
      </c>
      <c r="AH15" s="216">
        <f>W15/Constants!$C$7</f>
        <v>4.3082346029570159E-2</v>
      </c>
      <c r="AI15" s="216">
        <f>X15/Constants!$C$8</f>
        <v>0.79898169000293739</v>
      </c>
      <c r="AJ15" s="216">
        <f>Y15/Constants!$C$10</f>
        <v>0.18595041322314051</v>
      </c>
      <c r="AK15" s="199">
        <f>Z15*Constants!$D$12</f>
        <v>1.1219495795090511</v>
      </c>
      <c r="AL15" s="199">
        <f>AA15*Constants!$D$11</f>
        <v>0.38564293181554182</v>
      </c>
      <c r="AM15" s="199">
        <f>AB15*Constants!$D$13</f>
        <v>0.12655417406749556</v>
      </c>
      <c r="AN15" s="199">
        <f>AC15*Constants!$D$18</f>
        <v>0</v>
      </c>
      <c r="AO15" s="199">
        <f>AD15*Constants!$D$3</f>
        <v>218.22481265611992</v>
      </c>
      <c r="AP15" s="199">
        <f>AE15*Constants!$D$4</f>
        <v>9.5734341252699782</v>
      </c>
      <c r="AQ15" s="199">
        <f>AF15*Constants!$D$5</f>
        <v>4.5397798206786973E-2</v>
      </c>
      <c r="AR15" s="199">
        <f>AG15*Constants!$D$6</f>
        <v>214.91317671092952</v>
      </c>
      <c r="AS15" s="199">
        <f>AH15*Constants!$D$7</f>
        <v>0.21541173014785081</v>
      </c>
      <c r="AT15" s="199">
        <f>AI15*Constants!$D$8</f>
        <v>3.994908450014687</v>
      </c>
      <c r="AU15" s="199">
        <f>AJ15*Constants!$D$10</f>
        <v>1.115702479338843</v>
      </c>
      <c r="AV15" s="199">
        <f>Z15*Constants!$E$12</f>
        <v>5.0487731077907299</v>
      </c>
      <c r="AW15" s="199">
        <f>AA15*Constants!$E$11</f>
        <v>1.7353931931699382</v>
      </c>
      <c r="AX15" s="199">
        <f>AB15*Constants!$E$13</f>
        <v>0.50621669626998222</v>
      </c>
      <c r="AY15" s="199">
        <f>AC15*Constants!$E$18</f>
        <v>0</v>
      </c>
      <c r="AZ15" s="199">
        <f>AD15*Constants!$E$3</f>
        <v>872.89925062447969</v>
      </c>
      <c r="BA15" s="199">
        <f>AE15*Constants!$E$4</f>
        <v>44.676025917926566</v>
      </c>
      <c r="BB15" s="199">
        <f>AF15*Constants!$E$5</f>
        <v>0.22698899103393486</v>
      </c>
      <c r="BC15" s="199">
        <f>AG15*Constants!$E$6</f>
        <v>1074.5658835546476</v>
      </c>
      <c r="BD15" s="199">
        <f>AH15*Constants!$E$7</f>
        <v>1.1201409967688241</v>
      </c>
      <c r="BE15" s="199">
        <f>AI15*Constants!$E$8</f>
        <v>20.773523940076373</v>
      </c>
      <c r="BF15" s="199">
        <f>AJ15*Constants!$E$10</f>
        <v>5.9504132231404965</v>
      </c>
    </row>
    <row r="16" spans="1:58">
      <c r="A16" s="199">
        <f>'Influent Concentration'!A16</f>
        <v>24.75</v>
      </c>
      <c r="B16" s="201">
        <v>10</v>
      </c>
      <c r="C16" s="201" t="s">
        <v>202</v>
      </c>
      <c r="D16" s="201">
        <v>0.33</v>
      </c>
      <c r="E16" s="201" t="s">
        <v>202</v>
      </c>
      <c r="F16" s="201" t="s">
        <v>202</v>
      </c>
      <c r="G16" s="201">
        <v>20</v>
      </c>
      <c r="H16" s="201">
        <v>317.11</v>
      </c>
      <c r="I16" s="201">
        <v>10.45</v>
      </c>
      <c r="J16" s="201">
        <v>0.13</v>
      </c>
      <c r="K16" s="201">
        <v>236.35</v>
      </c>
      <c r="L16" s="201">
        <v>0.22</v>
      </c>
      <c r="M16" s="201">
        <v>3.93</v>
      </c>
      <c r="N16" s="201">
        <v>1.24</v>
      </c>
      <c r="O16" s="200">
        <f t="shared" si="0"/>
        <v>0</v>
      </c>
      <c r="P16" s="200">
        <f t="shared" si="1"/>
        <v>3.3000000000000003</v>
      </c>
      <c r="Q16" s="200">
        <f t="shared" si="2"/>
        <v>0</v>
      </c>
      <c r="R16" s="200">
        <f t="shared" si="3"/>
        <v>0</v>
      </c>
      <c r="S16" s="200">
        <f t="shared" si="10"/>
        <v>6342.2000000000007</v>
      </c>
      <c r="T16" s="200">
        <f t="shared" si="4"/>
        <v>209</v>
      </c>
      <c r="U16" s="200">
        <f t="shared" si="5"/>
        <v>2.6</v>
      </c>
      <c r="V16" s="200">
        <f t="shared" si="6"/>
        <v>4727</v>
      </c>
      <c r="W16" s="200">
        <f t="shared" si="7"/>
        <v>4.4000000000000004</v>
      </c>
      <c r="X16" s="200">
        <f t="shared" si="8"/>
        <v>78.600000000000009</v>
      </c>
      <c r="Y16" s="200">
        <f t="shared" si="9"/>
        <v>24.8</v>
      </c>
      <c r="Z16" s="216">
        <f>O16/Constants!$C$12</f>
        <v>0</v>
      </c>
      <c r="AA16" s="216">
        <f>P16/Constants!$C$11</f>
        <v>3.8331978162388203E-2</v>
      </c>
      <c r="AB16" s="216">
        <f>Q16/Constants!$C$13</f>
        <v>0</v>
      </c>
      <c r="AC16" s="216">
        <f>R16/Constants!$C$18</f>
        <v>0</v>
      </c>
      <c r="AD16" s="216">
        <f>S16/Constants!$C$3</f>
        <v>105.61532056619485</v>
      </c>
      <c r="AE16" s="216">
        <f>T16/Constants!$C$4</f>
        <v>2.8212742980561556</v>
      </c>
      <c r="AF16" s="216">
        <f>U16/Constants!$C$5</f>
        <v>2.9508568834411532E-2</v>
      </c>
      <c r="AG16" s="216">
        <f>V16/Constants!$C$6</f>
        <v>53.648848030870504</v>
      </c>
      <c r="AH16" s="216">
        <f>W16/Constants!$C$7</f>
        <v>4.3082346029570159E-2</v>
      </c>
      <c r="AI16" s="216">
        <f>X16/Constants!$C$8</f>
        <v>0.76960736316459422</v>
      </c>
      <c r="AJ16" s="216">
        <f>Y16/Constants!$C$10</f>
        <v>0.2134986225895317</v>
      </c>
      <c r="AK16" s="199">
        <f>Z16*Constants!$D$12</f>
        <v>0</v>
      </c>
      <c r="AL16" s="199">
        <f>AA16*Constants!$D$11</f>
        <v>0.15332791264955281</v>
      </c>
      <c r="AM16" s="199">
        <f>AB16*Constants!$D$13</f>
        <v>0</v>
      </c>
      <c r="AN16" s="199">
        <f>AC16*Constants!$D$18</f>
        <v>0</v>
      </c>
      <c r="AO16" s="199">
        <f>AD16*Constants!$D$3</f>
        <v>211.23064113238971</v>
      </c>
      <c r="AP16" s="199">
        <f>AE16*Constants!$D$4</f>
        <v>8.4638228941684659</v>
      </c>
      <c r="AQ16" s="199">
        <f>AF16*Constants!$D$5</f>
        <v>0.11803427533764613</v>
      </c>
      <c r="AR16" s="199">
        <f>AG16*Constants!$D$6</f>
        <v>214.59539212348201</v>
      </c>
      <c r="AS16" s="199">
        <f>AH16*Constants!$D$7</f>
        <v>0.21541173014785081</v>
      </c>
      <c r="AT16" s="199">
        <f>AI16*Constants!$D$8</f>
        <v>3.848036815822971</v>
      </c>
      <c r="AU16" s="199">
        <f>AJ16*Constants!$D$10</f>
        <v>1.2809917355371903</v>
      </c>
      <c r="AV16" s="199">
        <f>Z16*Constants!$E$12</f>
        <v>0</v>
      </c>
      <c r="AW16" s="199">
        <f>AA16*Constants!$E$11</f>
        <v>0.68997560692298765</v>
      </c>
      <c r="AX16" s="199">
        <f>AB16*Constants!$E$13</f>
        <v>0</v>
      </c>
      <c r="AY16" s="199">
        <f>AC16*Constants!$E$18</f>
        <v>0</v>
      </c>
      <c r="AZ16" s="199">
        <f>AD16*Constants!$E$3</f>
        <v>844.92256452955883</v>
      </c>
      <c r="BA16" s="199">
        <f>AE16*Constants!$E$4</f>
        <v>39.497840172786177</v>
      </c>
      <c r="BB16" s="199">
        <f>AF16*Constants!$E$5</f>
        <v>0.59017137668823061</v>
      </c>
      <c r="BC16" s="199">
        <f>AG16*Constants!$E$6</f>
        <v>1072.97696061741</v>
      </c>
      <c r="BD16" s="199">
        <f>AH16*Constants!$E$7</f>
        <v>1.1201409967688241</v>
      </c>
      <c r="BE16" s="199">
        <f>AI16*Constants!$E$8</f>
        <v>20.00979144227945</v>
      </c>
      <c r="BF16" s="199">
        <f>AJ16*Constants!$E$10</f>
        <v>6.8319559228650144</v>
      </c>
    </row>
    <row r="17" spans="1:58">
      <c r="A17" s="199">
        <f>'Influent Concentration'!A17</f>
        <v>26.75</v>
      </c>
      <c r="B17" s="201">
        <v>10</v>
      </c>
      <c r="C17" s="201">
        <v>1.51</v>
      </c>
      <c r="D17" s="201">
        <v>0.43</v>
      </c>
      <c r="E17" s="201">
        <v>0.46</v>
      </c>
      <c r="F17" s="201" t="s">
        <v>202</v>
      </c>
      <c r="G17" s="201">
        <v>20</v>
      </c>
      <c r="H17" s="201">
        <v>315.18</v>
      </c>
      <c r="I17" s="201">
        <v>9.49</v>
      </c>
      <c r="J17" s="201">
        <v>0.28000000000000003</v>
      </c>
      <c r="K17" s="201">
        <v>236.17</v>
      </c>
      <c r="L17" s="201">
        <v>0.24</v>
      </c>
      <c r="M17" s="201">
        <v>3.42</v>
      </c>
      <c r="N17" s="201">
        <v>1.1100000000000001</v>
      </c>
      <c r="O17" s="200">
        <f t="shared" si="0"/>
        <v>15.1</v>
      </c>
      <c r="P17" s="200">
        <f t="shared" si="1"/>
        <v>4.3</v>
      </c>
      <c r="Q17" s="200">
        <f t="shared" si="2"/>
        <v>4.6000000000000005</v>
      </c>
      <c r="R17" s="200">
        <f t="shared" si="3"/>
        <v>0</v>
      </c>
      <c r="S17" s="200">
        <f t="shared" si="10"/>
        <v>6303.6</v>
      </c>
      <c r="T17" s="200">
        <f t="shared" si="4"/>
        <v>189.8</v>
      </c>
      <c r="U17" s="200">
        <f t="shared" si="5"/>
        <v>5.6000000000000005</v>
      </c>
      <c r="V17" s="200">
        <f t="shared" si="6"/>
        <v>4723.3999999999996</v>
      </c>
      <c r="W17" s="200">
        <f t="shared" si="7"/>
        <v>4.8</v>
      </c>
      <c r="X17" s="200">
        <f t="shared" si="8"/>
        <v>68.400000000000006</v>
      </c>
      <c r="Y17" s="200">
        <f t="shared" si="9"/>
        <v>22.200000000000003</v>
      </c>
      <c r="Z17" s="216">
        <f>O17/Constants!$C$12</f>
        <v>0.14504656378926942</v>
      </c>
      <c r="AA17" s="216">
        <f>P17/Constants!$C$11</f>
        <v>4.9947729120687651E-2</v>
      </c>
      <c r="AB17" s="216">
        <f>Q17/Constants!$C$13</f>
        <v>5.106571936056839E-2</v>
      </c>
      <c r="AC17" s="216">
        <f>R17/Constants!$C$18</f>
        <v>0</v>
      </c>
      <c r="AD17" s="216">
        <f>S17/Constants!$C$3</f>
        <v>104.97252289758535</v>
      </c>
      <c r="AE17" s="216">
        <f>T17/Constants!$C$4</f>
        <v>2.5620950323974085</v>
      </c>
      <c r="AF17" s="216">
        <f>U17/Constants!$C$5</f>
        <v>6.3556917489501763E-2</v>
      </c>
      <c r="AG17" s="216">
        <f>V17/Constants!$C$6</f>
        <v>53.607990012484393</v>
      </c>
      <c r="AH17" s="216">
        <f>W17/Constants!$C$7</f>
        <v>4.6998922941349261E-2</v>
      </c>
      <c r="AI17" s="216">
        <f>X17/Constants!$C$8</f>
        <v>0.6697346519142271</v>
      </c>
      <c r="AJ17" s="216">
        <f>Y17/Constants!$C$10</f>
        <v>0.19111570247933887</v>
      </c>
      <c r="AK17" s="199">
        <f>Z17*Constants!$D$12</f>
        <v>0.58018625515707767</v>
      </c>
      <c r="AL17" s="199">
        <f>AA17*Constants!$D$11</f>
        <v>0.1997909164827506</v>
      </c>
      <c r="AM17" s="199">
        <f>AB17*Constants!$D$13</f>
        <v>0.15319715808170517</v>
      </c>
      <c r="AN17" s="199">
        <f>AC17*Constants!$D$18</f>
        <v>0</v>
      </c>
      <c r="AO17" s="199">
        <f>AD17*Constants!$D$3</f>
        <v>209.9450457951707</v>
      </c>
      <c r="AP17" s="199">
        <f>AE17*Constants!$D$4</f>
        <v>7.6862850971922256</v>
      </c>
      <c r="AQ17" s="199">
        <f>AF17*Constants!$D$5</f>
        <v>0.25422766995800705</v>
      </c>
      <c r="AR17" s="199">
        <f>AG17*Constants!$D$6</f>
        <v>214.43196004993757</v>
      </c>
      <c r="AS17" s="199">
        <f>AH17*Constants!$D$7</f>
        <v>0.23499461470674632</v>
      </c>
      <c r="AT17" s="199">
        <f>AI17*Constants!$D$8</f>
        <v>3.3486732595711355</v>
      </c>
      <c r="AU17" s="199">
        <f>AJ17*Constants!$D$10</f>
        <v>1.1466942148760333</v>
      </c>
      <c r="AV17" s="199">
        <f>Z17*Constants!$E$12</f>
        <v>2.6108381482068497</v>
      </c>
      <c r="AW17" s="199">
        <f>AA17*Constants!$E$11</f>
        <v>0.89905912417237777</v>
      </c>
      <c r="AX17" s="199">
        <f>AB17*Constants!$E$13</f>
        <v>0.61278863232682068</v>
      </c>
      <c r="AY17" s="199">
        <f>AC17*Constants!$E$18</f>
        <v>0</v>
      </c>
      <c r="AZ17" s="199">
        <f>AD17*Constants!$E$3</f>
        <v>839.7801831806828</v>
      </c>
      <c r="BA17" s="199">
        <f>AE17*Constants!$E$4</f>
        <v>35.86933045356372</v>
      </c>
      <c r="BB17" s="199">
        <f>AF17*Constants!$E$5</f>
        <v>1.2711383497900353</v>
      </c>
      <c r="BC17" s="199">
        <f>AG17*Constants!$E$6</f>
        <v>1072.1598002496878</v>
      </c>
      <c r="BD17" s="199">
        <f>AH17*Constants!$E$7</f>
        <v>1.2219719964750808</v>
      </c>
      <c r="BE17" s="199">
        <f>AI17*Constants!$E$8</f>
        <v>17.413100949769905</v>
      </c>
      <c r="BF17" s="199">
        <f>AJ17*Constants!$E$10</f>
        <v>6.1157024793388439</v>
      </c>
    </row>
    <row r="18" spans="1:58">
      <c r="A18" s="199">
        <f>'Influent Concentration'!A18</f>
        <v>28.75</v>
      </c>
      <c r="B18" s="201">
        <v>10</v>
      </c>
      <c r="C18" s="201">
        <v>1.1000000000000001</v>
      </c>
      <c r="D18" s="201">
        <v>0.45</v>
      </c>
      <c r="E18" s="201">
        <v>0.59</v>
      </c>
      <c r="F18" s="201" t="s">
        <v>202</v>
      </c>
      <c r="G18" s="201">
        <v>20</v>
      </c>
      <c r="H18" s="201">
        <v>321</v>
      </c>
      <c r="I18" s="201">
        <v>8.51</v>
      </c>
      <c r="J18" s="201">
        <v>0.22</v>
      </c>
      <c r="K18" s="201">
        <v>240.5</v>
      </c>
      <c r="L18" s="201">
        <v>0.14000000000000001</v>
      </c>
      <c r="M18" s="201">
        <v>3.49</v>
      </c>
      <c r="N18" s="201">
        <v>1.19</v>
      </c>
      <c r="O18" s="200">
        <f t="shared" si="0"/>
        <v>11</v>
      </c>
      <c r="P18" s="200">
        <f t="shared" si="1"/>
        <v>4.5</v>
      </c>
      <c r="Q18" s="200">
        <f t="shared" si="2"/>
        <v>5.8999999999999995</v>
      </c>
      <c r="R18" s="200">
        <f t="shared" si="3"/>
        <v>0</v>
      </c>
      <c r="S18" s="200">
        <f t="shared" si="10"/>
        <v>6420</v>
      </c>
      <c r="T18" s="200">
        <f t="shared" si="4"/>
        <v>170.2</v>
      </c>
      <c r="U18" s="200">
        <f t="shared" si="5"/>
        <v>4.4000000000000004</v>
      </c>
      <c r="V18" s="200">
        <f t="shared" si="6"/>
        <v>4810</v>
      </c>
      <c r="W18" s="200">
        <f t="shared" si="7"/>
        <v>2.8000000000000003</v>
      </c>
      <c r="X18" s="200">
        <f t="shared" si="8"/>
        <v>69.800000000000011</v>
      </c>
      <c r="Y18" s="200">
        <f t="shared" si="9"/>
        <v>23.799999999999997</v>
      </c>
      <c r="Z18" s="216">
        <f>O18/Constants!$C$12</f>
        <v>0.10566305971403733</v>
      </c>
      <c r="AA18" s="216">
        <f>P18/Constants!$C$11</f>
        <v>5.2270879312347543E-2</v>
      </c>
      <c r="AB18" s="216">
        <f>Q18/Constants!$C$13</f>
        <v>6.5497335701598575E-2</v>
      </c>
      <c r="AC18" s="216">
        <f>R18/Constants!$C$18</f>
        <v>0</v>
      </c>
      <c r="AD18" s="216">
        <f>S18/Constants!$C$3</f>
        <v>106.91090757701916</v>
      </c>
      <c r="AE18" s="216">
        <f>T18/Constants!$C$4</f>
        <v>2.2975161987041037</v>
      </c>
      <c r="AF18" s="216">
        <f>U18/Constants!$C$5</f>
        <v>4.9937578027465672E-2</v>
      </c>
      <c r="AG18" s="216">
        <f>V18/Constants!$C$6</f>
        <v>54.590852343661332</v>
      </c>
      <c r="AH18" s="216">
        <f>W18/Constants!$C$7</f>
        <v>2.7416038382453739E-2</v>
      </c>
      <c r="AI18" s="216">
        <f>X18/Constants!$C$8</f>
        <v>0.68344267110545398</v>
      </c>
      <c r="AJ18" s="216">
        <f>Y18/Constants!$C$10</f>
        <v>0.20488980716253441</v>
      </c>
      <c r="AK18" s="199">
        <f>Z18*Constants!$D$12</f>
        <v>0.42265223885614933</v>
      </c>
      <c r="AL18" s="199">
        <f>AA18*Constants!$D$11</f>
        <v>0.20908351724939017</v>
      </c>
      <c r="AM18" s="199">
        <f>AB18*Constants!$D$13</f>
        <v>0.19649200710479572</v>
      </c>
      <c r="AN18" s="199">
        <f>AC18*Constants!$D$18</f>
        <v>0</v>
      </c>
      <c r="AO18" s="199">
        <f>AD18*Constants!$D$3</f>
        <v>213.82181515403832</v>
      </c>
      <c r="AP18" s="199">
        <f>AE18*Constants!$D$4</f>
        <v>6.8925485961123112</v>
      </c>
      <c r="AQ18" s="199">
        <f>AF18*Constants!$D$5</f>
        <v>0.19975031210986269</v>
      </c>
      <c r="AR18" s="199">
        <f>AG18*Constants!$D$6</f>
        <v>218.36340937464533</v>
      </c>
      <c r="AS18" s="199">
        <f>AH18*Constants!$D$7</f>
        <v>0.1370801919122687</v>
      </c>
      <c r="AT18" s="199">
        <f>AI18*Constants!$D$8</f>
        <v>3.4172133555272701</v>
      </c>
      <c r="AU18" s="199">
        <f>AJ18*Constants!$D$10</f>
        <v>1.2293388429752063</v>
      </c>
      <c r="AV18" s="199">
        <f>Z18*Constants!$E$12</f>
        <v>1.901935074852672</v>
      </c>
      <c r="AW18" s="199">
        <f>AA18*Constants!$E$11</f>
        <v>0.94087582762225574</v>
      </c>
      <c r="AX18" s="199">
        <f>AB18*Constants!$E$13</f>
        <v>0.7859680284191829</v>
      </c>
      <c r="AY18" s="199">
        <f>AC18*Constants!$E$18</f>
        <v>0</v>
      </c>
      <c r="AZ18" s="199">
        <f>AD18*Constants!$E$3</f>
        <v>855.28726061615328</v>
      </c>
      <c r="BA18" s="199">
        <f>AE18*Constants!$E$4</f>
        <v>32.165226781857456</v>
      </c>
      <c r="BB18" s="199">
        <f>AF18*Constants!$E$5</f>
        <v>0.99875156054931347</v>
      </c>
      <c r="BC18" s="199">
        <f>AG18*Constants!$E$6</f>
        <v>1091.8170468732267</v>
      </c>
      <c r="BD18" s="199">
        <f>AH18*Constants!$E$7</f>
        <v>0.71281699794379727</v>
      </c>
      <c r="BE18" s="199">
        <f>AI18*Constants!$E$8</f>
        <v>17.769509448741804</v>
      </c>
      <c r="BF18" s="199">
        <f>AJ18*Constants!$E$10</f>
        <v>6.5564738292011011</v>
      </c>
    </row>
    <row r="19" spans="1:58">
      <c r="A19" s="199">
        <f>'Influent Concentration'!A19</f>
        <v>31.75</v>
      </c>
      <c r="B19" s="201">
        <v>10</v>
      </c>
      <c r="C19" s="201" t="s">
        <v>202</v>
      </c>
      <c r="D19" s="201">
        <v>0.36</v>
      </c>
      <c r="E19" s="201" t="s">
        <v>202</v>
      </c>
      <c r="F19" s="201" t="s">
        <v>202</v>
      </c>
      <c r="G19" s="201">
        <v>20</v>
      </c>
      <c r="H19" s="201">
        <v>330.29</v>
      </c>
      <c r="I19" s="201">
        <v>8.42</v>
      </c>
      <c r="J19" s="201">
        <v>0.15</v>
      </c>
      <c r="K19" s="201">
        <v>250.28</v>
      </c>
      <c r="L19" s="201">
        <v>0.21</v>
      </c>
      <c r="M19" s="201">
        <v>3.16</v>
      </c>
      <c r="N19" s="201">
        <v>1.08</v>
      </c>
      <c r="O19" s="200">
        <f t="shared" si="0"/>
        <v>0</v>
      </c>
      <c r="P19" s="200">
        <f t="shared" si="1"/>
        <v>3.5999999999999996</v>
      </c>
      <c r="Q19" s="200">
        <f t="shared" si="2"/>
        <v>0</v>
      </c>
      <c r="R19" s="200">
        <f t="shared" si="3"/>
        <v>0</v>
      </c>
      <c r="S19" s="200">
        <f t="shared" si="10"/>
        <v>6605.8</v>
      </c>
      <c r="T19" s="200">
        <f t="shared" si="4"/>
        <v>168.4</v>
      </c>
      <c r="U19" s="200">
        <f t="shared" si="5"/>
        <v>3</v>
      </c>
      <c r="V19" s="200">
        <f t="shared" si="6"/>
        <v>5005.6000000000004</v>
      </c>
      <c r="W19" s="200">
        <f t="shared" si="7"/>
        <v>4.2</v>
      </c>
      <c r="X19" s="200">
        <f t="shared" si="8"/>
        <v>63.2</v>
      </c>
      <c r="Y19" s="200">
        <f t="shared" si="9"/>
        <v>21.6</v>
      </c>
      <c r="Z19" s="216">
        <f>O19/Constants!$C$12</f>
        <v>0</v>
      </c>
      <c r="AA19" s="216">
        <f>P19/Constants!$C$11</f>
        <v>4.1816703449878027E-2</v>
      </c>
      <c r="AB19" s="216">
        <f>Q19/Constants!$C$13</f>
        <v>0</v>
      </c>
      <c r="AC19" s="216">
        <f>R19/Constants!$C$18</f>
        <v>0</v>
      </c>
      <c r="AD19" s="216">
        <f>S19/Constants!$C$3</f>
        <v>110.00499583680268</v>
      </c>
      <c r="AE19" s="216">
        <f>T19/Constants!$C$4</f>
        <v>2.2732181425485964</v>
      </c>
      <c r="AF19" s="216">
        <f>U19/Constants!$C$5</f>
        <v>3.4048348655090231E-2</v>
      </c>
      <c r="AG19" s="216">
        <f>V19/Constants!$C$6</f>
        <v>56.810804675973223</v>
      </c>
      <c r="AH19" s="216">
        <f>W19/Constants!$C$7</f>
        <v>4.1124057573680609E-2</v>
      </c>
      <c r="AI19" s="216">
        <f>X19/Constants!$C$8</f>
        <v>0.61881915206109861</v>
      </c>
      <c r="AJ19" s="216">
        <f>Y19/Constants!$C$10</f>
        <v>0.18595041322314051</v>
      </c>
      <c r="AK19" s="199">
        <f>Z19*Constants!$D$12</f>
        <v>0</v>
      </c>
      <c r="AL19" s="199">
        <f>AA19*Constants!$D$11</f>
        <v>0.16726681379951211</v>
      </c>
      <c r="AM19" s="199">
        <f>AB19*Constants!$D$13</f>
        <v>0</v>
      </c>
      <c r="AN19" s="199">
        <f>AC19*Constants!$D$18</f>
        <v>0</v>
      </c>
      <c r="AO19" s="199">
        <f>AD19*Constants!$D$3</f>
        <v>220.00999167360536</v>
      </c>
      <c r="AP19" s="199">
        <f>AE19*Constants!$D$4</f>
        <v>6.8196544276457889</v>
      </c>
      <c r="AQ19" s="199">
        <f>AF19*Constants!$D$5</f>
        <v>0.13619339462036092</v>
      </c>
      <c r="AR19" s="199">
        <f>AG19*Constants!$D$6</f>
        <v>227.24321870389289</v>
      </c>
      <c r="AS19" s="199">
        <f>AH19*Constants!$D$7</f>
        <v>0.20562028786840303</v>
      </c>
      <c r="AT19" s="199">
        <f>AI19*Constants!$D$8</f>
        <v>3.094095760305493</v>
      </c>
      <c r="AU19" s="199">
        <f>AJ19*Constants!$D$10</f>
        <v>1.115702479338843</v>
      </c>
      <c r="AV19" s="199">
        <f>Z19*Constants!$E$12</f>
        <v>0</v>
      </c>
      <c r="AW19" s="199">
        <f>AA19*Constants!$E$11</f>
        <v>0.75270066209780451</v>
      </c>
      <c r="AX19" s="199">
        <f>AB19*Constants!$E$13</f>
        <v>0</v>
      </c>
      <c r="AY19" s="199">
        <f>AC19*Constants!$E$18</f>
        <v>0</v>
      </c>
      <c r="AZ19" s="199">
        <f>AD19*Constants!$E$3</f>
        <v>880.03996669442142</v>
      </c>
      <c r="BA19" s="199">
        <f>AE19*Constants!$E$4</f>
        <v>31.825053995680349</v>
      </c>
      <c r="BB19" s="199">
        <f>AF19*Constants!$E$5</f>
        <v>0.68096697310180465</v>
      </c>
      <c r="BC19" s="199">
        <f>AG19*Constants!$E$6</f>
        <v>1136.2160935194645</v>
      </c>
      <c r="BD19" s="199">
        <f>AH19*Constants!$E$7</f>
        <v>1.0692254969156958</v>
      </c>
      <c r="BE19" s="199">
        <f>AI19*Constants!$E$8</f>
        <v>16.089297953588563</v>
      </c>
      <c r="BF19" s="199">
        <f>AJ19*Constants!$E$10</f>
        <v>5.9504132231404965</v>
      </c>
    </row>
    <row r="20" spans="1:58">
      <c r="A20" s="199">
        <f>'Influent Concentration'!A20</f>
        <v>33.761111111110949</v>
      </c>
      <c r="B20" s="201">
        <v>10</v>
      </c>
      <c r="C20" s="201" t="s">
        <v>202</v>
      </c>
      <c r="D20" s="201">
        <v>0.37</v>
      </c>
      <c r="E20" s="201">
        <v>0.65</v>
      </c>
      <c r="F20" s="201" t="s">
        <v>202</v>
      </c>
      <c r="G20" s="201">
        <v>20</v>
      </c>
      <c r="H20" s="201">
        <v>319.39</v>
      </c>
      <c r="I20" s="201">
        <v>9.2200000000000006</v>
      </c>
      <c r="J20" s="201">
        <v>0.25</v>
      </c>
      <c r="K20" s="201">
        <v>249.23</v>
      </c>
      <c r="L20" s="201">
        <v>0.37</v>
      </c>
      <c r="M20" s="201">
        <v>3.33</v>
      </c>
      <c r="N20" s="201">
        <v>1.0900000000000001</v>
      </c>
      <c r="O20" s="200">
        <f t="shared" si="0"/>
        <v>0</v>
      </c>
      <c r="P20" s="200">
        <f t="shared" si="1"/>
        <v>3.7</v>
      </c>
      <c r="Q20" s="200">
        <f t="shared" si="2"/>
        <v>6.5</v>
      </c>
      <c r="R20" s="200">
        <f t="shared" si="3"/>
        <v>0</v>
      </c>
      <c r="S20" s="200">
        <f t="shared" si="10"/>
        <v>6387.7999999999993</v>
      </c>
      <c r="T20" s="200">
        <f t="shared" si="4"/>
        <v>184.4</v>
      </c>
      <c r="U20" s="200">
        <f t="shared" si="5"/>
        <v>5</v>
      </c>
      <c r="V20" s="200">
        <f t="shared" si="6"/>
        <v>4984.5999999999995</v>
      </c>
      <c r="W20" s="200">
        <f t="shared" si="7"/>
        <v>7.4</v>
      </c>
      <c r="X20" s="200">
        <f t="shared" si="8"/>
        <v>66.599999999999994</v>
      </c>
      <c r="Y20" s="200">
        <f t="shared" si="9"/>
        <v>21.8</v>
      </c>
      <c r="Z20" s="216">
        <f>O20/Constants!$C$12</f>
        <v>0</v>
      </c>
      <c r="AA20" s="216">
        <f>P20/Constants!$C$11</f>
        <v>4.2978278545707981E-2</v>
      </c>
      <c r="AB20" s="216">
        <f>Q20/Constants!$C$13</f>
        <v>7.2158081705150978E-2</v>
      </c>
      <c r="AC20" s="216">
        <f>R20/Constants!$C$18</f>
        <v>0</v>
      </c>
      <c r="AD20" s="216">
        <f>S20/Constants!$C$3</f>
        <v>106.37468776019982</v>
      </c>
      <c r="AE20" s="216">
        <f>T20/Constants!$C$4</f>
        <v>2.4892008639308858</v>
      </c>
      <c r="AF20" s="216">
        <f>U20/Constants!$C$5</f>
        <v>5.6747247758483714E-2</v>
      </c>
      <c r="AG20" s="216">
        <f>V20/Constants!$C$6</f>
        <v>56.57246623538758</v>
      </c>
      <c r="AH20" s="216">
        <f>W20/Constants!$C$7</f>
        <v>7.2456672867913449E-2</v>
      </c>
      <c r="AI20" s="216">
        <f>X20/Constants!$C$8</f>
        <v>0.65211005581122095</v>
      </c>
      <c r="AJ20" s="216">
        <f>Y20/Constants!$C$10</f>
        <v>0.18767217630853997</v>
      </c>
      <c r="AK20" s="199">
        <f>Z20*Constants!$D$12</f>
        <v>0</v>
      </c>
      <c r="AL20" s="199">
        <f>AA20*Constants!$D$11</f>
        <v>0.17191311418283192</v>
      </c>
      <c r="AM20" s="199">
        <f>AB20*Constants!$D$13</f>
        <v>0.21647424511545293</v>
      </c>
      <c r="AN20" s="199">
        <f>AC20*Constants!$D$18</f>
        <v>0</v>
      </c>
      <c r="AO20" s="199">
        <f>AD20*Constants!$D$3</f>
        <v>212.74937552039964</v>
      </c>
      <c r="AP20" s="199">
        <f>AE20*Constants!$D$4</f>
        <v>7.467602591792657</v>
      </c>
      <c r="AQ20" s="199">
        <f>AF20*Constants!$D$5</f>
        <v>0.22698899103393486</v>
      </c>
      <c r="AR20" s="199">
        <f>AG20*Constants!$D$6</f>
        <v>226.28986494155032</v>
      </c>
      <c r="AS20" s="199">
        <f>AH20*Constants!$D$7</f>
        <v>0.36228336433956726</v>
      </c>
      <c r="AT20" s="199">
        <f>AI20*Constants!$D$8</f>
        <v>3.2605502790561047</v>
      </c>
      <c r="AU20" s="199">
        <f>AJ20*Constants!$D$10</f>
        <v>1.1260330578512399</v>
      </c>
      <c r="AV20" s="199">
        <f>Z20*Constants!$E$12</f>
        <v>0</v>
      </c>
      <c r="AW20" s="199">
        <f>AA20*Constants!$E$11</f>
        <v>0.77360901382274361</v>
      </c>
      <c r="AX20" s="199">
        <f>AB20*Constants!$E$13</f>
        <v>0.86589698046181174</v>
      </c>
      <c r="AY20" s="199">
        <f>AC20*Constants!$E$18</f>
        <v>0</v>
      </c>
      <c r="AZ20" s="199">
        <f>AD20*Constants!$E$3</f>
        <v>850.99750208159855</v>
      </c>
      <c r="BA20" s="199">
        <f>AE20*Constants!$E$4</f>
        <v>34.8488120950324</v>
      </c>
      <c r="BB20" s="199">
        <f>AF20*Constants!$E$5</f>
        <v>1.1349449551696742</v>
      </c>
      <c r="BC20" s="199">
        <f>AG20*Constants!$E$6</f>
        <v>1131.4493247077517</v>
      </c>
      <c r="BD20" s="199">
        <f>AH20*Constants!$E$7</f>
        <v>1.8838734945657496</v>
      </c>
      <c r="BE20" s="199">
        <f>AI20*Constants!$E$8</f>
        <v>16.954861451091745</v>
      </c>
      <c r="BF20" s="199">
        <f>AJ20*Constants!$E$10</f>
        <v>6.005509641873279</v>
      </c>
    </row>
    <row r="21" spans="1:58">
      <c r="A21" s="199">
        <f>'Influent Concentration'!A21</f>
        <v>35.759722222224809</v>
      </c>
      <c r="B21" s="201">
        <v>10</v>
      </c>
      <c r="C21" s="201" t="s">
        <v>202</v>
      </c>
      <c r="D21" s="201">
        <v>0.47</v>
      </c>
      <c r="E21" s="201">
        <v>0.59</v>
      </c>
      <c r="F21" s="201" t="s">
        <v>202</v>
      </c>
      <c r="G21" s="201">
        <v>20</v>
      </c>
      <c r="H21" s="201">
        <v>322.16000000000003</v>
      </c>
      <c r="I21" s="201">
        <v>10.29</v>
      </c>
      <c r="J21" s="201">
        <v>0.47</v>
      </c>
      <c r="K21" s="201">
        <v>248.97</v>
      </c>
      <c r="L21" s="201">
        <v>0.59</v>
      </c>
      <c r="M21" s="201">
        <v>3.25</v>
      </c>
      <c r="N21" s="201">
        <v>1.34</v>
      </c>
      <c r="O21" s="200">
        <f t="shared" si="0"/>
        <v>0</v>
      </c>
      <c r="P21" s="200">
        <f t="shared" si="1"/>
        <v>4.6999999999999993</v>
      </c>
      <c r="Q21" s="200">
        <f t="shared" si="2"/>
        <v>5.8999999999999995</v>
      </c>
      <c r="R21" s="200">
        <f t="shared" si="3"/>
        <v>0</v>
      </c>
      <c r="S21" s="200">
        <f t="shared" si="10"/>
        <v>6443.2000000000007</v>
      </c>
      <c r="T21" s="200">
        <f t="shared" si="4"/>
        <v>205.79999999999998</v>
      </c>
      <c r="U21" s="200">
        <f t="shared" si="5"/>
        <v>9.3999999999999986</v>
      </c>
      <c r="V21" s="200">
        <f t="shared" si="6"/>
        <v>4979.3999999999996</v>
      </c>
      <c r="W21" s="200">
        <f t="shared" si="7"/>
        <v>11.799999999999999</v>
      </c>
      <c r="X21" s="200">
        <f t="shared" si="8"/>
        <v>65</v>
      </c>
      <c r="Y21" s="200">
        <f t="shared" si="9"/>
        <v>26.8</v>
      </c>
      <c r="Z21" s="216">
        <f>O21/Constants!$C$12</f>
        <v>0</v>
      </c>
      <c r="AA21" s="216">
        <f>P21/Constants!$C$11</f>
        <v>5.4594029504007421E-2</v>
      </c>
      <c r="AB21" s="216">
        <f>Q21/Constants!$C$13</f>
        <v>6.5497335701598575E-2</v>
      </c>
      <c r="AC21" s="216">
        <f>R21/Constants!$C$18</f>
        <v>0</v>
      </c>
      <c r="AD21" s="216">
        <f>S21/Constants!$C$3</f>
        <v>107.29725228975855</v>
      </c>
      <c r="AE21" s="216">
        <f>T21/Constants!$C$4</f>
        <v>2.7780777537796975</v>
      </c>
      <c r="AF21" s="216">
        <f>U21/Constants!$C$5</f>
        <v>0.10668482578594937</v>
      </c>
      <c r="AG21" s="216">
        <f>V21/Constants!$C$6</f>
        <v>56.513449097718755</v>
      </c>
      <c r="AH21" s="216">
        <f>W21/Constants!$C$7</f>
        <v>0.11553901889748359</v>
      </c>
      <c r="AI21" s="216">
        <f>X21/Constants!$C$8</f>
        <v>0.63644374816410465</v>
      </c>
      <c r="AJ21" s="216">
        <f>Y21/Constants!$C$10</f>
        <v>0.23071625344352617</v>
      </c>
      <c r="AK21" s="199">
        <f>Z21*Constants!$D$12</f>
        <v>0</v>
      </c>
      <c r="AL21" s="199">
        <f>AA21*Constants!$D$11</f>
        <v>0.21837611801602969</v>
      </c>
      <c r="AM21" s="199">
        <f>AB21*Constants!$D$13</f>
        <v>0.19649200710479572</v>
      </c>
      <c r="AN21" s="199">
        <f>AC21*Constants!$D$18</f>
        <v>0</v>
      </c>
      <c r="AO21" s="199">
        <f>AD21*Constants!$D$3</f>
        <v>214.59450457951709</v>
      </c>
      <c r="AP21" s="199">
        <f>AE21*Constants!$D$4</f>
        <v>8.3342332613390919</v>
      </c>
      <c r="AQ21" s="199">
        <f>AF21*Constants!$D$5</f>
        <v>0.42673930314379749</v>
      </c>
      <c r="AR21" s="199">
        <f>AG21*Constants!$D$6</f>
        <v>226.05379639087502</v>
      </c>
      <c r="AS21" s="199">
        <f>AH21*Constants!$D$7</f>
        <v>0.57769509448741796</v>
      </c>
      <c r="AT21" s="199">
        <f>AI21*Constants!$D$8</f>
        <v>3.1822187408205234</v>
      </c>
      <c r="AU21" s="199">
        <f>AJ21*Constants!$D$10</f>
        <v>1.384297520661157</v>
      </c>
      <c r="AV21" s="199">
        <f>Z21*Constants!$E$12</f>
        <v>0</v>
      </c>
      <c r="AW21" s="199">
        <f>AA21*Constants!$E$11</f>
        <v>0.98269253107213361</v>
      </c>
      <c r="AX21" s="199">
        <f>AB21*Constants!$E$13</f>
        <v>0.7859680284191829</v>
      </c>
      <c r="AY21" s="199">
        <f>AC21*Constants!$E$18</f>
        <v>0</v>
      </c>
      <c r="AZ21" s="199">
        <f>AD21*Constants!$E$3</f>
        <v>858.37801831806837</v>
      </c>
      <c r="BA21" s="199">
        <f>AE21*Constants!$E$4</f>
        <v>38.893088552915764</v>
      </c>
      <c r="BB21" s="199">
        <f>AF21*Constants!$E$5</f>
        <v>2.1336965157189876</v>
      </c>
      <c r="BC21" s="199">
        <f>AG21*Constants!$E$6</f>
        <v>1130.268981954375</v>
      </c>
      <c r="BD21" s="199">
        <f>AH21*Constants!$E$7</f>
        <v>3.0040144913345737</v>
      </c>
      <c r="BE21" s="199">
        <f>AI21*Constants!$E$8</f>
        <v>16.54753745226672</v>
      </c>
      <c r="BF21" s="199">
        <f>AJ21*Constants!$E$10</f>
        <v>7.3829201101928374</v>
      </c>
    </row>
    <row r="22" spans="1:58">
      <c r="A22" s="199">
        <f>'Influent Concentration'!A22</f>
        <v>38.75</v>
      </c>
      <c r="B22" s="201">
        <v>10</v>
      </c>
      <c r="C22" s="201" t="s">
        <v>202</v>
      </c>
      <c r="D22" s="201">
        <v>0.28999999999999998</v>
      </c>
      <c r="E22" s="201">
        <v>0.63</v>
      </c>
      <c r="F22" s="201" t="s">
        <v>202</v>
      </c>
      <c r="G22" s="201">
        <v>20</v>
      </c>
      <c r="H22" s="201">
        <v>326.93</v>
      </c>
      <c r="I22" s="201">
        <v>11.49</v>
      </c>
      <c r="J22" s="201">
        <v>0.41</v>
      </c>
      <c r="K22" s="201">
        <v>251.15</v>
      </c>
      <c r="L22" s="201">
        <v>0.7</v>
      </c>
      <c r="M22" s="201">
        <v>3.43</v>
      </c>
      <c r="N22" s="201">
        <v>1.33</v>
      </c>
      <c r="O22" s="200">
        <f t="shared" si="0"/>
        <v>0</v>
      </c>
      <c r="P22" s="200">
        <f t="shared" si="1"/>
        <v>2.9</v>
      </c>
      <c r="Q22" s="200">
        <f t="shared" si="2"/>
        <v>6.3</v>
      </c>
      <c r="R22" s="200">
        <f t="shared" si="3"/>
        <v>0</v>
      </c>
      <c r="S22" s="200">
        <f t="shared" si="10"/>
        <v>6538.6</v>
      </c>
      <c r="T22" s="200">
        <f t="shared" si="4"/>
        <v>229.8</v>
      </c>
      <c r="U22" s="200">
        <f t="shared" si="5"/>
        <v>8.1999999999999993</v>
      </c>
      <c r="V22" s="200">
        <f t="shared" si="6"/>
        <v>5023</v>
      </c>
      <c r="W22" s="200">
        <f t="shared" si="7"/>
        <v>14</v>
      </c>
      <c r="X22" s="200">
        <f t="shared" si="8"/>
        <v>68.600000000000009</v>
      </c>
      <c r="Y22" s="200">
        <f t="shared" si="9"/>
        <v>26.6</v>
      </c>
      <c r="Z22" s="216">
        <f>O22/Constants!$C$12</f>
        <v>0</v>
      </c>
      <c r="AA22" s="216">
        <f>P22/Constants!$C$11</f>
        <v>3.3685677779068411E-2</v>
      </c>
      <c r="AB22" s="216">
        <f>Q22/Constants!$C$13</f>
        <v>6.9937833037300182E-2</v>
      </c>
      <c r="AC22" s="216">
        <f>R22/Constants!$C$18</f>
        <v>0</v>
      </c>
      <c r="AD22" s="216">
        <f>S22/Constants!$C$3</f>
        <v>108.88592839300584</v>
      </c>
      <c r="AE22" s="216">
        <f>T22/Constants!$C$4</f>
        <v>3.1020518358531319</v>
      </c>
      <c r="AF22" s="216">
        <f>U22/Constants!$C$5</f>
        <v>9.3065486323913288E-2</v>
      </c>
      <c r="AG22" s="216">
        <f>V22/Constants!$C$6</f>
        <v>57.008285098172742</v>
      </c>
      <c r="AH22" s="216">
        <f>W22/Constants!$C$7</f>
        <v>0.1370801919122687</v>
      </c>
      <c r="AI22" s="216">
        <f>X22/Constants!$C$8</f>
        <v>0.67169294037011662</v>
      </c>
      <c r="AJ22" s="216">
        <f>Y22/Constants!$C$10</f>
        <v>0.22899449035812675</v>
      </c>
      <c r="AK22" s="199">
        <f>Z22*Constants!$D$12</f>
        <v>0</v>
      </c>
      <c r="AL22" s="199">
        <f>AA22*Constants!$D$11</f>
        <v>0.13474271111627364</v>
      </c>
      <c r="AM22" s="199">
        <f>AB22*Constants!$D$13</f>
        <v>0.20981349911190056</v>
      </c>
      <c r="AN22" s="199">
        <f>AC22*Constants!$D$18</f>
        <v>0</v>
      </c>
      <c r="AO22" s="199">
        <f>AD22*Constants!$D$3</f>
        <v>217.77185678601168</v>
      </c>
      <c r="AP22" s="199">
        <f>AE22*Constants!$D$4</f>
        <v>9.3061555075593958</v>
      </c>
      <c r="AQ22" s="199">
        <f>AF22*Constants!$D$5</f>
        <v>0.37226194529565315</v>
      </c>
      <c r="AR22" s="199">
        <f>AG22*Constants!$D$6</f>
        <v>228.03314039269097</v>
      </c>
      <c r="AS22" s="199">
        <f>AH22*Constants!$D$7</f>
        <v>0.6854009595613435</v>
      </c>
      <c r="AT22" s="199">
        <f>AI22*Constants!$D$8</f>
        <v>3.3584647018505831</v>
      </c>
      <c r="AU22" s="199">
        <f>AJ22*Constants!$D$10</f>
        <v>1.3739669421487606</v>
      </c>
      <c r="AV22" s="199">
        <f>Z22*Constants!$E$12</f>
        <v>0</v>
      </c>
      <c r="AW22" s="199">
        <f>AA22*Constants!$E$11</f>
        <v>0.60634220002323136</v>
      </c>
      <c r="AX22" s="199">
        <f>AB22*Constants!$E$13</f>
        <v>0.83925399644760224</v>
      </c>
      <c r="AY22" s="199">
        <f>AC22*Constants!$E$18</f>
        <v>0</v>
      </c>
      <c r="AZ22" s="199">
        <f>AD22*Constants!$E$3</f>
        <v>871.08742714404673</v>
      </c>
      <c r="BA22" s="199">
        <f>AE22*Constants!$E$4</f>
        <v>43.428725701943847</v>
      </c>
      <c r="BB22" s="199">
        <f>AF22*Constants!$E$5</f>
        <v>1.8613097264782659</v>
      </c>
      <c r="BC22" s="199">
        <f>AG22*Constants!$E$6</f>
        <v>1140.1657019634549</v>
      </c>
      <c r="BD22" s="199">
        <f>AH22*Constants!$E$7</f>
        <v>3.5640849897189861</v>
      </c>
      <c r="BE22" s="199">
        <f>AI22*Constants!$E$8</f>
        <v>17.464016449623031</v>
      </c>
      <c r="BF22" s="199">
        <f>AJ22*Constants!$E$10</f>
        <v>7.3278236914600559</v>
      </c>
    </row>
    <row r="23" spans="1:58">
      <c r="A23" s="199">
        <f>'Influent Concentration'!A23</f>
        <v>40.759722222224809</v>
      </c>
      <c r="B23" s="201">
        <v>10</v>
      </c>
      <c r="C23" s="201" t="s">
        <v>202</v>
      </c>
      <c r="D23" s="201">
        <v>0.21</v>
      </c>
      <c r="E23" s="201">
        <v>0.68</v>
      </c>
      <c r="F23" s="201" t="s">
        <v>202</v>
      </c>
      <c r="G23" s="201">
        <v>20</v>
      </c>
      <c r="H23" s="201">
        <v>322.43</v>
      </c>
      <c r="I23" s="201">
        <v>10.59</v>
      </c>
      <c r="J23" s="201">
        <v>0.43</v>
      </c>
      <c r="K23" s="201">
        <v>249.76</v>
      </c>
      <c r="L23" s="201">
        <v>0.72</v>
      </c>
      <c r="M23" s="201">
        <v>3.44</v>
      </c>
      <c r="N23" s="201">
        <v>1.1299999999999999</v>
      </c>
      <c r="O23" s="200">
        <f t="shared" si="0"/>
        <v>0</v>
      </c>
      <c r="P23" s="200">
        <f t="shared" si="1"/>
        <v>2.1</v>
      </c>
      <c r="Q23" s="200">
        <f t="shared" si="2"/>
        <v>6.8000000000000007</v>
      </c>
      <c r="R23" s="200">
        <f t="shared" si="3"/>
        <v>0</v>
      </c>
      <c r="S23" s="200">
        <f t="shared" si="10"/>
        <v>6448.6</v>
      </c>
      <c r="T23" s="200">
        <f t="shared" si="4"/>
        <v>211.8</v>
      </c>
      <c r="U23" s="200">
        <f t="shared" si="5"/>
        <v>8.6</v>
      </c>
      <c r="V23" s="200">
        <f t="shared" si="6"/>
        <v>4995.2</v>
      </c>
      <c r="W23" s="200">
        <f t="shared" si="7"/>
        <v>14.399999999999999</v>
      </c>
      <c r="X23" s="200">
        <f t="shared" si="8"/>
        <v>68.8</v>
      </c>
      <c r="Y23" s="200">
        <f t="shared" si="9"/>
        <v>22.599999999999998</v>
      </c>
      <c r="Z23" s="216">
        <f>O23/Constants!$C$12</f>
        <v>0</v>
      </c>
      <c r="AA23" s="216">
        <f>P23/Constants!$C$11</f>
        <v>2.4393077012428852E-2</v>
      </c>
      <c r="AB23" s="216">
        <f>Q23/Constants!$C$13</f>
        <v>7.548845470692718E-2</v>
      </c>
      <c r="AC23" s="216">
        <f>R23/Constants!$C$18</f>
        <v>0</v>
      </c>
      <c r="AD23" s="216">
        <f>S23/Constants!$C$3</f>
        <v>107.38717735220651</v>
      </c>
      <c r="AE23" s="216">
        <f>T23/Constants!$C$4</f>
        <v>2.8590712742980564</v>
      </c>
      <c r="AF23" s="216">
        <f>U23/Constants!$C$5</f>
        <v>9.7605266144591987E-2</v>
      </c>
      <c r="AG23" s="216">
        <f>V23/Constants!$C$6</f>
        <v>56.692770400635567</v>
      </c>
      <c r="AH23" s="216">
        <f>W23/Constants!$C$7</f>
        <v>0.14099676882404777</v>
      </c>
      <c r="AI23" s="216">
        <f>X23/Constants!$C$8</f>
        <v>0.67365122882600603</v>
      </c>
      <c r="AJ23" s="216">
        <f>Y23/Constants!$C$10</f>
        <v>0.19455922865013772</v>
      </c>
      <c r="AK23" s="199">
        <f>Z23*Constants!$D$12</f>
        <v>0</v>
      </c>
      <c r="AL23" s="199">
        <f>AA23*Constants!$D$11</f>
        <v>9.7572308049715409E-2</v>
      </c>
      <c r="AM23" s="199">
        <f>AB23*Constants!$D$13</f>
        <v>0.22646536412078155</v>
      </c>
      <c r="AN23" s="199">
        <f>AC23*Constants!$D$18</f>
        <v>0</v>
      </c>
      <c r="AO23" s="199">
        <f>AD23*Constants!$D$3</f>
        <v>214.77435470441301</v>
      </c>
      <c r="AP23" s="199">
        <f>AE23*Constants!$D$4</f>
        <v>8.5772138228941692</v>
      </c>
      <c r="AQ23" s="199">
        <f>AF23*Constants!$D$5</f>
        <v>0.39042106457836795</v>
      </c>
      <c r="AR23" s="199">
        <f>AG23*Constants!$D$6</f>
        <v>226.77108160254227</v>
      </c>
      <c r="AS23" s="199">
        <f>AH23*Constants!$D$7</f>
        <v>0.70498384412023885</v>
      </c>
      <c r="AT23" s="199">
        <f>AI23*Constants!$D$8</f>
        <v>3.3682561441300303</v>
      </c>
      <c r="AU23" s="199">
        <f>AJ23*Constants!$D$10</f>
        <v>1.1673553719008263</v>
      </c>
      <c r="AV23" s="199">
        <f>Z23*Constants!$E$12</f>
        <v>0</v>
      </c>
      <c r="AW23" s="199">
        <f>AA23*Constants!$E$11</f>
        <v>0.43907538622371933</v>
      </c>
      <c r="AX23" s="199">
        <f>AB23*Constants!$E$13</f>
        <v>0.90586145648312622</v>
      </c>
      <c r="AY23" s="199">
        <f>AC23*Constants!$E$18</f>
        <v>0</v>
      </c>
      <c r="AZ23" s="199">
        <f>AD23*Constants!$E$3</f>
        <v>859.09741881765206</v>
      </c>
      <c r="BA23" s="199">
        <f>AE23*Constants!$E$4</f>
        <v>40.02699784017279</v>
      </c>
      <c r="BB23" s="199">
        <f>AF23*Constants!$E$5</f>
        <v>1.9521053228918397</v>
      </c>
      <c r="BC23" s="199">
        <f>AG23*Constants!$E$6</f>
        <v>1133.8554080127115</v>
      </c>
      <c r="BD23" s="199">
        <f>AH23*Constants!$E$7</f>
        <v>3.6659159894252422</v>
      </c>
      <c r="BE23" s="199">
        <f>AI23*Constants!$E$8</f>
        <v>17.514931949476157</v>
      </c>
      <c r="BF23" s="199">
        <f>AJ23*Constants!$E$10</f>
        <v>6.2258953168044071</v>
      </c>
    </row>
    <row r="24" spans="1:58">
      <c r="A24" s="199">
        <f>'Influent Concentration'!A24</f>
        <v>42.725694444445253</v>
      </c>
      <c r="B24" s="201">
        <v>10</v>
      </c>
      <c r="C24" s="201" t="s">
        <v>202</v>
      </c>
      <c r="D24" s="201">
        <v>0.1</v>
      </c>
      <c r="E24" s="201" t="s">
        <v>202</v>
      </c>
      <c r="F24" s="201" t="s">
        <v>202</v>
      </c>
      <c r="G24" s="201">
        <v>20</v>
      </c>
      <c r="H24" s="201">
        <v>310.93</v>
      </c>
      <c r="I24" s="201">
        <v>8.51</v>
      </c>
      <c r="J24" s="201">
        <v>0.34</v>
      </c>
      <c r="K24" s="201">
        <v>240.39</v>
      </c>
      <c r="L24" s="201">
        <v>0.61</v>
      </c>
      <c r="M24" s="201">
        <v>2.98</v>
      </c>
      <c r="N24" s="201">
        <v>1.07</v>
      </c>
      <c r="O24" s="200">
        <f t="shared" si="0"/>
        <v>0</v>
      </c>
      <c r="P24" s="200">
        <f t="shared" si="1"/>
        <v>1</v>
      </c>
      <c r="Q24" s="200">
        <f t="shared" si="2"/>
        <v>0</v>
      </c>
      <c r="R24" s="200">
        <f t="shared" si="3"/>
        <v>0</v>
      </c>
      <c r="S24" s="200">
        <f t="shared" si="10"/>
        <v>6218.6</v>
      </c>
      <c r="T24" s="200">
        <f t="shared" si="4"/>
        <v>170.2</v>
      </c>
      <c r="U24" s="200">
        <f t="shared" si="5"/>
        <v>6.8000000000000007</v>
      </c>
      <c r="V24" s="200">
        <f t="shared" si="6"/>
        <v>4807.7999999999993</v>
      </c>
      <c r="W24" s="200">
        <f t="shared" si="7"/>
        <v>12.2</v>
      </c>
      <c r="X24" s="200">
        <f t="shared" si="8"/>
        <v>59.6</v>
      </c>
      <c r="Y24" s="200">
        <f t="shared" si="9"/>
        <v>21.400000000000002</v>
      </c>
      <c r="Z24" s="216">
        <f>O24/Constants!$C$12</f>
        <v>0</v>
      </c>
      <c r="AA24" s="216">
        <f>P24/Constants!$C$11</f>
        <v>1.1615750958299453E-2</v>
      </c>
      <c r="AB24" s="216">
        <f>Q24/Constants!$C$13</f>
        <v>0</v>
      </c>
      <c r="AC24" s="216">
        <f>R24/Constants!$C$18</f>
        <v>0</v>
      </c>
      <c r="AD24" s="216">
        <f>S24/Constants!$C$3</f>
        <v>103.5570358034971</v>
      </c>
      <c r="AE24" s="216">
        <f>T24/Constants!$C$4</f>
        <v>2.2975161987041037</v>
      </c>
      <c r="AF24" s="216">
        <f>U24/Constants!$C$5</f>
        <v>7.7176256951537861E-2</v>
      </c>
      <c r="AG24" s="216">
        <f>V24/Constants!$C$6</f>
        <v>54.565883554647591</v>
      </c>
      <c r="AH24" s="216">
        <f>W24/Constants!$C$7</f>
        <v>0.1194555958092627</v>
      </c>
      <c r="AI24" s="216">
        <f>X24/Constants!$C$8</f>
        <v>0.58356995985508664</v>
      </c>
      <c r="AJ24" s="216">
        <f>Y24/Constants!$C$10</f>
        <v>0.18422865013774106</v>
      </c>
      <c r="AK24" s="199">
        <f>Z24*Constants!$D$12</f>
        <v>0</v>
      </c>
      <c r="AL24" s="199">
        <f>AA24*Constants!$D$11</f>
        <v>4.6463003833197812E-2</v>
      </c>
      <c r="AM24" s="199">
        <f>AB24*Constants!$D$13</f>
        <v>0</v>
      </c>
      <c r="AN24" s="199">
        <f>AC24*Constants!$D$18</f>
        <v>0</v>
      </c>
      <c r="AO24" s="199">
        <f>AD24*Constants!$D$3</f>
        <v>207.1140716069942</v>
      </c>
      <c r="AP24" s="199">
        <f>AE24*Constants!$D$4</f>
        <v>6.8925485961123112</v>
      </c>
      <c r="AQ24" s="199">
        <f>AF24*Constants!$D$5</f>
        <v>0.30870502780615144</v>
      </c>
      <c r="AR24" s="199">
        <f>AG24*Constants!$D$6</f>
        <v>218.26353421859037</v>
      </c>
      <c r="AS24" s="199">
        <f>AH24*Constants!$D$7</f>
        <v>0.59727797904631352</v>
      </c>
      <c r="AT24" s="199">
        <f>AI24*Constants!$D$8</f>
        <v>2.9178497992754333</v>
      </c>
      <c r="AU24" s="199">
        <f>AJ24*Constants!$D$10</f>
        <v>1.1053719008264464</v>
      </c>
      <c r="AV24" s="199">
        <f>Z24*Constants!$E$12</f>
        <v>0</v>
      </c>
      <c r="AW24" s="199">
        <f>AA24*Constants!$E$11</f>
        <v>0.20908351724939014</v>
      </c>
      <c r="AX24" s="199">
        <f>AB24*Constants!$E$13</f>
        <v>0</v>
      </c>
      <c r="AY24" s="199">
        <f>AC24*Constants!$E$18</f>
        <v>0</v>
      </c>
      <c r="AZ24" s="199">
        <f>AD24*Constants!$E$3</f>
        <v>828.45628642797681</v>
      </c>
      <c r="BA24" s="199">
        <f>AE24*Constants!$E$4</f>
        <v>32.165226781857456</v>
      </c>
      <c r="BB24" s="199">
        <f>AF24*Constants!$E$5</f>
        <v>1.5435251390307572</v>
      </c>
      <c r="BC24" s="199">
        <f>AG24*Constants!$E$6</f>
        <v>1091.3176710929517</v>
      </c>
      <c r="BD24" s="199">
        <f>AH24*Constants!$E$7</f>
        <v>3.1058454910408302</v>
      </c>
      <c r="BE24" s="199">
        <f>AI24*Constants!$E$8</f>
        <v>15.172818956232252</v>
      </c>
      <c r="BF24" s="199">
        <f>AJ24*Constants!$E$10</f>
        <v>5.895316804407714</v>
      </c>
    </row>
    <row r="25" spans="1:58">
      <c r="A25" s="199">
        <f>'Influent Concentration'!A25</f>
        <v>42.944444444445253</v>
      </c>
      <c r="B25" s="201">
        <v>10</v>
      </c>
      <c r="C25" s="201">
        <v>65.88</v>
      </c>
      <c r="D25" s="201">
        <v>2.82</v>
      </c>
      <c r="E25" s="201" t="s">
        <v>202</v>
      </c>
      <c r="F25" s="201" t="s">
        <v>202</v>
      </c>
      <c r="G25" s="201">
        <v>20</v>
      </c>
      <c r="H25" s="201">
        <v>294.12</v>
      </c>
      <c r="I25" s="201">
        <v>8.3800000000000008</v>
      </c>
      <c r="J25" s="201">
        <v>0.5</v>
      </c>
      <c r="K25" s="201">
        <v>231.33</v>
      </c>
      <c r="L25" s="201">
        <v>0.72</v>
      </c>
      <c r="M25" s="201">
        <v>2.65</v>
      </c>
      <c r="N25" s="201">
        <v>1.04</v>
      </c>
      <c r="O25" s="200">
        <f t="shared" si="0"/>
        <v>658.8</v>
      </c>
      <c r="P25" s="200">
        <f t="shared" si="1"/>
        <v>28.2</v>
      </c>
      <c r="Q25" s="200">
        <f t="shared" si="2"/>
        <v>0</v>
      </c>
      <c r="R25" s="200">
        <f t="shared" si="3"/>
        <v>0</v>
      </c>
      <c r="S25" s="200">
        <f t="shared" si="10"/>
        <v>5882.4</v>
      </c>
      <c r="T25" s="200">
        <f t="shared" si="4"/>
        <v>167.60000000000002</v>
      </c>
      <c r="U25" s="200">
        <f t="shared" si="5"/>
        <v>10</v>
      </c>
      <c r="V25" s="200">
        <f t="shared" si="6"/>
        <v>4626.6000000000004</v>
      </c>
      <c r="W25" s="200">
        <f t="shared" si="7"/>
        <v>14.399999999999999</v>
      </c>
      <c r="X25" s="200">
        <f t="shared" si="8"/>
        <v>53</v>
      </c>
      <c r="Y25" s="200">
        <f t="shared" si="9"/>
        <v>20.8</v>
      </c>
      <c r="Z25" s="216">
        <f>O25/Constants!$C$12</f>
        <v>6.328256703600708</v>
      </c>
      <c r="AA25" s="216">
        <f>P25/Constants!$C$11</f>
        <v>0.32756417702404456</v>
      </c>
      <c r="AB25" s="216">
        <f>Q25/Constants!$C$13</f>
        <v>0</v>
      </c>
      <c r="AC25" s="216">
        <f>R25/Constants!$C$18</f>
        <v>0</v>
      </c>
      <c r="AD25" s="216">
        <f>S25/Constants!$C$3</f>
        <v>97.958368026644465</v>
      </c>
      <c r="AE25" s="216">
        <f>T25/Constants!$C$4</f>
        <v>2.2624190064794818</v>
      </c>
      <c r="AF25" s="216">
        <f>U25/Constants!$C$5</f>
        <v>0.11349449551696743</v>
      </c>
      <c r="AG25" s="216">
        <f>V25/Constants!$C$6</f>
        <v>52.509363295880156</v>
      </c>
      <c r="AH25" s="216">
        <f>W25/Constants!$C$7</f>
        <v>0.14099676882404777</v>
      </c>
      <c r="AI25" s="216">
        <f>X25/Constants!$C$8</f>
        <v>0.51894644081073149</v>
      </c>
      <c r="AJ25" s="216">
        <f>Y25/Constants!$C$10</f>
        <v>0.1790633608815427</v>
      </c>
      <c r="AK25" s="199">
        <f>Z25*Constants!$D$12</f>
        <v>25.313026814402832</v>
      </c>
      <c r="AL25" s="199">
        <f>AA25*Constants!$D$11</f>
        <v>1.3102567080961782</v>
      </c>
      <c r="AM25" s="199">
        <f>AB25*Constants!$D$13</f>
        <v>0</v>
      </c>
      <c r="AN25" s="199">
        <f>AC25*Constants!$D$18</f>
        <v>0</v>
      </c>
      <c r="AO25" s="199">
        <f>AD25*Constants!$D$3</f>
        <v>195.91673605328893</v>
      </c>
      <c r="AP25" s="199">
        <f>AE25*Constants!$D$4</f>
        <v>6.7872570194384458</v>
      </c>
      <c r="AQ25" s="199">
        <f>AF25*Constants!$D$5</f>
        <v>0.45397798206786971</v>
      </c>
      <c r="AR25" s="199">
        <f>AG25*Constants!$D$6</f>
        <v>210.03745318352063</v>
      </c>
      <c r="AS25" s="199">
        <f>AH25*Constants!$D$7</f>
        <v>0.70498384412023885</v>
      </c>
      <c r="AT25" s="199">
        <f>AI25*Constants!$D$8</f>
        <v>2.5947322040536576</v>
      </c>
      <c r="AU25" s="199">
        <f>AJ25*Constants!$D$10</f>
        <v>1.0743801652892562</v>
      </c>
      <c r="AV25" s="199">
        <f>Z25*Constants!$E$12</f>
        <v>113.90862066481274</v>
      </c>
      <c r="AW25" s="199">
        <f>AA25*Constants!$E$11</f>
        <v>5.8961551864328019</v>
      </c>
      <c r="AX25" s="199">
        <f>AB25*Constants!$E$13</f>
        <v>0</v>
      </c>
      <c r="AY25" s="199">
        <f>AC25*Constants!$E$18</f>
        <v>0</v>
      </c>
      <c r="AZ25" s="199">
        <f>AD25*Constants!$E$3</f>
        <v>783.66694421315572</v>
      </c>
      <c r="BA25" s="199">
        <f>AE25*Constants!$E$4</f>
        <v>31.673866090712746</v>
      </c>
      <c r="BB25" s="199">
        <f>AF25*Constants!$E$5</f>
        <v>2.2698899103393484</v>
      </c>
      <c r="BC25" s="199">
        <f>AG25*Constants!$E$6</f>
        <v>1050.1872659176031</v>
      </c>
      <c r="BD25" s="199">
        <f>AH25*Constants!$E$7</f>
        <v>3.6659159894252422</v>
      </c>
      <c r="BE25" s="199">
        <f>AI25*Constants!$E$8</f>
        <v>13.492607461079018</v>
      </c>
      <c r="BF25" s="199">
        <f>AJ25*Constants!$E$10</f>
        <v>5.7300275482093666</v>
      </c>
    </row>
    <row r="26" spans="1:58">
      <c r="A26" s="199">
        <f>'Influent Concentration'!A26</f>
        <v>45.740277777782467</v>
      </c>
      <c r="B26" s="201">
        <v>10</v>
      </c>
      <c r="C26" s="201" t="s">
        <v>202</v>
      </c>
      <c r="D26" s="201">
        <v>0.09</v>
      </c>
      <c r="E26" s="201" t="s">
        <v>202</v>
      </c>
      <c r="F26" s="201" t="s">
        <v>202</v>
      </c>
      <c r="G26" s="201">
        <v>20</v>
      </c>
      <c r="H26" s="201">
        <v>321.92</v>
      </c>
      <c r="I26" s="201">
        <v>6.9</v>
      </c>
      <c r="J26" s="201">
        <v>0.41</v>
      </c>
      <c r="K26" s="201">
        <v>249.78</v>
      </c>
      <c r="L26" s="201">
        <v>0.65</v>
      </c>
      <c r="M26" s="201">
        <v>2.7</v>
      </c>
      <c r="N26" s="201">
        <v>1.05</v>
      </c>
      <c r="O26" s="200">
        <f t="shared" si="0"/>
        <v>0</v>
      </c>
      <c r="P26" s="200">
        <f t="shared" si="1"/>
        <v>0.89999999999999991</v>
      </c>
      <c r="Q26" s="200">
        <f t="shared" si="2"/>
        <v>0</v>
      </c>
      <c r="R26" s="200">
        <f t="shared" si="3"/>
        <v>0</v>
      </c>
      <c r="S26" s="200">
        <f t="shared" si="10"/>
        <v>6438.4000000000005</v>
      </c>
      <c r="T26" s="200">
        <f t="shared" si="4"/>
        <v>138</v>
      </c>
      <c r="U26" s="200">
        <f t="shared" si="5"/>
        <v>8.1999999999999993</v>
      </c>
      <c r="V26" s="200">
        <f t="shared" si="6"/>
        <v>4995.6000000000004</v>
      </c>
      <c r="W26" s="200">
        <f t="shared" si="7"/>
        <v>13</v>
      </c>
      <c r="X26" s="200">
        <f t="shared" si="8"/>
        <v>54</v>
      </c>
      <c r="Y26" s="200">
        <f t="shared" si="9"/>
        <v>21</v>
      </c>
      <c r="Z26" s="216">
        <f>O26/Constants!$C$12</f>
        <v>0</v>
      </c>
      <c r="AA26" s="216">
        <f>P26/Constants!$C$11</f>
        <v>1.0454175862469507E-2</v>
      </c>
      <c r="AB26" s="216">
        <f>Q26/Constants!$C$13</f>
        <v>0</v>
      </c>
      <c r="AC26" s="216">
        <f>R26/Constants!$C$18</f>
        <v>0</v>
      </c>
      <c r="AD26" s="216">
        <f>S26/Constants!$C$3</f>
        <v>107.21731890091591</v>
      </c>
      <c r="AE26" s="216">
        <f>T26/Constants!$C$4</f>
        <v>1.8628509719222464</v>
      </c>
      <c r="AF26" s="216">
        <f>U26/Constants!$C$5</f>
        <v>9.3065486323913288E-2</v>
      </c>
      <c r="AG26" s="216">
        <f>V26/Constants!$C$6</f>
        <v>56.697310180456249</v>
      </c>
      <c r="AH26" s="216">
        <f>W26/Constants!$C$7</f>
        <v>0.12728874963282091</v>
      </c>
      <c r="AI26" s="216">
        <f>X26/Constants!$C$8</f>
        <v>0.52873788309017922</v>
      </c>
      <c r="AJ26" s="216">
        <f>Y26/Constants!$C$10</f>
        <v>0.18078512396694216</v>
      </c>
      <c r="AK26" s="199">
        <f>Z26*Constants!$D$12</f>
        <v>0</v>
      </c>
      <c r="AL26" s="199">
        <f>AA26*Constants!$D$11</f>
        <v>4.1816703449878027E-2</v>
      </c>
      <c r="AM26" s="199">
        <f>AB26*Constants!$D$13</f>
        <v>0</v>
      </c>
      <c r="AN26" s="199">
        <f>AC26*Constants!$D$18</f>
        <v>0</v>
      </c>
      <c r="AO26" s="199">
        <f>AD26*Constants!$D$3</f>
        <v>214.43463780183183</v>
      </c>
      <c r="AP26" s="199">
        <f>AE26*Constants!$D$4</f>
        <v>5.5885529157667388</v>
      </c>
      <c r="AQ26" s="199">
        <f>AF26*Constants!$D$5</f>
        <v>0.37226194529565315</v>
      </c>
      <c r="AR26" s="199">
        <f>AG26*Constants!$D$6</f>
        <v>226.789240721825</v>
      </c>
      <c r="AS26" s="199">
        <f>AH26*Constants!$D$7</f>
        <v>0.63644374816410454</v>
      </c>
      <c r="AT26" s="199">
        <f>AI26*Constants!$D$8</f>
        <v>2.6436894154508961</v>
      </c>
      <c r="AU26" s="199">
        <f>AJ26*Constants!$D$10</f>
        <v>1.084710743801653</v>
      </c>
      <c r="AV26" s="199">
        <f>Z26*Constants!$E$12</f>
        <v>0</v>
      </c>
      <c r="AW26" s="199">
        <f>AA26*Constants!$E$11</f>
        <v>0.18817516552445113</v>
      </c>
      <c r="AX26" s="199">
        <f>AB26*Constants!$E$13</f>
        <v>0</v>
      </c>
      <c r="AY26" s="199">
        <f>AC26*Constants!$E$18</f>
        <v>0</v>
      </c>
      <c r="AZ26" s="199">
        <f>AD26*Constants!$E$3</f>
        <v>857.7385512073273</v>
      </c>
      <c r="BA26" s="199">
        <f>AE26*Constants!$E$4</f>
        <v>26.07991360691145</v>
      </c>
      <c r="BB26" s="199">
        <f>AF26*Constants!$E$5</f>
        <v>1.8613097264782659</v>
      </c>
      <c r="BC26" s="199">
        <f>AG26*Constants!$E$6</f>
        <v>1133.946203609125</v>
      </c>
      <c r="BD26" s="199">
        <f>AH26*Constants!$E$7</f>
        <v>3.3095074904533437</v>
      </c>
      <c r="BE26" s="199">
        <f>AI26*Constants!$E$8</f>
        <v>13.74718496034466</v>
      </c>
      <c r="BF26" s="199">
        <f>AJ26*Constants!$E$10</f>
        <v>5.785123966942149</v>
      </c>
    </row>
    <row r="27" spans="1:58">
      <c r="A27" s="199">
        <f>'Influent Concentration'!A27</f>
        <v>47.751388888893416</v>
      </c>
      <c r="B27" s="201">
        <v>10</v>
      </c>
      <c r="C27" s="201" t="s">
        <v>202</v>
      </c>
      <c r="D27" s="201">
        <v>0.05</v>
      </c>
      <c r="E27" s="201" t="s">
        <v>202</v>
      </c>
      <c r="F27" s="201" t="s">
        <v>202</v>
      </c>
      <c r="G27" s="201">
        <v>20</v>
      </c>
      <c r="H27" s="201">
        <v>343.17</v>
      </c>
      <c r="I27" s="201">
        <v>5.62</v>
      </c>
      <c r="J27" s="201">
        <v>0.45</v>
      </c>
      <c r="K27" s="201">
        <v>269.69</v>
      </c>
      <c r="L27" s="201">
        <v>0.62</v>
      </c>
      <c r="M27" s="201">
        <v>3.17</v>
      </c>
      <c r="N27" s="201">
        <v>0.89</v>
      </c>
      <c r="O27" s="200">
        <f t="shared" si="0"/>
        <v>0</v>
      </c>
      <c r="P27" s="200">
        <f t="shared" si="1"/>
        <v>0.5</v>
      </c>
      <c r="Q27" s="200">
        <f t="shared" si="2"/>
        <v>0</v>
      </c>
      <c r="R27" s="200">
        <f t="shared" si="3"/>
        <v>0</v>
      </c>
      <c r="S27" s="200">
        <f t="shared" si="10"/>
        <v>6863.4000000000005</v>
      </c>
      <c r="T27" s="200">
        <f t="shared" si="4"/>
        <v>112.4</v>
      </c>
      <c r="U27" s="200">
        <f t="shared" si="5"/>
        <v>9</v>
      </c>
      <c r="V27" s="200">
        <f t="shared" si="6"/>
        <v>5393.8</v>
      </c>
      <c r="W27" s="200">
        <f t="shared" si="7"/>
        <v>12.4</v>
      </c>
      <c r="X27" s="200">
        <f t="shared" si="8"/>
        <v>63.4</v>
      </c>
      <c r="Y27" s="200">
        <f t="shared" si="9"/>
        <v>17.8</v>
      </c>
      <c r="Z27" s="216">
        <f>O27/Constants!$C$12</f>
        <v>0</v>
      </c>
      <c r="AA27" s="216">
        <f>P27/Constants!$C$11</f>
        <v>5.8078754791497265E-3</v>
      </c>
      <c r="AB27" s="216">
        <f>Q27/Constants!$C$13</f>
        <v>0</v>
      </c>
      <c r="AC27" s="216">
        <f>R27/Constants!$C$18</f>
        <v>0</v>
      </c>
      <c r="AD27" s="216">
        <f>S27/Constants!$C$3</f>
        <v>114.29475437135721</v>
      </c>
      <c r="AE27" s="216">
        <f>T27/Constants!$C$4</f>
        <v>1.5172786177105833</v>
      </c>
      <c r="AF27" s="216">
        <f>U27/Constants!$C$5</f>
        <v>0.10214504596527069</v>
      </c>
      <c r="AG27" s="216">
        <f>V27/Constants!$C$6</f>
        <v>61.216660991941893</v>
      </c>
      <c r="AH27" s="216">
        <f>W27/Constants!$C$7</f>
        <v>0.12141388426515226</v>
      </c>
      <c r="AI27" s="216">
        <f>X27/Constants!$C$8</f>
        <v>0.62077744051698813</v>
      </c>
      <c r="AJ27" s="216">
        <f>Y27/Constants!$C$10</f>
        <v>0.15323691460055097</v>
      </c>
      <c r="AK27" s="199">
        <f>Z27*Constants!$D$12</f>
        <v>0</v>
      </c>
      <c r="AL27" s="199">
        <f>AA27*Constants!$D$11</f>
        <v>2.3231501916598906E-2</v>
      </c>
      <c r="AM27" s="199">
        <f>AB27*Constants!$D$13</f>
        <v>0</v>
      </c>
      <c r="AN27" s="199">
        <f>AC27*Constants!$D$18</f>
        <v>0</v>
      </c>
      <c r="AO27" s="199">
        <f>AD27*Constants!$D$3</f>
        <v>228.58950874271443</v>
      </c>
      <c r="AP27" s="199">
        <f>AE27*Constants!$D$4</f>
        <v>4.5518358531317498</v>
      </c>
      <c r="AQ27" s="199">
        <f>AF27*Constants!$D$5</f>
        <v>0.40858018386108275</v>
      </c>
      <c r="AR27" s="199">
        <f>AG27*Constants!$D$6</f>
        <v>244.86664396776757</v>
      </c>
      <c r="AS27" s="199">
        <f>AH27*Constants!$D$7</f>
        <v>0.60706942132576125</v>
      </c>
      <c r="AT27" s="199">
        <f>AI27*Constants!$D$8</f>
        <v>3.1038872025849407</v>
      </c>
      <c r="AU27" s="199">
        <f>AJ27*Constants!$D$10</f>
        <v>0.91942148760330578</v>
      </c>
      <c r="AV27" s="199">
        <f>Z27*Constants!$E$12</f>
        <v>0</v>
      </c>
      <c r="AW27" s="199">
        <f>AA27*Constants!$E$11</f>
        <v>0.10454175862469507</v>
      </c>
      <c r="AX27" s="199">
        <f>AB27*Constants!$E$13</f>
        <v>0</v>
      </c>
      <c r="AY27" s="199">
        <f>AC27*Constants!$E$18</f>
        <v>0</v>
      </c>
      <c r="AZ27" s="199">
        <f>AD27*Constants!$E$3</f>
        <v>914.35803497085772</v>
      </c>
      <c r="BA27" s="199">
        <f>AE27*Constants!$E$4</f>
        <v>21.241900647948164</v>
      </c>
      <c r="BB27" s="199">
        <f>AF27*Constants!$E$5</f>
        <v>2.0429009193054135</v>
      </c>
      <c r="BC27" s="199">
        <f>AG27*Constants!$E$6</f>
        <v>1224.333219838838</v>
      </c>
      <c r="BD27" s="199">
        <f>AH27*Constants!$E$7</f>
        <v>3.1567609908939587</v>
      </c>
      <c r="BE27" s="199">
        <f>AI27*Constants!$E$8</f>
        <v>16.140213453441692</v>
      </c>
      <c r="BF27" s="199">
        <f>AJ27*Constants!$E$10</f>
        <v>4.9035812672176311</v>
      </c>
    </row>
    <row r="28" spans="1:58">
      <c r="A28" s="199">
        <f>'Influent Concentration'!A28</f>
        <v>48.746527777781012</v>
      </c>
      <c r="B28" s="201">
        <v>10</v>
      </c>
      <c r="C28" s="201">
        <v>64.39</v>
      </c>
      <c r="D28" s="201">
        <v>2.5299999999999998</v>
      </c>
      <c r="E28" s="201">
        <v>2.2599999999999998</v>
      </c>
      <c r="F28" s="201" t="s">
        <v>202</v>
      </c>
      <c r="G28" s="201">
        <v>20</v>
      </c>
      <c r="H28" s="201">
        <v>305.88</v>
      </c>
      <c r="I28" s="201">
        <v>5.17</v>
      </c>
      <c r="J28" s="201">
        <v>0.36</v>
      </c>
      <c r="K28" s="201">
        <v>244.85</v>
      </c>
      <c r="L28" s="201">
        <v>0.71</v>
      </c>
      <c r="M28" s="201">
        <v>2.54</v>
      </c>
      <c r="N28" s="201">
        <v>0.76</v>
      </c>
      <c r="O28" s="200">
        <f t="shared" si="0"/>
        <v>643.9</v>
      </c>
      <c r="P28" s="200">
        <f t="shared" si="1"/>
        <v>25.299999999999997</v>
      </c>
      <c r="Q28" s="200">
        <f t="shared" si="2"/>
        <v>22.599999999999998</v>
      </c>
      <c r="R28" s="200">
        <f t="shared" si="3"/>
        <v>0</v>
      </c>
      <c r="S28" s="200">
        <f t="shared" si="10"/>
        <v>6117.6</v>
      </c>
      <c r="T28" s="200">
        <f t="shared" si="4"/>
        <v>103.4</v>
      </c>
      <c r="U28" s="200">
        <f t="shared" si="5"/>
        <v>7.1999999999999993</v>
      </c>
      <c r="V28" s="200">
        <f t="shared" si="6"/>
        <v>4897</v>
      </c>
      <c r="W28" s="200">
        <f t="shared" si="7"/>
        <v>14.2</v>
      </c>
      <c r="X28" s="200">
        <f t="shared" si="8"/>
        <v>50.8</v>
      </c>
      <c r="Y28" s="200">
        <f t="shared" si="9"/>
        <v>15.2</v>
      </c>
      <c r="Z28" s="216">
        <f>O28/Constants!$C$12</f>
        <v>6.1851312863516945</v>
      </c>
      <c r="AA28" s="216">
        <f>P28/Constants!$C$11</f>
        <v>0.29387849924497617</v>
      </c>
      <c r="AB28" s="216">
        <f>Q28/Constants!$C$13</f>
        <v>0.2508880994671403</v>
      </c>
      <c r="AC28" s="216">
        <f>R28/Constants!$C$18</f>
        <v>0</v>
      </c>
      <c r="AD28" s="216">
        <f>S28/Constants!$C$3</f>
        <v>101.87510407993339</v>
      </c>
      <c r="AE28" s="216">
        <f>T28/Constants!$C$4</f>
        <v>1.3957883369330455</v>
      </c>
      <c r="AF28" s="216">
        <f>U28/Constants!$C$5</f>
        <v>8.1716036772216546E-2</v>
      </c>
      <c r="AG28" s="216">
        <f>V28/Constants!$C$6</f>
        <v>55.578254454658946</v>
      </c>
      <c r="AH28" s="216">
        <f>W28/Constants!$C$7</f>
        <v>0.13903848036815822</v>
      </c>
      <c r="AI28" s="216">
        <f>X28/Constants!$C$8</f>
        <v>0.49740526779594635</v>
      </c>
      <c r="AJ28" s="216">
        <f>Y28/Constants!$C$10</f>
        <v>0.13085399449035812</v>
      </c>
      <c r="AK28" s="199">
        <f>Z28*Constants!$D$12</f>
        <v>24.740525145406778</v>
      </c>
      <c r="AL28" s="199">
        <f>AA28*Constants!$D$11</f>
        <v>1.1755139969799047</v>
      </c>
      <c r="AM28" s="199">
        <f>AB28*Constants!$D$13</f>
        <v>0.75266429840142091</v>
      </c>
      <c r="AN28" s="199">
        <f>AC28*Constants!$D$18</f>
        <v>0</v>
      </c>
      <c r="AO28" s="199">
        <f>AD28*Constants!$D$3</f>
        <v>203.75020815986679</v>
      </c>
      <c r="AP28" s="199">
        <f>AE28*Constants!$D$4</f>
        <v>4.1873650107991365</v>
      </c>
      <c r="AQ28" s="199">
        <f>AF28*Constants!$D$5</f>
        <v>0.32686414708886619</v>
      </c>
      <c r="AR28" s="199">
        <f>AG28*Constants!$D$6</f>
        <v>222.31301781863579</v>
      </c>
      <c r="AS28" s="199">
        <f>AH28*Constants!$D$7</f>
        <v>0.69519240184079112</v>
      </c>
      <c r="AT28" s="199">
        <f>AI28*Constants!$D$8</f>
        <v>2.4870263389797316</v>
      </c>
      <c r="AU28" s="199">
        <f>AJ28*Constants!$D$10</f>
        <v>0.7851239669421487</v>
      </c>
      <c r="AV28" s="199">
        <f>Z28*Constants!$E$12</f>
        <v>111.33236315433049</v>
      </c>
      <c r="AW28" s="199">
        <f>AA28*Constants!$E$11</f>
        <v>5.2898129864095713</v>
      </c>
      <c r="AX28" s="199">
        <f>AB28*Constants!$E$13</f>
        <v>3.0106571936056836</v>
      </c>
      <c r="AY28" s="199">
        <f>AC28*Constants!$E$18</f>
        <v>0</v>
      </c>
      <c r="AZ28" s="199">
        <f>AD28*Constants!$E$3</f>
        <v>815.00083263946715</v>
      </c>
      <c r="BA28" s="199">
        <f>AE28*Constants!$E$4</f>
        <v>19.541036717062639</v>
      </c>
      <c r="BB28" s="199">
        <f>AF28*Constants!$E$5</f>
        <v>1.634320735444331</v>
      </c>
      <c r="BC28" s="199">
        <f>AG28*Constants!$E$6</f>
        <v>1111.5650890931788</v>
      </c>
      <c r="BD28" s="199">
        <f>AH28*Constants!$E$7</f>
        <v>3.6150004895721137</v>
      </c>
      <c r="BE28" s="199">
        <f>AI28*Constants!$E$8</f>
        <v>12.932536962694606</v>
      </c>
      <c r="BF28" s="199">
        <f>AJ28*Constants!$E$10</f>
        <v>4.1873278236914597</v>
      </c>
    </row>
    <row r="29" spans="1:58">
      <c r="A29" s="199">
        <f>'Influent Concentration'!A29</f>
        <v>49.74861111111386</v>
      </c>
      <c r="B29" s="201">
        <v>10</v>
      </c>
      <c r="C29" s="201" t="s">
        <v>202</v>
      </c>
      <c r="D29" s="201">
        <v>7.0000000000000007E-2</v>
      </c>
      <c r="E29" s="201" t="s">
        <v>202</v>
      </c>
      <c r="F29" s="201">
        <v>0.76</v>
      </c>
      <c r="G29" s="201">
        <v>20</v>
      </c>
      <c r="H29" s="201">
        <v>339.24</v>
      </c>
      <c r="I29" s="201">
        <v>5.32</v>
      </c>
      <c r="J29" s="201">
        <v>0.68</v>
      </c>
      <c r="K29" s="201">
        <v>269.98</v>
      </c>
      <c r="L29" s="201">
        <v>0.88</v>
      </c>
      <c r="M29" s="201">
        <v>2.87</v>
      </c>
      <c r="N29" s="201">
        <v>1.07</v>
      </c>
      <c r="O29" s="200">
        <f t="shared" si="0"/>
        <v>0</v>
      </c>
      <c r="P29" s="200">
        <f t="shared" si="1"/>
        <v>0.70000000000000007</v>
      </c>
      <c r="Q29" s="200">
        <f t="shared" si="2"/>
        <v>0</v>
      </c>
      <c r="R29" s="200">
        <f t="shared" si="3"/>
        <v>7.6</v>
      </c>
      <c r="S29" s="200">
        <f t="shared" si="10"/>
        <v>6784.8</v>
      </c>
      <c r="T29" s="200">
        <f t="shared" si="4"/>
        <v>106.4</v>
      </c>
      <c r="U29" s="200">
        <f t="shared" si="5"/>
        <v>13.600000000000001</v>
      </c>
      <c r="V29" s="200">
        <f t="shared" si="6"/>
        <v>5399.6</v>
      </c>
      <c r="W29" s="200">
        <f t="shared" si="7"/>
        <v>17.600000000000001</v>
      </c>
      <c r="X29" s="200">
        <f t="shared" si="8"/>
        <v>57.400000000000006</v>
      </c>
      <c r="Y29" s="200">
        <f t="shared" si="9"/>
        <v>21.400000000000002</v>
      </c>
      <c r="Z29" s="216">
        <f>O29/Constants!$C$12</f>
        <v>0</v>
      </c>
      <c r="AA29" s="216">
        <f>P29/Constants!$C$11</f>
        <v>8.131025670809618E-3</v>
      </c>
      <c r="AB29" s="216">
        <f>Q29/Constants!$C$13</f>
        <v>0</v>
      </c>
      <c r="AC29" s="216">
        <f>R29/Constants!$C$18</f>
        <v>6.4335901125878267E-2</v>
      </c>
      <c r="AD29" s="216">
        <f>S29/Constants!$C$3</f>
        <v>112.98584512905913</v>
      </c>
      <c r="AE29" s="216">
        <f>T29/Constants!$C$4</f>
        <v>1.4362850971922247</v>
      </c>
      <c r="AF29" s="216">
        <f>U29/Constants!$C$5</f>
        <v>0.15435251390307572</v>
      </c>
      <c r="AG29" s="216">
        <f>V29/Constants!$C$6</f>
        <v>61.282487799341737</v>
      </c>
      <c r="AH29" s="216">
        <f>W29/Constants!$C$7</f>
        <v>0.17232938411828064</v>
      </c>
      <c r="AI29" s="216">
        <f>X29/Constants!$C$8</f>
        <v>0.56202878684030166</v>
      </c>
      <c r="AJ29" s="216">
        <f>Y29/Constants!$C$10</f>
        <v>0.18422865013774106</v>
      </c>
      <c r="AK29" s="199">
        <f>Z29*Constants!$D$12</f>
        <v>0</v>
      </c>
      <c r="AL29" s="199">
        <f>AA29*Constants!$D$11</f>
        <v>3.2524102683238472E-2</v>
      </c>
      <c r="AM29" s="199">
        <f>AB29*Constants!$D$13</f>
        <v>0</v>
      </c>
      <c r="AN29" s="199">
        <f>AC29*Constants!$D$18</f>
        <v>0.32167950562939135</v>
      </c>
      <c r="AO29" s="199">
        <f>AD29*Constants!$D$3</f>
        <v>225.97169025811826</v>
      </c>
      <c r="AP29" s="199">
        <f>AE29*Constants!$D$4</f>
        <v>4.3088552915766742</v>
      </c>
      <c r="AQ29" s="199">
        <f>AF29*Constants!$D$5</f>
        <v>0.61741005561230289</v>
      </c>
      <c r="AR29" s="199">
        <f>AG29*Constants!$D$6</f>
        <v>245.12995119736695</v>
      </c>
      <c r="AS29" s="199">
        <f>AH29*Constants!$D$7</f>
        <v>0.86164692059140324</v>
      </c>
      <c r="AT29" s="199">
        <f>AI29*Constants!$D$8</f>
        <v>2.8101439342015082</v>
      </c>
      <c r="AU29" s="199">
        <f>AJ29*Constants!$D$10</f>
        <v>1.1053719008264464</v>
      </c>
      <c r="AV29" s="199">
        <f>Z29*Constants!$E$12</f>
        <v>0</v>
      </c>
      <c r="AW29" s="199">
        <f>AA29*Constants!$E$11</f>
        <v>0.14635846207457312</v>
      </c>
      <c r="AX29" s="199">
        <f>AB29*Constants!$E$13</f>
        <v>0</v>
      </c>
      <c r="AY29" s="199">
        <f>AC29*Constants!$E$18</f>
        <v>1.5440616270210783</v>
      </c>
      <c r="AZ29" s="199">
        <f>AD29*Constants!$E$3</f>
        <v>903.88676103247303</v>
      </c>
      <c r="BA29" s="199">
        <f>AE29*Constants!$E$4</f>
        <v>20.107991360691145</v>
      </c>
      <c r="BB29" s="199">
        <f>AF29*Constants!$E$5</f>
        <v>3.0870502780615143</v>
      </c>
      <c r="BC29" s="199">
        <f>AG29*Constants!$E$6</f>
        <v>1225.6497559868349</v>
      </c>
      <c r="BD29" s="199">
        <f>AH29*Constants!$E$7</f>
        <v>4.4805639870752962</v>
      </c>
      <c r="BE29" s="199">
        <f>AI29*Constants!$E$8</f>
        <v>14.612748457847843</v>
      </c>
      <c r="BF29" s="199">
        <f>AJ29*Constants!$E$10</f>
        <v>5.895316804407714</v>
      </c>
    </row>
    <row r="30" spans="1:58">
      <c r="A30" s="199">
        <f>'Influent Concentration'!A30</f>
        <v>52.738194444449618</v>
      </c>
      <c r="B30" s="201">
        <v>10</v>
      </c>
      <c r="C30" s="201" t="s">
        <v>202</v>
      </c>
      <c r="D30" s="201">
        <v>0.06</v>
      </c>
      <c r="E30" s="201">
        <v>0.36</v>
      </c>
      <c r="F30" s="201" t="s">
        <v>202</v>
      </c>
      <c r="G30" s="201">
        <v>20</v>
      </c>
      <c r="H30" s="201">
        <v>352.99</v>
      </c>
      <c r="I30" s="201">
        <v>5.32</v>
      </c>
      <c r="J30" s="201">
        <v>0.41</v>
      </c>
      <c r="K30" s="201">
        <v>275.07</v>
      </c>
      <c r="L30" s="201">
        <v>0.83</v>
      </c>
      <c r="M30" s="201">
        <v>3.15</v>
      </c>
      <c r="N30" s="201">
        <v>1.47</v>
      </c>
      <c r="O30" s="200">
        <f t="shared" si="0"/>
        <v>0</v>
      </c>
      <c r="P30" s="200">
        <f t="shared" si="1"/>
        <v>0.6</v>
      </c>
      <c r="Q30" s="200">
        <f t="shared" si="2"/>
        <v>3.5999999999999996</v>
      </c>
      <c r="R30" s="200">
        <f t="shared" si="3"/>
        <v>0</v>
      </c>
      <c r="S30" s="200">
        <f t="shared" si="10"/>
        <v>7059.8</v>
      </c>
      <c r="T30" s="200">
        <f t="shared" si="4"/>
        <v>106.4</v>
      </c>
      <c r="U30" s="200">
        <f t="shared" si="5"/>
        <v>8.1999999999999993</v>
      </c>
      <c r="V30" s="200">
        <f t="shared" si="6"/>
        <v>5501.4</v>
      </c>
      <c r="W30" s="200">
        <f t="shared" si="7"/>
        <v>16.599999999999998</v>
      </c>
      <c r="X30" s="200">
        <f t="shared" si="8"/>
        <v>63</v>
      </c>
      <c r="Y30" s="200">
        <f t="shared" si="9"/>
        <v>29.4</v>
      </c>
      <c r="Z30" s="216">
        <f>O30/Constants!$C$12</f>
        <v>0</v>
      </c>
      <c r="AA30" s="216">
        <f>P30/Constants!$C$11</f>
        <v>6.9694505749796718E-3</v>
      </c>
      <c r="AB30" s="216">
        <f>Q30/Constants!$C$13</f>
        <v>3.9964476021314387E-2</v>
      </c>
      <c r="AC30" s="216">
        <f>R30/Constants!$C$18</f>
        <v>0</v>
      </c>
      <c r="AD30" s="216">
        <f>S30/Constants!$C$3</f>
        <v>117.5653621981682</v>
      </c>
      <c r="AE30" s="216">
        <f>T30/Constants!$C$4</f>
        <v>1.4362850971922247</v>
      </c>
      <c r="AF30" s="216">
        <f>U30/Constants!$C$5</f>
        <v>9.3065486323913288E-2</v>
      </c>
      <c r="AG30" s="216">
        <f>V30/Constants!$C$6</f>
        <v>62.437861763704454</v>
      </c>
      <c r="AH30" s="216">
        <f>W30/Constants!$C$7</f>
        <v>0.16253794183883286</v>
      </c>
      <c r="AI30" s="216">
        <f>X30/Constants!$C$8</f>
        <v>0.61686086360520909</v>
      </c>
      <c r="AJ30" s="216">
        <f>Y30/Constants!$C$10</f>
        <v>0.25309917355371903</v>
      </c>
      <c r="AK30" s="199">
        <f>Z30*Constants!$D$12</f>
        <v>0</v>
      </c>
      <c r="AL30" s="199">
        <f>AA30*Constants!$D$11</f>
        <v>2.7877802299918687E-2</v>
      </c>
      <c r="AM30" s="199">
        <f>AB30*Constants!$D$13</f>
        <v>0.11989342806394315</v>
      </c>
      <c r="AN30" s="199">
        <f>AC30*Constants!$D$18</f>
        <v>0</v>
      </c>
      <c r="AO30" s="199">
        <f>AD30*Constants!$D$3</f>
        <v>235.1307243963364</v>
      </c>
      <c r="AP30" s="199">
        <f>AE30*Constants!$D$4</f>
        <v>4.3088552915766742</v>
      </c>
      <c r="AQ30" s="199">
        <f>AF30*Constants!$D$5</f>
        <v>0.37226194529565315</v>
      </c>
      <c r="AR30" s="199">
        <f>AG30*Constants!$D$6</f>
        <v>249.75144705481782</v>
      </c>
      <c r="AS30" s="199">
        <f>AH30*Constants!$D$7</f>
        <v>0.81268970919416428</v>
      </c>
      <c r="AT30" s="199">
        <f>AI30*Constants!$D$8</f>
        <v>3.0843043180260454</v>
      </c>
      <c r="AU30" s="199">
        <f>AJ30*Constants!$D$10</f>
        <v>1.5185950413223142</v>
      </c>
      <c r="AV30" s="199">
        <f>Z30*Constants!$E$12</f>
        <v>0</v>
      </c>
      <c r="AW30" s="199">
        <f>AA30*Constants!$E$11</f>
        <v>0.1254501103496341</v>
      </c>
      <c r="AX30" s="199">
        <f>AB30*Constants!$E$13</f>
        <v>0.47957371225577261</v>
      </c>
      <c r="AY30" s="199">
        <f>AC30*Constants!$E$18</f>
        <v>0</v>
      </c>
      <c r="AZ30" s="199">
        <f>AD30*Constants!$E$3</f>
        <v>940.52289758534562</v>
      </c>
      <c r="BA30" s="199">
        <f>AE30*Constants!$E$4</f>
        <v>20.107991360691145</v>
      </c>
      <c r="BB30" s="199">
        <f>AF30*Constants!$E$5</f>
        <v>1.8613097264782659</v>
      </c>
      <c r="BC30" s="199">
        <f>AG30*Constants!$E$6</f>
        <v>1248.757235274089</v>
      </c>
      <c r="BD30" s="199">
        <f>AH30*Constants!$E$7</f>
        <v>4.2259864878096547</v>
      </c>
      <c r="BE30" s="199">
        <f>AI30*Constants!$E$8</f>
        <v>16.038382453735437</v>
      </c>
      <c r="BF30" s="199">
        <f>AJ30*Constants!$E$10</f>
        <v>8.0991735537190088</v>
      </c>
    </row>
    <row r="31" spans="1:58">
      <c r="A31" s="199">
        <f>'Influent Concentration'!A31</f>
        <v>54.743055555554747</v>
      </c>
      <c r="B31" s="201">
        <v>10</v>
      </c>
      <c r="C31" s="201" t="s">
        <v>202</v>
      </c>
      <c r="D31" s="201">
        <v>0.04</v>
      </c>
      <c r="E31" s="201" t="s">
        <v>202</v>
      </c>
      <c r="F31" s="201" t="s">
        <v>202</v>
      </c>
      <c r="G31" s="201">
        <v>20</v>
      </c>
      <c r="H31" s="201">
        <v>344.41</v>
      </c>
      <c r="I31" s="201">
        <v>4.5199999999999996</v>
      </c>
      <c r="J31" s="201">
        <v>0.41</v>
      </c>
      <c r="K31" s="201">
        <v>271.64999999999998</v>
      </c>
      <c r="L31" s="201">
        <v>0.51</v>
      </c>
      <c r="M31" s="201">
        <v>3</v>
      </c>
      <c r="N31" s="201">
        <v>2.02</v>
      </c>
      <c r="O31" s="200">
        <f t="shared" si="0"/>
        <v>0</v>
      </c>
      <c r="P31" s="200">
        <f t="shared" si="1"/>
        <v>0.4</v>
      </c>
      <c r="Q31" s="200">
        <f t="shared" si="2"/>
        <v>0</v>
      </c>
      <c r="R31" s="200">
        <f t="shared" si="3"/>
        <v>0</v>
      </c>
      <c r="S31" s="200">
        <f t="shared" si="10"/>
        <v>6888.2000000000007</v>
      </c>
      <c r="T31" s="200">
        <f t="shared" si="4"/>
        <v>90.399999999999991</v>
      </c>
      <c r="U31" s="200">
        <f t="shared" si="5"/>
        <v>8.1999999999999993</v>
      </c>
      <c r="V31" s="200">
        <f t="shared" si="6"/>
        <v>5433</v>
      </c>
      <c r="W31" s="200">
        <f t="shared" si="7"/>
        <v>10.199999999999999</v>
      </c>
      <c r="X31" s="200">
        <f t="shared" si="8"/>
        <v>60</v>
      </c>
      <c r="Y31" s="200">
        <f t="shared" si="9"/>
        <v>40.4</v>
      </c>
      <c r="Z31" s="216">
        <f>O31/Constants!$C$12</f>
        <v>0</v>
      </c>
      <c r="AA31" s="216">
        <f>P31/Constants!$C$11</f>
        <v>4.6463003833197821E-3</v>
      </c>
      <c r="AB31" s="216">
        <f>Q31/Constants!$C$13</f>
        <v>0</v>
      </c>
      <c r="AC31" s="216">
        <f>R31/Constants!$C$18</f>
        <v>0</v>
      </c>
      <c r="AD31" s="216">
        <f>S31/Constants!$C$3</f>
        <v>114.70774354704415</v>
      </c>
      <c r="AE31" s="216">
        <f>T31/Constants!$C$4</f>
        <v>1.2203023758099352</v>
      </c>
      <c r="AF31" s="216">
        <f>U31/Constants!$C$5</f>
        <v>9.3065486323913288E-2</v>
      </c>
      <c r="AG31" s="216">
        <f>V31/Constants!$C$6</f>
        <v>61.661559414368405</v>
      </c>
      <c r="AH31" s="216">
        <f>W31/Constants!$C$7</f>
        <v>9.9872711250367174E-2</v>
      </c>
      <c r="AI31" s="216">
        <f>X31/Constants!$C$8</f>
        <v>0.5874865367668658</v>
      </c>
      <c r="AJ31" s="216">
        <f>Y31/Constants!$C$10</f>
        <v>0.34779614325068869</v>
      </c>
      <c r="AK31" s="199">
        <f>Z31*Constants!$D$12</f>
        <v>0</v>
      </c>
      <c r="AL31" s="199">
        <f>AA31*Constants!$D$11</f>
        <v>1.8585201533279128E-2</v>
      </c>
      <c r="AM31" s="199">
        <f>AB31*Constants!$D$13</f>
        <v>0</v>
      </c>
      <c r="AN31" s="199">
        <f>AC31*Constants!$D$18</f>
        <v>0</v>
      </c>
      <c r="AO31" s="199">
        <f>AD31*Constants!$D$3</f>
        <v>229.41548709408829</v>
      </c>
      <c r="AP31" s="199">
        <f>AE31*Constants!$D$4</f>
        <v>3.6609071274298053</v>
      </c>
      <c r="AQ31" s="199">
        <f>AF31*Constants!$D$5</f>
        <v>0.37226194529565315</v>
      </c>
      <c r="AR31" s="199">
        <f>AG31*Constants!$D$6</f>
        <v>246.64623765747362</v>
      </c>
      <c r="AS31" s="199">
        <f>AH31*Constants!$D$7</f>
        <v>0.49936355625183587</v>
      </c>
      <c r="AT31" s="199">
        <f>AI31*Constants!$D$8</f>
        <v>2.937432683834329</v>
      </c>
      <c r="AU31" s="199">
        <f>AJ31*Constants!$D$10</f>
        <v>2.0867768595041323</v>
      </c>
      <c r="AV31" s="199">
        <f>Z31*Constants!$E$12</f>
        <v>0</v>
      </c>
      <c r="AW31" s="199">
        <f>AA31*Constants!$E$11</f>
        <v>8.3633406899756083E-2</v>
      </c>
      <c r="AX31" s="199">
        <f>AB31*Constants!$E$13</f>
        <v>0</v>
      </c>
      <c r="AY31" s="199">
        <f>AC31*Constants!$E$18</f>
        <v>0</v>
      </c>
      <c r="AZ31" s="199">
        <f>AD31*Constants!$E$3</f>
        <v>917.66194837635317</v>
      </c>
      <c r="BA31" s="199">
        <f>AE31*Constants!$E$4</f>
        <v>17.084233261339094</v>
      </c>
      <c r="BB31" s="199">
        <f>AF31*Constants!$E$5</f>
        <v>1.8613097264782659</v>
      </c>
      <c r="BC31" s="199">
        <f>AG31*Constants!$E$6</f>
        <v>1233.231188287368</v>
      </c>
      <c r="BD31" s="199">
        <f>AH31*Constants!$E$7</f>
        <v>2.5966904925095466</v>
      </c>
      <c r="BE31" s="199">
        <f>AI31*Constants!$E$8</f>
        <v>15.274649955938511</v>
      </c>
      <c r="BF31" s="199">
        <f>AJ31*Constants!$E$10</f>
        <v>11.129476584022038</v>
      </c>
    </row>
    <row r="32" spans="1:58">
      <c r="A32" s="199">
        <f>'Influent Concentration'!A32</f>
        <v>56.75</v>
      </c>
      <c r="B32" s="201">
        <v>10</v>
      </c>
      <c r="C32" s="201" t="s">
        <v>202</v>
      </c>
      <c r="D32" s="201">
        <v>0.03</v>
      </c>
      <c r="E32" s="201" t="s">
        <v>202</v>
      </c>
      <c r="F32" s="201" t="s">
        <v>202</v>
      </c>
      <c r="G32" s="201">
        <v>20</v>
      </c>
      <c r="H32" s="201">
        <v>347.15</v>
      </c>
      <c r="I32" s="201">
        <v>4.0999999999999996</v>
      </c>
      <c r="J32" s="201">
        <v>0.49</v>
      </c>
      <c r="K32" s="201">
        <v>274.68</v>
      </c>
      <c r="L32" s="201">
        <v>0.75</v>
      </c>
      <c r="M32" s="200">
        <v>3.21</v>
      </c>
      <c r="N32" s="201">
        <v>2.54</v>
      </c>
      <c r="O32" s="200">
        <f t="shared" si="0"/>
        <v>0</v>
      </c>
      <c r="P32" s="200">
        <f t="shared" si="1"/>
        <v>0.3</v>
      </c>
      <c r="Q32" s="200">
        <f t="shared" si="2"/>
        <v>0</v>
      </c>
      <c r="R32" s="200">
        <f t="shared" si="3"/>
        <v>0</v>
      </c>
      <c r="S32" s="200">
        <f t="shared" si="10"/>
        <v>6943</v>
      </c>
      <c r="T32" s="200">
        <f t="shared" si="4"/>
        <v>82</v>
      </c>
      <c r="U32" s="200">
        <f t="shared" si="5"/>
        <v>9.8000000000000007</v>
      </c>
      <c r="V32" s="200">
        <f t="shared" si="6"/>
        <v>5493.6</v>
      </c>
      <c r="W32" s="200">
        <f t="shared" si="7"/>
        <v>15</v>
      </c>
      <c r="X32" s="200">
        <f t="shared" si="8"/>
        <v>64.2</v>
      </c>
      <c r="Y32" s="200">
        <f t="shared" si="9"/>
        <v>50.8</v>
      </c>
      <c r="Z32" s="216">
        <f>O32/Constants!$C$12</f>
        <v>0</v>
      </c>
      <c r="AA32" s="216">
        <f>P32/Constants!$C$11</f>
        <v>3.4847252874898359E-3</v>
      </c>
      <c r="AB32" s="216">
        <f>Q32/Constants!$C$13</f>
        <v>0</v>
      </c>
      <c r="AC32" s="216">
        <f>R32/Constants!$C$18</f>
        <v>0</v>
      </c>
      <c r="AD32" s="216">
        <f>S32/Constants!$C$3</f>
        <v>115.6203164029975</v>
      </c>
      <c r="AE32" s="216">
        <f>T32/Constants!$C$4</f>
        <v>1.1069114470842334</v>
      </c>
      <c r="AF32" s="216">
        <f>U32/Constants!$C$5</f>
        <v>0.11122460560662809</v>
      </c>
      <c r="AG32" s="216">
        <f>V32/Constants!$C$6</f>
        <v>62.349336057201228</v>
      </c>
      <c r="AH32" s="216">
        <f>W32/Constants!$C$7</f>
        <v>0.14687163419171645</v>
      </c>
      <c r="AI32" s="216">
        <f>X32/Constants!$C$8</f>
        <v>0.62861059434054645</v>
      </c>
      <c r="AJ32" s="216">
        <f>Y32/Constants!$C$10</f>
        <v>0.43732782369146006</v>
      </c>
      <c r="AK32" s="199">
        <f>Z32*Constants!$D$12</f>
        <v>0</v>
      </c>
      <c r="AL32" s="199">
        <f>AA32*Constants!$D$11</f>
        <v>1.3938901149959344E-2</v>
      </c>
      <c r="AM32" s="199">
        <f>AB32*Constants!$D$13</f>
        <v>0</v>
      </c>
      <c r="AN32" s="199">
        <f>AC32*Constants!$D$18</f>
        <v>0</v>
      </c>
      <c r="AO32" s="199">
        <f>AD32*Constants!$D$3</f>
        <v>231.24063280599501</v>
      </c>
      <c r="AP32" s="199">
        <f>AE32*Constants!$D$4</f>
        <v>3.3207343412527002</v>
      </c>
      <c r="AQ32" s="199">
        <f>AF32*Constants!$D$5</f>
        <v>0.44489842242651234</v>
      </c>
      <c r="AR32" s="199">
        <f>AG32*Constants!$D$6</f>
        <v>249.39734422880491</v>
      </c>
      <c r="AS32" s="199">
        <f>AH32*Constants!$D$7</f>
        <v>0.73435817095858225</v>
      </c>
      <c r="AT32" s="199">
        <f>AI32*Constants!$D$8</f>
        <v>3.1430529717027325</v>
      </c>
      <c r="AU32" s="199">
        <f>AJ32*Constants!$D$10</f>
        <v>2.6239669421487601</v>
      </c>
      <c r="AV32" s="199">
        <f>Z32*Constants!$E$12</f>
        <v>0</v>
      </c>
      <c r="AW32" s="199">
        <f>AA32*Constants!$E$11</f>
        <v>6.2725055174817052E-2</v>
      </c>
      <c r="AX32" s="199">
        <f>AB32*Constants!$E$13</f>
        <v>0</v>
      </c>
      <c r="AY32" s="199">
        <f>AC32*Constants!$E$18</f>
        <v>0</v>
      </c>
      <c r="AZ32" s="199">
        <f>AD32*Constants!$E$3</f>
        <v>924.96253122398002</v>
      </c>
      <c r="BA32" s="199">
        <f>AE32*Constants!$E$4</f>
        <v>15.496760259179268</v>
      </c>
      <c r="BB32" s="199">
        <f>AF32*Constants!$E$5</f>
        <v>2.2244921121325616</v>
      </c>
      <c r="BC32" s="199">
        <f>AG32*Constants!$E$6</f>
        <v>1246.9867211440246</v>
      </c>
      <c r="BD32" s="199">
        <f>AH32*Constants!$E$7</f>
        <v>3.8186624889846277</v>
      </c>
      <c r="BE32" s="199">
        <f>AI32*Constants!$E$8</f>
        <v>16.343875452854206</v>
      </c>
      <c r="BF32" s="199">
        <f>AJ32*Constants!$E$10</f>
        <v>13.994490358126722</v>
      </c>
    </row>
    <row r="33" spans="1:58">
      <c r="A33" s="199">
        <f>'Influent Concentration'!A33</f>
        <v>59.74722222222772</v>
      </c>
      <c r="B33" s="201">
        <v>10</v>
      </c>
      <c r="C33" s="201" t="s">
        <v>202</v>
      </c>
      <c r="D33" s="201">
        <v>0.03</v>
      </c>
      <c r="E33" s="201" t="s">
        <v>202</v>
      </c>
      <c r="F33" s="201" t="s">
        <v>202</v>
      </c>
      <c r="G33" s="201">
        <v>20</v>
      </c>
      <c r="H33" s="201">
        <v>358.21</v>
      </c>
      <c r="I33" s="201">
        <v>4.8600000000000003</v>
      </c>
      <c r="J33" s="201">
        <v>0.65</v>
      </c>
      <c r="K33" s="201">
        <v>275.19</v>
      </c>
      <c r="L33" s="201">
        <v>0.94</v>
      </c>
      <c r="M33" s="200">
        <v>3.11</v>
      </c>
      <c r="N33" s="201">
        <v>3.7</v>
      </c>
      <c r="O33" s="200">
        <f t="shared" si="0"/>
        <v>0</v>
      </c>
      <c r="P33" s="200">
        <f t="shared" si="1"/>
        <v>0.3</v>
      </c>
      <c r="Q33" s="200">
        <f t="shared" si="2"/>
        <v>0</v>
      </c>
      <c r="R33" s="200">
        <f t="shared" si="3"/>
        <v>0</v>
      </c>
      <c r="S33" s="200">
        <f t="shared" si="10"/>
        <v>7164.2</v>
      </c>
      <c r="T33" s="200">
        <f t="shared" si="4"/>
        <v>97.2</v>
      </c>
      <c r="U33" s="200">
        <f t="shared" si="5"/>
        <v>13</v>
      </c>
      <c r="V33" s="200">
        <f t="shared" si="6"/>
        <v>5503.8</v>
      </c>
      <c r="W33" s="200">
        <f t="shared" si="7"/>
        <v>18.799999999999997</v>
      </c>
      <c r="X33" s="200">
        <f t="shared" si="8"/>
        <v>62.199999999999996</v>
      </c>
      <c r="Y33" s="200">
        <f t="shared" si="9"/>
        <v>74</v>
      </c>
      <c r="Z33" s="216">
        <f>O33/Constants!$C$12</f>
        <v>0</v>
      </c>
      <c r="AA33" s="216">
        <f>P33/Constants!$C$11</f>
        <v>3.4847252874898359E-3</v>
      </c>
      <c r="AB33" s="216">
        <f>Q33/Constants!$C$13</f>
        <v>0</v>
      </c>
      <c r="AC33" s="216">
        <f>R33/Constants!$C$18</f>
        <v>0</v>
      </c>
      <c r="AD33" s="216">
        <f>S33/Constants!$C$3</f>
        <v>119.30391340549542</v>
      </c>
      <c r="AE33" s="216">
        <f>T33/Constants!$C$4</f>
        <v>1.3120950323974083</v>
      </c>
      <c r="AF33" s="216">
        <f>U33/Constants!$C$5</f>
        <v>0.14754284417205765</v>
      </c>
      <c r="AG33" s="216">
        <f>V33/Constants!$C$6</f>
        <v>62.465100442628533</v>
      </c>
      <c r="AH33" s="216">
        <f>W33/Constants!$C$7</f>
        <v>0.18407911485361791</v>
      </c>
      <c r="AI33" s="216">
        <f>X33/Constants!$C$8</f>
        <v>0.60902770978165077</v>
      </c>
      <c r="AJ33" s="216">
        <f>Y33/Constants!$C$10</f>
        <v>0.63705234159779611</v>
      </c>
      <c r="AK33" s="199">
        <f>Z33*Constants!$D$12</f>
        <v>0</v>
      </c>
      <c r="AL33" s="199">
        <f>AA33*Constants!$D$11</f>
        <v>1.3938901149959344E-2</v>
      </c>
      <c r="AM33" s="199">
        <f>AB33*Constants!$D$13</f>
        <v>0</v>
      </c>
      <c r="AN33" s="199">
        <f>AC33*Constants!$D$18</f>
        <v>0</v>
      </c>
      <c r="AO33" s="199">
        <f>AD33*Constants!$D$3</f>
        <v>238.60782681099084</v>
      </c>
      <c r="AP33" s="199">
        <f>AE33*Constants!$D$4</f>
        <v>3.9362850971922247</v>
      </c>
      <c r="AQ33" s="199">
        <f>AF33*Constants!$D$5</f>
        <v>0.59017137668823061</v>
      </c>
      <c r="AR33" s="199">
        <f>AG33*Constants!$D$6</f>
        <v>249.86040177051413</v>
      </c>
      <c r="AS33" s="199">
        <f>AH33*Constants!$D$7</f>
        <v>0.9203955742680896</v>
      </c>
      <c r="AT33" s="199">
        <f>AI33*Constants!$D$8</f>
        <v>3.0451385489082536</v>
      </c>
      <c r="AU33" s="199">
        <f>AJ33*Constants!$D$10</f>
        <v>3.8223140495867769</v>
      </c>
      <c r="AV33" s="199">
        <f>Z33*Constants!$E$12</f>
        <v>0</v>
      </c>
      <c r="AW33" s="199">
        <f>AA33*Constants!$E$11</f>
        <v>6.2725055174817052E-2</v>
      </c>
      <c r="AX33" s="199">
        <f>AB33*Constants!$E$13</f>
        <v>0</v>
      </c>
      <c r="AY33" s="199">
        <f>AC33*Constants!$E$18</f>
        <v>0</v>
      </c>
      <c r="AZ33" s="199">
        <f>AD33*Constants!$E$3</f>
        <v>954.43130724396337</v>
      </c>
      <c r="BA33" s="199">
        <f>AE33*Constants!$E$4</f>
        <v>18.369330453563716</v>
      </c>
      <c r="BB33" s="199">
        <f>AF33*Constants!$E$5</f>
        <v>2.950856883441153</v>
      </c>
      <c r="BC33" s="199">
        <f>AG33*Constants!$E$6</f>
        <v>1249.3020088525707</v>
      </c>
      <c r="BD33" s="199">
        <f>AH33*Constants!$E$7</f>
        <v>4.7860569861940654</v>
      </c>
      <c r="BE33" s="199">
        <f>AI33*Constants!$E$8</f>
        <v>15.83472045432292</v>
      </c>
      <c r="BF33" s="199">
        <f>AJ33*Constants!$E$10</f>
        <v>20.385674931129476</v>
      </c>
    </row>
    <row r="34" spans="1:58">
      <c r="A34" s="199">
        <f>'Influent Concentration'!A34</f>
        <v>61.711111111115315</v>
      </c>
      <c r="B34" s="201">
        <v>10</v>
      </c>
      <c r="C34" s="201" t="s">
        <v>202</v>
      </c>
      <c r="D34" s="201">
        <v>0.04</v>
      </c>
      <c r="E34" s="201" t="s">
        <v>202</v>
      </c>
      <c r="F34" s="201" t="s">
        <v>202</v>
      </c>
      <c r="G34" s="201">
        <v>20</v>
      </c>
      <c r="H34" s="201">
        <v>371.05</v>
      </c>
      <c r="I34" s="201">
        <v>4.58</v>
      </c>
      <c r="J34" s="201">
        <v>0.47</v>
      </c>
      <c r="K34" s="201">
        <v>286.91000000000003</v>
      </c>
      <c r="L34" s="201">
        <v>0.65</v>
      </c>
      <c r="M34" s="200">
        <v>3.37</v>
      </c>
      <c r="N34" s="201">
        <v>4.3</v>
      </c>
      <c r="O34" s="200">
        <f t="shared" si="0"/>
        <v>0</v>
      </c>
      <c r="P34" s="200">
        <f t="shared" si="1"/>
        <v>0.4</v>
      </c>
      <c r="Q34" s="200">
        <f t="shared" si="2"/>
        <v>0</v>
      </c>
      <c r="R34" s="200">
        <f t="shared" si="3"/>
        <v>0</v>
      </c>
      <c r="S34" s="200">
        <f t="shared" si="10"/>
        <v>7421</v>
      </c>
      <c r="T34" s="200">
        <f t="shared" si="4"/>
        <v>91.6</v>
      </c>
      <c r="U34" s="200">
        <f t="shared" si="5"/>
        <v>9.3999999999999986</v>
      </c>
      <c r="V34" s="200">
        <f t="shared" si="6"/>
        <v>5738.2000000000007</v>
      </c>
      <c r="W34" s="200">
        <f t="shared" si="7"/>
        <v>13</v>
      </c>
      <c r="X34" s="200">
        <f t="shared" si="8"/>
        <v>67.400000000000006</v>
      </c>
      <c r="Y34" s="200">
        <f t="shared" si="9"/>
        <v>86</v>
      </c>
      <c r="Z34" s="216">
        <f>O34/Constants!$C$12</f>
        <v>0</v>
      </c>
      <c r="AA34" s="216">
        <f>P34/Constants!$C$11</f>
        <v>4.6463003833197821E-3</v>
      </c>
      <c r="AB34" s="216">
        <f>Q34/Constants!$C$13</f>
        <v>0</v>
      </c>
      <c r="AC34" s="216">
        <f>R34/Constants!$C$18</f>
        <v>0</v>
      </c>
      <c r="AD34" s="216">
        <f>S34/Constants!$C$3</f>
        <v>123.58034970857619</v>
      </c>
      <c r="AE34" s="216">
        <f>T34/Constants!$C$4</f>
        <v>1.2365010799136069</v>
      </c>
      <c r="AF34" s="216">
        <f>U34/Constants!$C$5</f>
        <v>0.10668482578594937</v>
      </c>
      <c r="AG34" s="216">
        <f>V34/Constants!$C$6</f>
        <v>65.12541141754626</v>
      </c>
      <c r="AH34" s="216">
        <f>W34/Constants!$C$7</f>
        <v>0.12728874963282091</v>
      </c>
      <c r="AI34" s="216">
        <f>X34/Constants!$C$8</f>
        <v>0.65994320963477926</v>
      </c>
      <c r="AJ34" s="216">
        <f>Y34/Constants!$C$10</f>
        <v>0.74035812672176315</v>
      </c>
      <c r="AK34" s="199">
        <f>Z34*Constants!$D$12</f>
        <v>0</v>
      </c>
      <c r="AL34" s="199">
        <f>AA34*Constants!$D$11</f>
        <v>1.8585201533279128E-2</v>
      </c>
      <c r="AM34" s="199">
        <f>AB34*Constants!$D$13</f>
        <v>0</v>
      </c>
      <c r="AN34" s="199">
        <f>AC34*Constants!$D$18</f>
        <v>0</v>
      </c>
      <c r="AO34" s="199">
        <f>AD34*Constants!$D$3</f>
        <v>247.16069941715239</v>
      </c>
      <c r="AP34" s="199">
        <f>AE34*Constants!$D$4</f>
        <v>3.7095032397408207</v>
      </c>
      <c r="AQ34" s="199">
        <f>AF34*Constants!$D$5</f>
        <v>0.42673930314379749</v>
      </c>
      <c r="AR34" s="199">
        <f>AG34*Constants!$D$6</f>
        <v>260.50164567018504</v>
      </c>
      <c r="AS34" s="199">
        <f>AH34*Constants!$D$7</f>
        <v>0.63644374816410454</v>
      </c>
      <c r="AT34" s="199">
        <f>AI34*Constants!$D$8</f>
        <v>3.2997160481738961</v>
      </c>
      <c r="AU34" s="199">
        <f>AJ34*Constants!$D$10</f>
        <v>4.4421487603305785</v>
      </c>
      <c r="AV34" s="199">
        <f>Z34*Constants!$E$12</f>
        <v>0</v>
      </c>
      <c r="AW34" s="199">
        <f>AA34*Constants!$E$11</f>
        <v>8.3633406899756083E-2</v>
      </c>
      <c r="AX34" s="199">
        <f>AB34*Constants!$E$13</f>
        <v>0</v>
      </c>
      <c r="AY34" s="199">
        <f>AC34*Constants!$E$18</f>
        <v>0</v>
      </c>
      <c r="AZ34" s="199">
        <f>AD34*Constants!$E$3</f>
        <v>988.64279766860955</v>
      </c>
      <c r="BA34" s="199">
        <f>AE34*Constants!$E$4</f>
        <v>17.311015118790497</v>
      </c>
      <c r="BB34" s="199">
        <f>AF34*Constants!$E$5</f>
        <v>2.1336965157189876</v>
      </c>
      <c r="BC34" s="199">
        <f>AG34*Constants!$E$6</f>
        <v>1302.5082283509253</v>
      </c>
      <c r="BD34" s="199">
        <f>AH34*Constants!$E$7</f>
        <v>3.3095074904533437</v>
      </c>
      <c r="BE34" s="199">
        <f>AI34*Constants!$E$8</f>
        <v>17.158523450504262</v>
      </c>
      <c r="BF34" s="199">
        <f>AJ34*Constants!$E$10</f>
        <v>23.691460055096421</v>
      </c>
    </row>
    <row r="35" spans="1:58">
      <c r="A35" s="199">
        <f>'Influent Concentration'!A35</f>
        <v>63.732638888890506</v>
      </c>
      <c r="B35" s="201">
        <v>10</v>
      </c>
      <c r="C35" s="201" t="s">
        <v>202</v>
      </c>
      <c r="D35" s="201">
        <v>0.03</v>
      </c>
      <c r="E35" s="201">
        <v>0.59</v>
      </c>
      <c r="F35" s="201" t="s">
        <v>202</v>
      </c>
      <c r="G35" s="201">
        <v>20</v>
      </c>
      <c r="H35" s="201">
        <v>352.26</v>
      </c>
      <c r="I35" s="201">
        <v>4.1900000000000004</v>
      </c>
      <c r="J35" s="201">
        <v>0.57999999999999996</v>
      </c>
      <c r="K35" s="201">
        <v>269.23</v>
      </c>
      <c r="L35" s="201">
        <v>0.71</v>
      </c>
      <c r="M35" s="200">
        <v>3.08</v>
      </c>
      <c r="N35" s="201">
        <v>4.62</v>
      </c>
      <c r="O35" s="200">
        <f t="shared" si="0"/>
        <v>0</v>
      </c>
      <c r="P35" s="200">
        <f t="shared" si="1"/>
        <v>0.3</v>
      </c>
      <c r="Q35" s="200">
        <f t="shared" si="2"/>
        <v>5.8999999999999995</v>
      </c>
      <c r="R35" s="200">
        <f t="shared" si="3"/>
        <v>0</v>
      </c>
      <c r="S35" s="200">
        <f t="shared" si="10"/>
        <v>7045.2</v>
      </c>
      <c r="T35" s="200">
        <f t="shared" si="4"/>
        <v>83.800000000000011</v>
      </c>
      <c r="U35" s="200">
        <f t="shared" si="5"/>
        <v>11.6</v>
      </c>
      <c r="V35" s="200">
        <f t="shared" si="6"/>
        <v>5384.6</v>
      </c>
      <c r="W35" s="200">
        <f t="shared" si="7"/>
        <v>14.2</v>
      </c>
      <c r="X35" s="200">
        <f t="shared" si="8"/>
        <v>61.6</v>
      </c>
      <c r="Y35" s="200">
        <f t="shared" si="9"/>
        <v>92.4</v>
      </c>
      <c r="Z35" s="216">
        <f>O35/Constants!$C$12</f>
        <v>0</v>
      </c>
      <c r="AA35" s="216">
        <f>P35/Constants!$C$11</f>
        <v>3.4847252874898359E-3</v>
      </c>
      <c r="AB35" s="216">
        <f>Q35/Constants!$C$13</f>
        <v>6.5497335701598575E-2</v>
      </c>
      <c r="AC35" s="216">
        <f>R35/Constants!$C$18</f>
        <v>0</v>
      </c>
      <c r="AD35" s="216">
        <f>S35/Constants!$C$3</f>
        <v>117.32223147377186</v>
      </c>
      <c r="AE35" s="216">
        <f>T35/Constants!$C$4</f>
        <v>1.1312095032397409</v>
      </c>
      <c r="AF35" s="216">
        <f>U35/Constants!$C$5</f>
        <v>0.13165361479968221</v>
      </c>
      <c r="AG35" s="216">
        <f>V35/Constants!$C$6</f>
        <v>61.112246056066283</v>
      </c>
      <c r="AH35" s="216">
        <f>W35/Constants!$C$7</f>
        <v>0.13903848036815822</v>
      </c>
      <c r="AI35" s="216">
        <f>X35/Constants!$C$8</f>
        <v>0.6031528444139822</v>
      </c>
      <c r="AJ35" s="216">
        <f>Y35/Constants!$C$10</f>
        <v>0.79545454545454553</v>
      </c>
      <c r="AK35" s="199">
        <f>Z35*Constants!$D$12</f>
        <v>0</v>
      </c>
      <c r="AL35" s="199">
        <f>AA35*Constants!$D$11</f>
        <v>1.3938901149959344E-2</v>
      </c>
      <c r="AM35" s="199">
        <f>AB35*Constants!$D$13</f>
        <v>0.19649200710479572</v>
      </c>
      <c r="AN35" s="199">
        <f>AC35*Constants!$D$18</f>
        <v>0</v>
      </c>
      <c r="AO35" s="199">
        <f>AD35*Constants!$D$3</f>
        <v>234.64446294754373</v>
      </c>
      <c r="AP35" s="199">
        <f>AE35*Constants!$D$4</f>
        <v>3.3936285097192229</v>
      </c>
      <c r="AQ35" s="199">
        <f>AF35*Constants!$D$5</f>
        <v>0.52661445919872885</v>
      </c>
      <c r="AR35" s="199">
        <f>AG35*Constants!$D$6</f>
        <v>244.44898422426513</v>
      </c>
      <c r="AS35" s="199">
        <f>AH35*Constants!$D$7</f>
        <v>0.69519240184079112</v>
      </c>
      <c r="AT35" s="199">
        <f>AI35*Constants!$D$8</f>
        <v>3.0157642220699108</v>
      </c>
      <c r="AU35" s="199">
        <f>AJ35*Constants!$D$10</f>
        <v>4.7727272727272734</v>
      </c>
      <c r="AV35" s="199">
        <f>Z35*Constants!$E$12</f>
        <v>0</v>
      </c>
      <c r="AW35" s="199">
        <f>AA35*Constants!$E$11</f>
        <v>6.2725055174817052E-2</v>
      </c>
      <c r="AX35" s="199">
        <f>AB35*Constants!$E$13</f>
        <v>0.7859680284191829</v>
      </c>
      <c r="AY35" s="199">
        <f>AC35*Constants!$E$18</f>
        <v>0</v>
      </c>
      <c r="AZ35" s="199">
        <f>AD35*Constants!$E$3</f>
        <v>938.57785179017492</v>
      </c>
      <c r="BA35" s="199">
        <f>AE35*Constants!$E$4</f>
        <v>15.836933045356373</v>
      </c>
      <c r="BB35" s="199">
        <f>AF35*Constants!$E$5</f>
        <v>2.6330722959936441</v>
      </c>
      <c r="BC35" s="199">
        <f>AG35*Constants!$E$6</f>
        <v>1222.2449211213257</v>
      </c>
      <c r="BD35" s="199">
        <f>AH35*Constants!$E$7</f>
        <v>3.6150004895721137</v>
      </c>
      <c r="BE35" s="199">
        <f>AI35*Constants!$E$8</f>
        <v>15.681973954763537</v>
      </c>
      <c r="BF35" s="199">
        <f>AJ35*Constants!$E$10</f>
        <v>25.454545454545457</v>
      </c>
    </row>
    <row r="36" spans="1:58">
      <c r="A36" s="199">
        <f>'Influent Concentration'!A36</f>
        <v>66.740972222221899</v>
      </c>
      <c r="B36" s="201">
        <v>10</v>
      </c>
      <c r="C36" s="201" t="s">
        <v>202</v>
      </c>
      <c r="D36" s="201">
        <v>0.03</v>
      </c>
      <c r="E36" s="201">
        <v>0.53</v>
      </c>
      <c r="F36" s="201" t="s">
        <v>202</v>
      </c>
      <c r="G36" s="201">
        <v>20</v>
      </c>
      <c r="H36" s="201">
        <v>361</v>
      </c>
      <c r="I36" s="201">
        <v>3.93</v>
      </c>
      <c r="J36" s="201">
        <v>0.51</v>
      </c>
      <c r="K36" s="201">
        <v>277.38</v>
      </c>
      <c r="L36" s="201">
        <v>0.81</v>
      </c>
      <c r="M36" s="200">
        <v>3.29</v>
      </c>
      <c r="N36" s="201">
        <v>5.28</v>
      </c>
      <c r="O36" s="200">
        <f t="shared" si="0"/>
        <v>0</v>
      </c>
      <c r="P36" s="200">
        <f t="shared" si="1"/>
        <v>0.3</v>
      </c>
      <c r="Q36" s="200">
        <f t="shared" si="2"/>
        <v>5.3000000000000007</v>
      </c>
      <c r="R36" s="200">
        <f t="shared" si="3"/>
        <v>0</v>
      </c>
      <c r="S36" s="200">
        <f t="shared" si="10"/>
        <v>7220</v>
      </c>
      <c r="T36" s="200">
        <f t="shared" si="4"/>
        <v>78.600000000000009</v>
      </c>
      <c r="U36" s="200">
        <f t="shared" si="5"/>
        <v>10.199999999999999</v>
      </c>
      <c r="V36" s="200">
        <f t="shared" si="6"/>
        <v>5547.6</v>
      </c>
      <c r="W36" s="200">
        <f t="shared" si="7"/>
        <v>16.200000000000003</v>
      </c>
      <c r="X36" s="200">
        <f t="shared" si="8"/>
        <v>65.8</v>
      </c>
      <c r="Y36" s="200">
        <f t="shared" si="9"/>
        <v>105.60000000000001</v>
      </c>
      <c r="Z36" s="216">
        <f>O36/Constants!$C$12</f>
        <v>0</v>
      </c>
      <c r="AA36" s="216">
        <f>P36/Constants!$C$11</f>
        <v>3.4847252874898359E-3</v>
      </c>
      <c r="AB36" s="216">
        <f>Q36/Constants!$C$13</f>
        <v>5.8836589698046192E-2</v>
      </c>
      <c r="AC36" s="216">
        <f>R36/Constants!$C$18</f>
        <v>0</v>
      </c>
      <c r="AD36" s="216">
        <f>S36/Constants!$C$3</f>
        <v>120.23313905079101</v>
      </c>
      <c r="AE36" s="216">
        <f>T36/Constants!$C$4</f>
        <v>1.0610151187904968</v>
      </c>
      <c r="AF36" s="216">
        <f>U36/Constants!$C$5</f>
        <v>0.11576438542730677</v>
      </c>
      <c r="AG36" s="216">
        <f>V36/Constants!$C$6</f>
        <v>62.962206332992857</v>
      </c>
      <c r="AH36" s="216">
        <f>W36/Constants!$C$7</f>
        <v>0.15862136492705378</v>
      </c>
      <c r="AI36" s="216">
        <f>X36/Constants!$C$8</f>
        <v>0.64427690198766274</v>
      </c>
      <c r="AJ36" s="216">
        <f>Y36/Constants!$C$10</f>
        <v>0.90909090909090917</v>
      </c>
      <c r="AK36" s="199">
        <f>Z36*Constants!$D$12</f>
        <v>0</v>
      </c>
      <c r="AL36" s="199">
        <f>AA36*Constants!$D$11</f>
        <v>1.3938901149959344E-2</v>
      </c>
      <c r="AM36" s="199">
        <f>AB36*Constants!$D$13</f>
        <v>0.17650976909413857</v>
      </c>
      <c r="AN36" s="199">
        <f>AC36*Constants!$D$18</f>
        <v>0</v>
      </c>
      <c r="AO36" s="199">
        <f>AD36*Constants!$D$3</f>
        <v>240.46627810158202</v>
      </c>
      <c r="AP36" s="199">
        <f>AE36*Constants!$D$4</f>
        <v>3.1830453563714904</v>
      </c>
      <c r="AQ36" s="199">
        <f>AF36*Constants!$D$5</f>
        <v>0.46305754170922708</v>
      </c>
      <c r="AR36" s="199">
        <f>AG36*Constants!$D$6</f>
        <v>251.84882533197143</v>
      </c>
      <c r="AS36" s="199">
        <f>AH36*Constants!$D$7</f>
        <v>0.79310682463526894</v>
      </c>
      <c r="AT36" s="199">
        <f>AI36*Constants!$D$8</f>
        <v>3.2213845099383138</v>
      </c>
      <c r="AU36" s="199">
        <f>AJ36*Constants!$D$10</f>
        <v>5.454545454545455</v>
      </c>
      <c r="AV36" s="199">
        <f>Z36*Constants!$E$12</f>
        <v>0</v>
      </c>
      <c r="AW36" s="199">
        <f>AA36*Constants!$E$11</f>
        <v>6.2725055174817052E-2</v>
      </c>
      <c r="AX36" s="199">
        <f>AB36*Constants!$E$13</f>
        <v>0.70603907637655428</v>
      </c>
      <c r="AY36" s="199">
        <f>AC36*Constants!$E$18</f>
        <v>0</v>
      </c>
      <c r="AZ36" s="199">
        <f>AD36*Constants!$E$3</f>
        <v>961.86511240632808</v>
      </c>
      <c r="BA36" s="199">
        <f>AE36*Constants!$E$4</f>
        <v>14.854211663066955</v>
      </c>
      <c r="BB36" s="199">
        <f>AF36*Constants!$E$5</f>
        <v>2.3152877085461352</v>
      </c>
      <c r="BC36" s="199">
        <f>AG36*Constants!$E$6</f>
        <v>1259.2441266598571</v>
      </c>
      <c r="BD36" s="199">
        <f>AH36*Constants!$E$7</f>
        <v>4.1241554881033986</v>
      </c>
      <c r="BE36" s="199">
        <f>AI36*Constants!$E$8</f>
        <v>16.751199451679231</v>
      </c>
      <c r="BF36" s="199">
        <f>AJ36*Constants!$E$10</f>
        <v>29.090909090909093</v>
      </c>
    </row>
    <row r="37" spans="1:58">
      <c r="A37" s="199">
        <f>'Influent Concentration'!A37</f>
        <v>68.715277777781012</v>
      </c>
      <c r="B37" s="201">
        <v>10</v>
      </c>
      <c r="C37" s="201" t="s">
        <v>202</v>
      </c>
      <c r="D37" s="201">
        <v>0.04</v>
      </c>
      <c r="E37" s="201" t="s">
        <v>202</v>
      </c>
      <c r="F37" s="201" t="s">
        <v>202</v>
      </c>
      <c r="G37" s="201">
        <v>20</v>
      </c>
      <c r="H37" s="201">
        <v>352.11</v>
      </c>
      <c r="I37" s="201">
        <v>3.39</v>
      </c>
      <c r="J37" s="201">
        <v>0.37</v>
      </c>
      <c r="K37" s="201">
        <v>271.75</v>
      </c>
      <c r="L37" s="201">
        <v>0.51</v>
      </c>
      <c r="M37" s="200">
        <v>3.07</v>
      </c>
      <c r="N37" s="201">
        <v>5.43</v>
      </c>
      <c r="O37" s="200">
        <f t="shared" si="0"/>
        <v>0</v>
      </c>
      <c r="P37" s="200">
        <f t="shared" si="1"/>
        <v>0.4</v>
      </c>
      <c r="Q37" s="200">
        <f t="shared" si="2"/>
        <v>0</v>
      </c>
      <c r="R37" s="200">
        <f t="shared" si="3"/>
        <v>0</v>
      </c>
      <c r="S37" s="200">
        <f t="shared" si="10"/>
        <v>7042.2000000000007</v>
      </c>
      <c r="T37" s="200">
        <f t="shared" si="4"/>
        <v>67.8</v>
      </c>
      <c r="U37" s="200">
        <f t="shared" si="5"/>
        <v>7.4</v>
      </c>
      <c r="V37" s="200">
        <f t="shared" si="6"/>
        <v>5435</v>
      </c>
      <c r="W37" s="200">
        <f t="shared" si="7"/>
        <v>10.199999999999999</v>
      </c>
      <c r="X37" s="200">
        <f t="shared" si="8"/>
        <v>61.4</v>
      </c>
      <c r="Y37" s="200">
        <f t="shared" si="9"/>
        <v>108.6</v>
      </c>
      <c r="Z37" s="216">
        <f>O37/Constants!$C$12</f>
        <v>0</v>
      </c>
      <c r="AA37" s="216">
        <f>P37/Constants!$C$11</f>
        <v>4.6463003833197821E-3</v>
      </c>
      <c r="AB37" s="216">
        <f>Q37/Constants!$C$13</f>
        <v>0</v>
      </c>
      <c r="AC37" s="216">
        <f>R37/Constants!$C$18</f>
        <v>0</v>
      </c>
      <c r="AD37" s="216">
        <f>S37/Constants!$C$3</f>
        <v>117.27227310574523</v>
      </c>
      <c r="AE37" s="216">
        <f>T37/Constants!$C$4</f>
        <v>0.91522678185745143</v>
      </c>
      <c r="AF37" s="216">
        <f>U37/Constants!$C$5</f>
        <v>8.3985926682555903E-2</v>
      </c>
      <c r="AG37" s="216">
        <f>V37/Constants!$C$6</f>
        <v>61.684258313471794</v>
      </c>
      <c r="AH37" s="216">
        <f>W37/Constants!$C$7</f>
        <v>9.9872711250367174E-2</v>
      </c>
      <c r="AI37" s="216">
        <f>X37/Constants!$C$8</f>
        <v>0.60119455595809268</v>
      </c>
      <c r="AJ37" s="216">
        <f>Y37/Constants!$C$10</f>
        <v>0.93491735537190079</v>
      </c>
      <c r="AK37" s="199">
        <f>Z37*Constants!$D$12</f>
        <v>0</v>
      </c>
      <c r="AL37" s="199">
        <f>AA37*Constants!$D$11</f>
        <v>1.8585201533279128E-2</v>
      </c>
      <c r="AM37" s="199">
        <f>AB37*Constants!$D$13</f>
        <v>0</v>
      </c>
      <c r="AN37" s="199">
        <f>AC37*Constants!$D$18</f>
        <v>0</v>
      </c>
      <c r="AO37" s="199">
        <f>AD37*Constants!$D$3</f>
        <v>234.54454621149046</v>
      </c>
      <c r="AP37" s="199">
        <f>AE37*Constants!$D$4</f>
        <v>2.7456803455723544</v>
      </c>
      <c r="AQ37" s="199">
        <f>AF37*Constants!$D$5</f>
        <v>0.33594370673022361</v>
      </c>
      <c r="AR37" s="199">
        <f>AG37*Constants!$D$6</f>
        <v>246.73703325388718</v>
      </c>
      <c r="AS37" s="199">
        <f>AH37*Constants!$D$7</f>
        <v>0.49936355625183587</v>
      </c>
      <c r="AT37" s="199">
        <f>AI37*Constants!$D$8</f>
        <v>3.0059727797904632</v>
      </c>
      <c r="AU37" s="199">
        <f>AJ37*Constants!$D$10</f>
        <v>5.6095041322314048</v>
      </c>
      <c r="AV37" s="199">
        <f>Z37*Constants!$E$12</f>
        <v>0</v>
      </c>
      <c r="AW37" s="199">
        <f>AA37*Constants!$E$11</f>
        <v>8.3633406899756083E-2</v>
      </c>
      <c r="AX37" s="199">
        <f>AB37*Constants!$E$13</f>
        <v>0</v>
      </c>
      <c r="AY37" s="199">
        <f>AC37*Constants!$E$18</f>
        <v>0</v>
      </c>
      <c r="AZ37" s="199">
        <f>AD37*Constants!$E$3</f>
        <v>938.17818484596182</v>
      </c>
      <c r="BA37" s="199">
        <f>AE37*Constants!$E$4</f>
        <v>12.81317494600432</v>
      </c>
      <c r="BB37" s="199">
        <f>AF37*Constants!$E$5</f>
        <v>1.679718533651118</v>
      </c>
      <c r="BC37" s="199">
        <f>AG37*Constants!$E$6</f>
        <v>1233.685166269436</v>
      </c>
      <c r="BD37" s="199">
        <f>AH37*Constants!$E$7</f>
        <v>2.5966904925095466</v>
      </c>
      <c r="BE37" s="199">
        <f>AI37*Constants!$E$8</f>
        <v>15.631058454910409</v>
      </c>
      <c r="BF37" s="199">
        <f>AJ37*Constants!$E$10</f>
        <v>29.917355371900825</v>
      </c>
    </row>
    <row r="38" spans="1:58">
      <c r="A38" s="199">
        <f>'Influent Concentration'!A38</f>
        <v>70.715277777781012</v>
      </c>
      <c r="B38" s="201">
        <v>10</v>
      </c>
      <c r="C38" s="201" t="s">
        <v>202</v>
      </c>
      <c r="D38" s="201">
        <v>0.05</v>
      </c>
      <c r="E38" s="201">
        <v>0.39</v>
      </c>
      <c r="F38" s="201" t="s">
        <v>202</v>
      </c>
      <c r="G38" s="201">
        <v>20</v>
      </c>
      <c r="H38" s="201">
        <v>349.25</v>
      </c>
      <c r="I38" s="201">
        <v>3.46</v>
      </c>
      <c r="J38" s="201">
        <v>0.43</v>
      </c>
      <c r="K38" s="201">
        <v>272.95</v>
      </c>
      <c r="L38" s="201">
        <v>0.57999999999999996</v>
      </c>
      <c r="M38" s="200">
        <v>2.94</v>
      </c>
      <c r="N38" s="201">
        <v>5.72</v>
      </c>
      <c r="O38" s="200">
        <f t="shared" si="0"/>
        <v>0</v>
      </c>
      <c r="P38" s="200">
        <f t="shared" si="1"/>
        <v>0.5</v>
      </c>
      <c r="Q38" s="200">
        <f t="shared" si="2"/>
        <v>3.9000000000000004</v>
      </c>
      <c r="R38" s="200">
        <f t="shared" si="3"/>
        <v>0</v>
      </c>
      <c r="S38" s="200">
        <f t="shared" si="10"/>
        <v>6985</v>
      </c>
      <c r="T38" s="200">
        <f t="shared" si="4"/>
        <v>69.2</v>
      </c>
      <c r="U38" s="200">
        <f t="shared" si="5"/>
        <v>8.6</v>
      </c>
      <c r="V38" s="200">
        <f t="shared" si="6"/>
        <v>5459</v>
      </c>
      <c r="W38" s="200">
        <f t="shared" si="7"/>
        <v>11.6</v>
      </c>
      <c r="X38" s="200">
        <f t="shared" si="8"/>
        <v>58.8</v>
      </c>
      <c r="Y38" s="200">
        <f t="shared" si="9"/>
        <v>114.39999999999999</v>
      </c>
      <c r="Z38" s="216">
        <f>O38/Constants!$C$12</f>
        <v>0</v>
      </c>
      <c r="AA38" s="216">
        <f>P38/Constants!$C$11</f>
        <v>5.8078754791497265E-3</v>
      </c>
      <c r="AB38" s="216">
        <f>Q38/Constants!$C$13</f>
        <v>4.3294849023090588E-2</v>
      </c>
      <c r="AC38" s="216">
        <f>R38/Constants!$C$18</f>
        <v>0</v>
      </c>
      <c r="AD38" s="216">
        <f>S38/Constants!$C$3</f>
        <v>116.31973355537053</v>
      </c>
      <c r="AE38" s="216">
        <f>T38/Constants!$C$4</f>
        <v>0.93412526997840184</v>
      </c>
      <c r="AF38" s="216">
        <f>U38/Constants!$C$5</f>
        <v>9.7605266144591987E-2</v>
      </c>
      <c r="AG38" s="216">
        <f>V38/Constants!$C$6</f>
        <v>61.956645102712521</v>
      </c>
      <c r="AH38" s="216">
        <f>W38/Constants!$C$7</f>
        <v>0.11358073044159404</v>
      </c>
      <c r="AI38" s="216">
        <f>X38/Constants!$C$8</f>
        <v>0.57573680603152844</v>
      </c>
      <c r="AJ38" s="216">
        <f>Y38/Constants!$C$10</f>
        <v>0.98484848484848475</v>
      </c>
      <c r="AK38" s="199">
        <f>Z38*Constants!$D$12</f>
        <v>0</v>
      </c>
      <c r="AL38" s="199">
        <f>AA38*Constants!$D$11</f>
        <v>2.3231501916598906E-2</v>
      </c>
      <c r="AM38" s="199">
        <f>AB38*Constants!$D$13</f>
        <v>0.12988454706927177</v>
      </c>
      <c r="AN38" s="199">
        <f>AC38*Constants!$D$18</f>
        <v>0</v>
      </c>
      <c r="AO38" s="199">
        <f>AD38*Constants!$D$3</f>
        <v>232.63946711074107</v>
      </c>
      <c r="AP38" s="199">
        <f>AE38*Constants!$D$4</f>
        <v>2.8023758099352056</v>
      </c>
      <c r="AQ38" s="199">
        <f>AF38*Constants!$D$5</f>
        <v>0.39042106457836795</v>
      </c>
      <c r="AR38" s="199">
        <f>AG38*Constants!$D$6</f>
        <v>247.82658041085008</v>
      </c>
      <c r="AS38" s="199">
        <f>AH38*Constants!$D$7</f>
        <v>0.56790365220797023</v>
      </c>
      <c r="AT38" s="199">
        <f>AI38*Constants!$D$8</f>
        <v>2.8786840301576424</v>
      </c>
      <c r="AU38" s="199">
        <f>AJ38*Constants!$D$10</f>
        <v>5.9090909090909083</v>
      </c>
      <c r="AV38" s="199">
        <f>Z38*Constants!$E$12</f>
        <v>0</v>
      </c>
      <c r="AW38" s="199">
        <f>AA38*Constants!$E$11</f>
        <v>0.10454175862469507</v>
      </c>
      <c r="AX38" s="199">
        <f>AB38*Constants!$E$13</f>
        <v>0.51953818827708709</v>
      </c>
      <c r="AY38" s="199">
        <f>AC38*Constants!$E$18</f>
        <v>0</v>
      </c>
      <c r="AZ38" s="199">
        <f>AD38*Constants!$E$3</f>
        <v>930.55786844296426</v>
      </c>
      <c r="BA38" s="199">
        <f>AE38*Constants!$E$4</f>
        <v>13.077753779697625</v>
      </c>
      <c r="BB38" s="199">
        <f>AF38*Constants!$E$5</f>
        <v>1.9521053228918397</v>
      </c>
      <c r="BC38" s="199">
        <f>AG38*Constants!$E$6</f>
        <v>1239.1329020542505</v>
      </c>
      <c r="BD38" s="199">
        <f>AH38*Constants!$E$7</f>
        <v>2.9530989914814452</v>
      </c>
      <c r="BE38" s="199">
        <f>AI38*Constants!$E$8</f>
        <v>14.96915695681974</v>
      </c>
      <c r="BF38" s="199">
        <f>AJ38*Constants!$E$10</f>
        <v>31.515151515151512</v>
      </c>
    </row>
    <row r="39" spans="1:58">
      <c r="A39" s="199">
        <f>'Influent Concentration'!A39</f>
        <v>73.722916666665697</v>
      </c>
      <c r="B39" s="201">
        <v>10</v>
      </c>
      <c r="C39" s="201" t="s">
        <v>202</v>
      </c>
      <c r="D39" s="201">
        <v>0.03</v>
      </c>
      <c r="E39" s="201" t="s">
        <v>202</v>
      </c>
      <c r="F39" s="201" t="s">
        <v>202</v>
      </c>
      <c r="G39" s="201">
        <v>20</v>
      </c>
      <c r="H39" s="201">
        <v>356.21</v>
      </c>
      <c r="I39" s="201">
        <v>3.43</v>
      </c>
      <c r="J39" s="201">
        <v>0.4</v>
      </c>
      <c r="K39" s="201">
        <v>279.18</v>
      </c>
      <c r="L39" s="201">
        <v>0.44</v>
      </c>
      <c r="M39" s="200">
        <v>3.01</v>
      </c>
      <c r="N39" s="201">
        <v>5.99</v>
      </c>
      <c r="O39" s="200">
        <f t="shared" si="0"/>
        <v>0</v>
      </c>
      <c r="P39" s="200">
        <f t="shared" si="1"/>
        <v>0.3</v>
      </c>
      <c r="Q39" s="200">
        <f t="shared" si="2"/>
        <v>0</v>
      </c>
      <c r="R39" s="200">
        <f t="shared" si="3"/>
        <v>0</v>
      </c>
      <c r="S39" s="200">
        <f t="shared" si="10"/>
        <v>7124.2</v>
      </c>
      <c r="T39" s="200">
        <f t="shared" si="4"/>
        <v>68.600000000000009</v>
      </c>
      <c r="U39" s="200">
        <f t="shared" si="5"/>
        <v>8</v>
      </c>
      <c r="V39" s="200">
        <f t="shared" si="6"/>
        <v>5583.6</v>
      </c>
      <c r="W39" s="200">
        <f t="shared" si="7"/>
        <v>8.8000000000000007</v>
      </c>
      <c r="X39" s="200">
        <f t="shared" si="8"/>
        <v>60.199999999999996</v>
      </c>
      <c r="Y39" s="200">
        <f t="shared" si="9"/>
        <v>119.80000000000001</v>
      </c>
      <c r="Z39" s="216">
        <f>O39/Constants!$C$12</f>
        <v>0</v>
      </c>
      <c r="AA39" s="216">
        <f>P39/Constants!$C$11</f>
        <v>3.4847252874898359E-3</v>
      </c>
      <c r="AB39" s="216">
        <f>Q39/Constants!$C$13</f>
        <v>0</v>
      </c>
      <c r="AC39" s="216">
        <f>R39/Constants!$C$18</f>
        <v>0</v>
      </c>
      <c r="AD39" s="216">
        <f>S39/Constants!$C$3</f>
        <v>118.63780183180683</v>
      </c>
      <c r="AE39" s="216">
        <f>T39/Constants!$C$4</f>
        <v>0.92602591792656597</v>
      </c>
      <c r="AF39" s="216">
        <f>U39/Constants!$C$5</f>
        <v>9.0795596413573945E-2</v>
      </c>
      <c r="AG39" s="216">
        <f>V39/Constants!$C$6</f>
        <v>63.37078651685394</v>
      </c>
      <c r="AH39" s="216">
        <f>W39/Constants!$C$7</f>
        <v>8.6164692059140319E-2</v>
      </c>
      <c r="AI39" s="216">
        <f>X39/Constants!$C$8</f>
        <v>0.58944482522275532</v>
      </c>
      <c r="AJ39" s="216">
        <f>Y39/Constants!$C$10</f>
        <v>1.0313360881542701</v>
      </c>
      <c r="AK39" s="199">
        <f>Z39*Constants!$D$12</f>
        <v>0</v>
      </c>
      <c r="AL39" s="199">
        <f>AA39*Constants!$D$11</f>
        <v>1.3938901149959344E-2</v>
      </c>
      <c r="AM39" s="199">
        <f>AB39*Constants!$D$13</f>
        <v>0</v>
      </c>
      <c r="AN39" s="199">
        <f>AC39*Constants!$D$18</f>
        <v>0</v>
      </c>
      <c r="AO39" s="199">
        <f>AD39*Constants!$D$3</f>
        <v>237.27560366361365</v>
      </c>
      <c r="AP39" s="199">
        <f>AE39*Constants!$D$4</f>
        <v>2.7780777537796979</v>
      </c>
      <c r="AQ39" s="199">
        <f>AF39*Constants!$D$5</f>
        <v>0.36318238565429578</v>
      </c>
      <c r="AR39" s="199">
        <f>AG39*Constants!$D$6</f>
        <v>253.48314606741576</v>
      </c>
      <c r="AS39" s="199">
        <f>AH39*Constants!$D$7</f>
        <v>0.43082346029570162</v>
      </c>
      <c r="AT39" s="199">
        <f>AI39*Constants!$D$8</f>
        <v>2.9472241261137766</v>
      </c>
      <c r="AU39" s="199">
        <f>AJ39*Constants!$D$10</f>
        <v>6.1880165289256208</v>
      </c>
      <c r="AV39" s="199">
        <f>Z39*Constants!$E$12</f>
        <v>0</v>
      </c>
      <c r="AW39" s="199">
        <f>AA39*Constants!$E$11</f>
        <v>6.2725055174817052E-2</v>
      </c>
      <c r="AX39" s="199">
        <f>AB39*Constants!$E$13</f>
        <v>0</v>
      </c>
      <c r="AY39" s="199">
        <f>AC39*Constants!$E$18</f>
        <v>0</v>
      </c>
      <c r="AZ39" s="199">
        <f>AD39*Constants!$E$3</f>
        <v>949.10241465445461</v>
      </c>
      <c r="BA39" s="199">
        <f>AE39*Constants!$E$4</f>
        <v>12.964362850971924</v>
      </c>
      <c r="BB39" s="199">
        <f>AF39*Constants!$E$5</f>
        <v>1.8159119282714788</v>
      </c>
      <c r="BC39" s="199">
        <f>AG39*Constants!$E$6</f>
        <v>1267.4157303370789</v>
      </c>
      <c r="BD39" s="199">
        <f>AH39*Constants!$E$7</f>
        <v>2.2402819935376481</v>
      </c>
      <c r="BE39" s="199">
        <f>AI39*Constants!$E$8</f>
        <v>15.325565455791638</v>
      </c>
      <c r="BF39" s="199">
        <f>AJ39*Constants!$E$10</f>
        <v>33.002754820936644</v>
      </c>
    </row>
    <row r="40" spans="1:58">
      <c r="A40" s="199">
        <f>'Influent Concentration'!A40</f>
        <v>75.719444444446708</v>
      </c>
      <c r="B40" s="201">
        <v>10</v>
      </c>
      <c r="C40" s="201" t="s">
        <v>202</v>
      </c>
      <c r="D40" s="201">
        <v>0.01</v>
      </c>
      <c r="E40" s="201" t="s">
        <v>202</v>
      </c>
      <c r="F40" s="201">
        <v>1.05</v>
      </c>
      <c r="G40" s="201">
        <v>20</v>
      </c>
      <c r="H40" s="201">
        <v>351.94</v>
      </c>
      <c r="I40" s="201">
        <v>3.36</v>
      </c>
      <c r="J40" s="201">
        <v>0.27</v>
      </c>
      <c r="K40" s="201">
        <v>277.94</v>
      </c>
      <c r="L40" s="201">
        <v>0.39</v>
      </c>
      <c r="M40" s="200">
        <v>3.23</v>
      </c>
      <c r="N40" s="201">
        <v>5.68</v>
      </c>
      <c r="O40" s="200">
        <f t="shared" si="0"/>
        <v>0</v>
      </c>
      <c r="P40" s="200">
        <f t="shared" si="1"/>
        <v>0.1</v>
      </c>
      <c r="Q40" s="200">
        <f t="shared" si="2"/>
        <v>0</v>
      </c>
      <c r="R40" s="200">
        <f t="shared" si="3"/>
        <v>10.5</v>
      </c>
      <c r="S40" s="200">
        <f t="shared" si="10"/>
        <v>7038.8</v>
      </c>
      <c r="T40" s="200">
        <f t="shared" si="4"/>
        <v>67.2</v>
      </c>
      <c r="U40" s="200">
        <f t="shared" si="5"/>
        <v>5.4</v>
      </c>
      <c r="V40" s="200">
        <f t="shared" si="6"/>
        <v>5558.8</v>
      </c>
      <c r="W40" s="200">
        <f t="shared" si="7"/>
        <v>7.8000000000000007</v>
      </c>
      <c r="X40" s="200">
        <f t="shared" si="8"/>
        <v>64.599999999999994</v>
      </c>
      <c r="Y40" s="200">
        <f t="shared" si="9"/>
        <v>113.6</v>
      </c>
      <c r="Z40" s="216">
        <f>O40/Constants!$C$12</f>
        <v>0</v>
      </c>
      <c r="AA40" s="216">
        <f>P40/Constants!$C$11</f>
        <v>1.1615750958299455E-3</v>
      </c>
      <c r="AB40" s="216">
        <f>Q40/Constants!$C$13</f>
        <v>0</v>
      </c>
      <c r="AC40" s="216">
        <f>R40/Constants!$C$18</f>
        <v>8.8885126555489719E-2</v>
      </c>
      <c r="AD40" s="216">
        <f>S40/Constants!$C$3</f>
        <v>117.21565362198169</v>
      </c>
      <c r="AE40" s="216">
        <f>T40/Constants!$C$4</f>
        <v>0.90712742980561556</v>
      </c>
      <c r="AF40" s="216">
        <f>U40/Constants!$C$5</f>
        <v>6.1287027579162413E-2</v>
      </c>
      <c r="AG40" s="216">
        <f>V40/Constants!$C$6</f>
        <v>63.089320167971856</v>
      </c>
      <c r="AH40" s="216">
        <f>W40/Constants!$C$7</f>
        <v>7.6373249779692565E-2</v>
      </c>
      <c r="AI40" s="216">
        <f>X40/Constants!$C$8</f>
        <v>0.63252717125232549</v>
      </c>
      <c r="AJ40" s="216">
        <f>Y40/Constants!$C$10</f>
        <v>0.97796143250688705</v>
      </c>
      <c r="AK40" s="199">
        <f>Z40*Constants!$D$12</f>
        <v>0</v>
      </c>
      <c r="AL40" s="199">
        <f>AA40*Constants!$D$11</f>
        <v>4.6463003833197821E-3</v>
      </c>
      <c r="AM40" s="199">
        <f>AB40*Constants!$D$13</f>
        <v>0</v>
      </c>
      <c r="AN40" s="199">
        <f>AC40*Constants!$D$18</f>
        <v>0.44442563277744862</v>
      </c>
      <c r="AO40" s="199">
        <f>AD40*Constants!$D$3</f>
        <v>234.43130724396337</v>
      </c>
      <c r="AP40" s="199">
        <f>AE40*Constants!$D$4</f>
        <v>2.7213822894168467</v>
      </c>
      <c r="AQ40" s="199">
        <f>AF40*Constants!$D$5</f>
        <v>0.24514811031664965</v>
      </c>
      <c r="AR40" s="199">
        <f>AG40*Constants!$D$6</f>
        <v>252.35728067188742</v>
      </c>
      <c r="AS40" s="199">
        <f>AH40*Constants!$D$7</f>
        <v>0.38186624889846282</v>
      </c>
      <c r="AT40" s="199">
        <f>AI40*Constants!$D$8</f>
        <v>3.1626358562616277</v>
      </c>
      <c r="AU40" s="199">
        <f>AJ40*Constants!$D$10</f>
        <v>5.8677685950413228</v>
      </c>
      <c r="AV40" s="199">
        <f>Z40*Constants!$E$12</f>
        <v>0</v>
      </c>
      <c r="AW40" s="199">
        <f>AA40*Constants!$E$11</f>
        <v>2.0908351724939021E-2</v>
      </c>
      <c r="AX40" s="199">
        <f>AB40*Constants!$E$13</f>
        <v>0</v>
      </c>
      <c r="AY40" s="199">
        <f>AC40*Constants!$E$18</f>
        <v>2.133243037331753</v>
      </c>
      <c r="AZ40" s="199">
        <f>AD40*Constants!$E$3</f>
        <v>937.7252289758535</v>
      </c>
      <c r="BA40" s="199">
        <f>AE40*Constants!$E$4</f>
        <v>12.699784017278617</v>
      </c>
      <c r="BB40" s="199">
        <f>AF40*Constants!$E$5</f>
        <v>1.2257405515832482</v>
      </c>
      <c r="BC40" s="199">
        <f>AG40*Constants!$E$6</f>
        <v>1261.7864033594371</v>
      </c>
      <c r="BD40" s="199">
        <f>AH40*Constants!$E$7</f>
        <v>1.9857044942720066</v>
      </c>
      <c r="BE40" s="199">
        <f>AI40*Constants!$E$8</f>
        <v>16.445706452560461</v>
      </c>
      <c r="BF40" s="199">
        <f>AJ40*Constants!$E$10</f>
        <v>31.294765840220386</v>
      </c>
    </row>
    <row r="41" spans="1:58">
      <c r="A41" s="199">
        <f>'Influent Concentration'!A41</f>
        <v>77.722222222226264</v>
      </c>
      <c r="B41" s="201">
        <v>10</v>
      </c>
      <c r="C41" s="201" t="s">
        <v>202</v>
      </c>
      <c r="D41" s="201">
        <v>0.02</v>
      </c>
      <c r="E41" s="201" t="s">
        <v>202</v>
      </c>
      <c r="F41" s="201">
        <v>0.9</v>
      </c>
      <c r="G41" s="201">
        <v>20</v>
      </c>
      <c r="H41" s="201">
        <v>372.75</v>
      </c>
      <c r="I41" s="201">
        <v>3.68</v>
      </c>
      <c r="J41" s="201">
        <v>0.56999999999999995</v>
      </c>
      <c r="K41" s="201">
        <v>285.92</v>
      </c>
      <c r="L41" s="201">
        <v>0.72</v>
      </c>
      <c r="M41" s="200">
        <v>3.36</v>
      </c>
      <c r="N41" s="201">
        <v>6.04</v>
      </c>
      <c r="O41" s="200">
        <f t="shared" si="0"/>
        <v>0</v>
      </c>
      <c r="P41" s="200">
        <f t="shared" si="1"/>
        <v>0.2</v>
      </c>
      <c r="Q41" s="200">
        <f t="shared" si="2"/>
        <v>0</v>
      </c>
      <c r="R41" s="200">
        <f t="shared" si="3"/>
        <v>9</v>
      </c>
      <c r="S41" s="200">
        <f t="shared" si="10"/>
        <v>7455</v>
      </c>
      <c r="T41" s="200">
        <f t="shared" si="4"/>
        <v>73.600000000000009</v>
      </c>
      <c r="U41" s="200">
        <f t="shared" si="5"/>
        <v>11.399999999999999</v>
      </c>
      <c r="V41" s="200">
        <f t="shared" si="6"/>
        <v>5718.4000000000005</v>
      </c>
      <c r="W41" s="200">
        <f t="shared" si="7"/>
        <v>14.399999999999999</v>
      </c>
      <c r="X41" s="200">
        <f t="shared" si="8"/>
        <v>67.2</v>
      </c>
      <c r="Y41" s="200">
        <f t="shared" si="9"/>
        <v>120.8</v>
      </c>
      <c r="Z41" s="216">
        <f>O41/Constants!$C$12</f>
        <v>0</v>
      </c>
      <c r="AA41" s="216">
        <f>P41/Constants!$C$11</f>
        <v>2.323150191659891E-3</v>
      </c>
      <c r="AB41" s="216">
        <f>Q41/Constants!$C$13</f>
        <v>0</v>
      </c>
      <c r="AC41" s="216">
        <f>R41/Constants!$C$18</f>
        <v>7.6187251333276904E-2</v>
      </c>
      <c r="AD41" s="216">
        <f>S41/Constants!$C$3</f>
        <v>124.1465445462115</v>
      </c>
      <c r="AE41" s="216">
        <f>T41/Constants!$C$4</f>
        <v>0.9935205183585315</v>
      </c>
      <c r="AF41" s="216">
        <f>U41/Constants!$C$5</f>
        <v>0.12938372488934285</v>
      </c>
      <c r="AG41" s="216">
        <f>V41/Constants!$C$6</f>
        <v>64.900692316422663</v>
      </c>
      <c r="AH41" s="216">
        <f>W41/Constants!$C$7</f>
        <v>0.14099676882404777</v>
      </c>
      <c r="AI41" s="216">
        <f>X41/Constants!$C$8</f>
        <v>0.65798492117888974</v>
      </c>
      <c r="AJ41" s="216">
        <f>Y41/Constants!$C$10</f>
        <v>1.0399449035812671</v>
      </c>
      <c r="AK41" s="199">
        <f>Z41*Constants!$D$12</f>
        <v>0</v>
      </c>
      <c r="AL41" s="199">
        <f>AA41*Constants!$D$11</f>
        <v>9.2926007666395641E-3</v>
      </c>
      <c r="AM41" s="199">
        <f>AB41*Constants!$D$13</f>
        <v>0</v>
      </c>
      <c r="AN41" s="199">
        <f>AC41*Constants!$D$18</f>
        <v>0.38093625666638453</v>
      </c>
      <c r="AO41" s="199">
        <f>AD41*Constants!$D$3</f>
        <v>248.293089092423</v>
      </c>
      <c r="AP41" s="199">
        <f>AE41*Constants!$D$4</f>
        <v>2.9805615550755946</v>
      </c>
      <c r="AQ41" s="199">
        <f>AF41*Constants!$D$5</f>
        <v>0.51753489955737142</v>
      </c>
      <c r="AR41" s="199">
        <f>AG41*Constants!$D$6</f>
        <v>259.60276926569065</v>
      </c>
      <c r="AS41" s="199">
        <f>AH41*Constants!$D$7</f>
        <v>0.70498384412023885</v>
      </c>
      <c r="AT41" s="199">
        <f>AI41*Constants!$D$8</f>
        <v>3.2899246058944485</v>
      </c>
      <c r="AU41" s="199">
        <f>AJ41*Constants!$D$10</f>
        <v>6.2396694214876032</v>
      </c>
      <c r="AV41" s="199">
        <f>Z41*Constants!$E$12</f>
        <v>0</v>
      </c>
      <c r="AW41" s="199">
        <f>AA41*Constants!$E$11</f>
        <v>4.1816703449878041E-2</v>
      </c>
      <c r="AX41" s="199">
        <f>AB41*Constants!$E$13</f>
        <v>0</v>
      </c>
      <c r="AY41" s="199">
        <f>AC41*Constants!$E$18</f>
        <v>1.8284940319986456</v>
      </c>
      <c r="AZ41" s="199">
        <f>AD41*Constants!$E$3</f>
        <v>993.17235636969201</v>
      </c>
      <c r="BA41" s="199">
        <f>AE41*Constants!$E$4</f>
        <v>13.909287257019441</v>
      </c>
      <c r="BB41" s="199">
        <f>AF41*Constants!$E$5</f>
        <v>2.5876744977868569</v>
      </c>
      <c r="BC41" s="199">
        <f>AG41*Constants!$E$6</f>
        <v>1298.0138463284534</v>
      </c>
      <c r="BD41" s="199">
        <f>AH41*Constants!$E$7</f>
        <v>3.6659159894252422</v>
      </c>
      <c r="BE41" s="199">
        <f>AI41*Constants!$E$8</f>
        <v>17.107607950651133</v>
      </c>
      <c r="BF41" s="199">
        <f>AJ41*Constants!$E$10</f>
        <v>33.278236914600548</v>
      </c>
    </row>
    <row r="42" spans="1:58">
      <c r="A42" s="199">
        <f>'Influent Concentration'!A42</f>
        <v>80.712500000001455</v>
      </c>
      <c r="B42" s="201">
        <v>10</v>
      </c>
      <c r="C42" s="201" t="s">
        <v>202</v>
      </c>
      <c r="D42" s="201">
        <v>0.03</v>
      </c>
      <c r="E42" s="201" t="s">
        <v>202</v>
      </c>
      <c r="F42" s="201" t="s">
        <v>202</v>
      </c>
      <c r="G42" s="201">
        <v>20</v>
      </c>
      <c r="H42" s="201">
        <v>355.24</v>
      </c>
      <c r="I42" s="201">
        <v>3.68</v>
      </c>
      <c r="J42" s="201">
        <v>0.45</v>
      </c>
      <c r="K42" s="201">
        <v>279.55</v>
      </c>
      <c r="L42" s="201">
        <v>0.71</v>
      </c>
      <c r="M42" s="200">
        <v>3</v>
      </c>
      <c r="N42" s="201">
        <v>6.43</v>
      </c>
      <c r="O42" s="200">
        <f t="shared" si="0"/>
        <v>0</v>
      </c>
      <c r="P42" s="200">
        <f t="shared" si="1"/>
        <v>0.3</v>
      </c>
      <c r="Q42" s="200">
        <f t="shared" si="2"/>
        <v>0</v>
      </c>
      <c r="R42" s="200">
        <f t="shared" si="3"/>
        <v>0</v>
      </c>
      <c r="S42" s="200">
        <f t="shared" si="10"/>
        <v>7104.8</v>
      </c>
      <c r="T42" s="200">
        <f t="shared" si="4"/>
        <v>73.600000000000009</v>
      </c>
      <c r="U42" s="200">
        <f t="shared" si="5"/>
        <v>9</v>
      </c>
      <c r="V42" s="200">
        <f t="shared" si="6"/>
        <v>5591</v>
      </c>
      <c r="W42" s="200">
        <f t="shared" si="7"/>
        <v>14.2</v>
      </c>
      <c r="X42" s="200">
        <f t="shared" si="8"/>
        <v>60</v>
      </c>
      <c r="Y42" s="200">
        <f t="shared" si="9"/>
        <v>128.6</v>
      </c>
      <c r="Z42" s="216">
        <f>O42/Constants!$C$12</f>
        <v>0</v>
      </c>
      <c r="AA42" s="216">
        <f>P42/Constants!$C$11</f>
        <v>3.4847252874898359E-3</v>
      </c>
      <c r="AB42" s="216">
        <f>Q42/Constants!$C$13</f>
        <v>0</v>
      </c>
      <c r="AC42" s="216">
        <f>R42/Constants!$C$18</f>
        <v>0</v>
      </c>
      <c r="AD42" s="216">
        <f>S42/Constants!$C$3</f>
        <v>118.31473771856787</v>
      </c>
      <c r="AE42" s="216">
        <f>T42/Constants!$C$4</f>
        <v>0.9935205183585315</v>
      </c>
      <c r="AF42" s="216">
        <f>U42/Constants!$C$5</f>
        <v>0.10214504596527069</v>
      </c>
      <c r="AG42" s="216">
        <f>V42/Constants!$C$6</f>
        <v>63.454772443536491</v>
      </c>
      <c r="AH42" s="216">
        <f>W42/Constants!$C$7</f>
        <v>0.13903848036815822</v>
      </c>
      <c r="AI42" s="216">
        <f>X42/Constants!$C$8</f>
        <v>0.5874865367668658</v>
      </c>
      <c r="AJ42" s="216">
        <f>Y42/Constants!$C$10</f>
        <v>1.1070936639118456</v>
      </c>
      <c r="AK42" s="199">
        <f>Z42*Constants!$D$12</f>
        <v>0</v>
      </c>
      <c r="AL42" s="199">
        <f>AA42*Constants!$D$11</f>
        <v>1.3938901149959344E-2</v>
      </c>
      <c r="AM42" s="199">
        <f>AB42*Constants!$D$13</f>
        <v>0</v>
      </c>
      <c r="AN42" s="199">
        <f>AC42*Constants!$D$18</f>
        <v>0</v>
      </c>
      <c r="AO42" s="199">
        <f>AD42*Constants!$D$3</f>
        <v>236.62947543713574</v>
      </c>
      <c r="AP42" s="199">
        <f>AE42*Constants!$D$4</f>
        <v>2.9805615550755946</v>
      </c>
      <c r="AQ42" s="199">
        <f>AF42*Constants!$D$5</f>
        <v>0.40858018386108275</v>
      </c>
      <c r="AR42" s="199">
        <f>AG42*Constants!$D$6</f>
        <v>253.81908977414597</v>
      </c>
      <c r="AS42" s="199">
        <f>AH42*Constants!$D$7</f>
        <v>0.69519240184079112</v>
      </c>
      <c r="AT42" s="199">
        <f>AI42*Constants!$D$8</f>
        <v>2.937432683834329</v>
      </c>
      <c r="AU42" s="199">
        <f>AJ42*Constants!$D$10</f>
        <v>6.6425619834710741</v>
      </c>
      <c r="AV42" s="199">
        <f>Z42*Constants!$E$12</f>
        <v>0</v>
      </c>
      <c r="AW42" s="199">
        <f>AA42*Constants!$E$11</f>
        <v>6.2725055174817052E-2</v>
      </c>
      <c r="AX42" s="199">
        <f>AB42*Constants!$E$13</f>
        <v>0</v>
      </c>
      <c r="AY42" s="199">
        <f>AC42*Constants!$E$18</f>
        <v>0</v>
      </c>
      <c r="AZ42" s="199">
        <f>AD42*Constants!$E$3</f>
        <v>946.51790174854295</v>
      </c>
      <c r="BA42" s="199">
        <f>AE42*Constants!$E$4</f>
        <v>13.909287257019441</v>
      </c>
      <c r="BB42" s="199">
        <f>AF42*Constants!$E$5</f>
        <v>2.0429009193054135</v>
      </c>
      <c r="BC42" s="199">
        <f>AG42*Constants!$E$6</f>
        <v>1269.0954488707298</v>
      </c>
      <c r="BD42" s="199">
        <f>AH42*Constants!$E$7</f>
        <v>3.6150004895721137</v>
      </c>
      <c r="BE42" s="199">
        <f>AI42*Constants!$E$8</f>
        <v>15.274649955938511</v>
      </c>
      <c r="BF42" s="199">
        <f>AJ42*Constants!$E$10</f>
        <v>35.426997245179059</v>
      </c>
    </row>
    <row r="43" spans="1:58">
      <c r="A43" s="199">
        <f>'Influent Concentration'!A43</f>
        <v>82.766666666670062</v>
      </c>
      <c r="B43" s="201">
        <v>10</v>
      </c>
      <c r="C43" s="201" t="s">
        <v>202</v>
      </c>
      <c r="D43" s="201">
        <v>0.03</v>
      </c>
      <c r="E43" s="201">
        <v>0.54</v>
      </c>
      <c r="F43" s="201" t="s">
        <v>202</v>
      </c>
      <c r="G43" s="201">
        <v>20</v>
      </c>
      <c r="H43" s="201">
        <v>352.35</v>
      </c>
      <c r="I43" s="201">
        <v>3.54</v>
      </c>
      <c r="J43" s="201">
        <v>0.52</v>
      </c>
      <c r="K43" s="201">
        <v>275.98</v>
      </c>
      <c r="L43" s="201">
        <v>0.66</v>
      </c>
      <c r="M43" s="200">
        <v>3.08</v>
      </c>
      <c r="N43" s="201">
        <v>6.83</v>
      </c>
      <c r="O43" s="200">
        <f t="shared" si="0"/>
        <v>0</v>
      </c>
      <c r="P43" s="200">
        <f t="shared" si="1"/>
        <v>0.3</v>
      </c>
      <c r="Q43" s="200">
        <f t="shared" si="2"/>
        <v>5.4</v>
      </c>
      <c r="R43" s="200">
        <f t="shared" si="3"/>
        <v>0</v>
      </c>
      <c r="S43" s="200">
        <f t="shared" si="10"/>
        <v>7047</v>
      </c>
      <c r="T43" s="200">
        <f t="shared" si="4"/>
        <v>70.8</v>
      </c>
      <c r="U43" s="200">
        <f t="shared" si="5"/>
        <v>10.4</v>
      </c>
      <c r="V43" s="200">
        <f t="shared" si="6"/>
        <v>5519.6</v>
      </c>
      <c r="W43" s="200">
        <f t="shared" si="7"/>
        <v>13.200000000000001</v>
      </c>
      <c r="X43" s="200">
        <f t="shared" si="8"/>
        <v>61.6</v>
      </c>
      <c r="Y43" s="200">
        <f t="shared" si="9"/>
        <v>136.6</v>
      </c>
      <c r="Z43" s="216">
        <f>O43/Constants!$C$12</f>
        <v>0</v>
      </c>
      <c r="AA43" s="216">
        <f>P43/Constants!$C$11</f>
        <v>3.4847252874898359E-3</v>
      </c>
      <c r="AB43" s="216">
        <f>Q43/Constants!$C$13</f>
        <v>5.9946714031971583E-2</v>
      </c>
      <c r="AC43" s="216">
        <f>R43/Constants!$C$18</f>
        <v>0</v>
      </c>
      <c r="AD43" s="216">
        <f>S43/Constants!$C$3</f>
        <v>117.35220649458785</v>
      </c>
      <c r="AE43" s="216">
        <f>T43/Constants!$C$4</f>
        <v>0.95572354211663069</v>
      </c>
      <c r="AF43" s="216">
        <f>U43/Constants!$C$5</f>
        <v>0.11803427533764613</v>
      </c>
      <c r="AG43" s="216">
        <f>V43/Constants!$C$6</f>
        <v>62.644421745545344</v>
      </c>
      <c r="AH43" s="216">
        <f>W43/Constants!$C$7</f>
        <v>0.12924703808871049</v>
      </c>
      <c r="AI43" s="216">
        <f>X43/Constants!$C$8</f>
        <v>0.6031528444139822</v>
      </c>
      <c r="AJ43" s="216">
        <f>Y43/Constants!$C$10</f>
        <v>1.1759641873278237</v>
      </c>
      <c r="AK43" s="199">
        <f>Z43*Constants!$D$12</f>
        <v>0</v>
      </c>
      <c r="AL43" s="199">
        <f>AA43*Constants!$D$11</f>
        <v>1.3938901149959344E-2</v>
      </c>
      <c r="AM43" s="199">
        <f>AB43*Constants!$D$13</f>
        <v>0.17984014209591476</v>
      </c>
      <c r="AN43" s="199">
        <f>AC43*Constants!$D$18</f>
        <v>0</v>
      </c>
      <c r="AO43" s="199">
        <f>AD43*Constants!$D$3</f>
        <v>234.70441298917569</v>
      </c>
      <c r="AP43" s="199">
        <f>AE43*Constants!$D$4</f>
        <v>2.8671706263498922</v>
      </c>
      <c r="AQ43" s="199">
        <f>AF43*Constants!$D$5</f>
        <v>0.47213710135058451</v>
      </c>
      <c r="AR43" s="199">
        <f>AG43*Constants!$D$6</f>
        <v>250.57768698218138</v>
      </c>
      <c r="AS43" s="199">
        <f>AH43*Constants!$D$7</f>
        <v>0.64623519044355249</v>
      </c>
      <c r="AT43" s="199">
        <f>AI43*Constants!$D$8</f>
        <v>3.0157642220699108</v>
      </c>
      <c r="AU43" s="199">
        <f>AJ43*Constants!$D$10</f>
        <v>7.0557851239669418</v>
      </c>
      <c r="AV43" s="199">
        <f>Z43*Constants!$E$12</f>
        <v>0</v>
      </c>
      <c r="AW43" s="199">
        <f>AA43*Constants!$E$11</f>
        <v>6.2725055174817052E-2</v>
      </c>
      <c r="AX43" s="199">
        <f>AB43*Constants!$E$13</f>
        <v>0.71936056838365903</v>
      </c>
      <c r="AY43" s="199">
        <f>AC43*Constants!$E$18</f>
        <v>0</v>
      </c>
      <c r="AZ43" s="199">
        <f>AD43*Constants!$E$3</f>
        <v>938.81765195670278</v>
      </c>
      <c r="BA43" s="199">
        <f>AE43*Constants!$E$4</f>
        <v>13.38012958963283</v>
      </c>
      <c r="BB43" s="199">
        <f>AF43*Constants!$E$5</f>
        <v>2.3606855067529224</v>
      </c>
      <c r="BC43" s="199">
        <f>AG43*Constants!$E$6</f>
        <v>1252.8884349109069</v>
      </c>
      <c r="BD43" s="199">
        <f>AH43*Constants!$E$7</f>
        <v>3.3604229903064726</v>
      </c>
      <c r="BE43" s="199">
        <f>AI43*Constants!$E$8</f>
        <v>15.681973954763537</v>
      </c>
      <c r="BF43" s="199">
        <f>AJ43*Constants!$E$10</f>
        <v>37.630853994490359</v>
      </c>
    </row>
    <row r="44" spans="1:58">
      <c r="A44" s="199">
        <f>'Influent Concentration'!A44</f>
        <v>84.759722222224809</v>
      </c>
      <c r="B44" s="201">
        <v>10</v>
      </c>
      <c r="C44" s="201" t="s">
        <v>202</v>
      </c>
      <c r="D44" s="201">
        <v>0.03</v>
      </c>
      <c r="E44" s="201">
        <v>0.55000000000000004</v>
      </c>
      <c r="F44" s="201" t="s">
        <v>202</v>
      </c>
      <c r="G44" s="201">
        <v>20</v>
      </c>
      <c r="H44" s="201">
        <v>356.7</v>
      </c>
      <c r="I44" s="201">
        <v>3.34</v>
      </c>
      <c r="J44" s="201">
        <v>0.42</v>
      </c>
      <c r="K44" s="201">
        <v>275.41000000000003</v>
      </c>
      <c r="L44" s="201">
        <v>0.67</v>
      </c>
      <c r="M44" s="200">
        <v>2.96</v>
      </c>
      <c r="N44" s="201">
        <v>8.0500000000000007</v>
      </c>
      <c r="O44" s="200">
        <f t="shared" si="0"/>
        <v>0</v>
      </c>
      <c r="P44" s="200">
        <f t="shared" si="1"/>
        <v>0.3</v>
      </c>
      <c r="Q44" s="200">
        <f t="shared" si="2"/>
        <v>5.5</v>
      </c>
      <c r="R44" s="200">
        <f t="shared" si="3"/>
        <v>0</v>
      </c>
      <c r="S44" s="200">
        <f t="shared" si="10"/>
        <v>7134</v>
      </c>
      <c r="T44" s="200">
        <f t="shared" si="4"/>
        <v>66.8</v>
      </c>
      <c r="U44" s="200">
        <f t="shared" si="5"/>
        <v>8.4</v>
      </c>
      <c r="V44" s="200">
        <f t="shared" si="6"/>
        <v>5508.2000000000007</v>
      </c>
      <c r="W44" s="200">
        <f t="shared" si="7"/>
        <v>13.4</v>
      </c>
      <c r="X44" s="200">
        <f t="shared" si="8"/>
        <v>59.2</v>
      </c>
      <c r="Y44" s="200">
        <f t="shared" si="9"/>
        <v>161</v>
      </c>
      <c r="Z44" s="216">
        <f>O44/Constants!$C$12</f>
        <v>0</v>
      </c>
      <c r="AA44" s="216">
        <f>P44/Constants!$C$11</f>
        <v>3.4847252874898359E-3</v>
      </c>
      <c r="AB44" s="216">
        <f>Q44/Constants!$C$13</f>
        <v>6.1056838365896982E-2</v>
      </c>
      <c r="AC44" s="216">
        <f>R44/Constants!$C$18</f>
        <v>0</v>
      </c>
      <c r="AD44" s="216">
        <f>S44/Constants!$C$3</f>
        <v>118.80099916736054</v>
      </c>
      <c r="AE44" s="216">
        <f>T44/Constants!$C$4</f>
        <v>0.90172786177105835</v>
      </c>
      <c r="AF44" s="216">
        <f>U44/Constants!$C$5</f>
        <v>9.5335376234252645E-2</v>
      </c>
      <c r="AG44" s="216">
        <f>V44/Constants!$C$6</f>
        <v>62.515038020656007</v>
      </c>
      <c r="AH44" s="216">
        <f>W44/Constants!$C$7</f>
        <v>0.13120532654460004</v>
      </c>
      <c r="AI44" s="216">
        <f>X44/Constants!$C$8</f>
        <v>0.57965338294330759</v>
      </c>
      <c r="AJ44" s="216">
        <f>Y44/Constants!$C$10</f>
        <v>1.3860192837465566</v>
      </c>
      <c r="AK44" s="199">
        <f>Z44*Constants!$D$12</f>
        <v>0</v>
      </c>
      <c r="AL44" s="199">
        <f>AA44*Constants!$D$11</f>
        <v>1.3938901149959344E-2</v>
      </c>
      <c r="AM44" s="199">
        <f>AB44*Constants!$D$13</f>
        <v>0.18317051509769094</v>
      </c>
      <c r="AN44" s="199">
        <f>AC44*Constants!$D$18</f>
        <v>0</v>
      </c>
      <c r="AO44" s="199">
        <f>AD44*Constants!$D$3</f>
        <v>237.60199833472109</v>
      </c>
      <c r="AP44" s="199">
        <f>AE44*Constants!$D$4</f>
        <v>2.7051835853131752</v>
      </c>
      <c r="AQ44" s="199">
        <f>AF44*Constants!$D$5</f>
        <v>0.38134150493701058</v>
      </c>
      <c r="AR44" s="199">
        <f>AG44*Constants!$D$6</f>
        <v>250.06015208262403</v>
      </c>
      <c r="AS44" s="199">
        <f>AH44*Constants!$D$7</f>
        <v>0.65602663272300021</v>
      </c>
      <c r="AT44" s="199">
        <f>AI44*Constants!$D$8</f>
        <v>2.8982669147165381</v>
      </c>
      <c r="AU44" s="199">
        <f>AJ44*Constants!$D$10</f>
        <v>8.3161157024793404</v>
      </c>
      <c r="AV44" s="199">
        <f>Z44*Constants!$E$12</f>
        <v>0</v>
      </c>
      <c r="AW44" s="199">
        <f>AA44*Constants!$E$11</f>
        <v>6.2725055174817052E-2</v>
      </c>
      <c r="AX44" s="199">
        <f>AB44*Constants!$E$13</f>
        <v>0.73268206039076378</v>
      </c>
      <c r="AY44" s="199">
        <f>AC44*Constants!$E$18</f>
        <v>0</v>
      </c>
      <c r="AZ44" s="199">
        <f>AD44*Constants!$E$3</f>
        <v>950.40799333888435</v>
      </c>
      <c r="BA44" s="199">
        <f>AE44*Constants!$E$4</f>
        <v>12.624190064794817</v>
      </c>
      <c r="BB44" s="199">
        <f>AF44*Constants!$E$5</f>
        <v>1.9067075246850529</v>
      </c>
      <c r="BC44" s="199">
        <f>AG44*Constants!$E$6</f>
        <v>1250.3007604131201</v>
      </c>
      <c r="BD44" s="199">
        <f>AH44*Constants!$E$7</f>
        <v>3.4113384901596011</v>
      </c>
      <c r="BE44" s="199">
        <f>AI44*Constants!$E$8</f>
        <v>15.070987956525997</v>
      </c>
      <c r="BF44" s="199">
        <f>AJ44*Constants!$E$10</f>
        <v>44.352617079889811</v>
      </c>
    </row>
    <row r="45" spans="1:58">
      <c r="A45" s="199">
        <f>'Influent Concentration'!A45</f>
        <v>87.712500000001455</v>
      </c>
      <c r="B45" s="201">
        <v>10</v>
      </c>
      <c r="C45" s="201" t="s">
        <v>202</v>
      </c>
      <c r="D45" s="201">
        <v>0.04</v>
      </c>
      <c r="E45" s="201">
        <v>0.54</v>
      </c>
      <c r="F45" s="201" t="s">
        <v>202</v>
      </c>
      <c r="G45" s="201">
        <v>20</v>
      </c>
      <c r="H45" s="201">
        <v>353.26</v>
      </c>
      <c r="I45" s="201">
        <v>2.88</v>
      </c>
      <c r="J45" s="201">
        <v>0.52</v>
      </c>
      <c r="K45" s="201">
        <v>267.20999999999998</v>
      </c>
      <c r="L45" s="201">
        <v>0.55000000000000004</v>
      </c>
      <c r="M45" s="201">
        <v>2.92</v>
      </c>
      <c r="N45" s="201">
        <v>10.220000000000001</v>
      </c>
      <c r="O45" s="200">
        <f t="shared" si="0"/>
        <v>0</v>
      </c>
      <c r="P45" s="200">
        <f t="shared" si="1"/>
        <v>0.4</v>
      </c>
      <c r="Q45" s="200">
        <f t="shared" si="2"/>
        <v>5.4</v>
      </c>
      <c r="R45" s="200">
        <f t="shared" si="3"/>
        <v>0</v>
      </c>
      <c r="S45" s="200">
        <f t="shared" si="10"/>
        <v>7065.2</v>
      </c>
      <c r="T45" s="200">
        <f t="shared" si="4"/>
        <v>57.599999999999994</v>
      </c>
      <c r="U45" s="200">
        <f t="shared" si="5"/>
        <v>10.4</v>
      </c>
      <c r="V45" s="200">
        <f t="shared" si="6"/>
        <v>5344.2</v>
      </c>
      <c r="W45" s="200">
        <f t="shared" si="7"/>
        <v>11</v>
      </c>
      <c r="X45" s="200">
        <f t="shared" si="8"/>
        <v>58.4</v>
      </c>
      <c r="Y45" s="200">
        <f t="shared" si="9"/>
        <v>204.4</v>
      </c>
      <c r="Z45" s="216">
        <f>O45/Constants!$C$12</f>
        <v>0</v>
      </c>
      <c r="AA45" s="216">
        <f>P45/Constants!$C$11</f>
        <v>4.6463003833197821E-3</v>
      </c>
      <c r="AB45" s="216">
        <f>Q45/Constants!$C$13</f>
        <v>5.9946714031971583E-2</v>
      </c>
      <c r="AC45" s="216">
        <f>R45/Constants!$C$18</f>
        <v>0</v>
      </c>
      <c r="AD45" s="216">
        <f>S45/Constants!$C$3</f>
        <v>117.65528726061616</v>
      </c>
      <c r="AE45" s="216">
        <f>T45/Constants!$C$4</f>
        <v>0.77753779697624181</v>
      </c>
      <c r="AF45" s="216">
        <f>U45/Constants!$C$5</f>
        <v>0.11803427533764613</v>
      </c>
      <c r="AG45" s="216">
        <f>V45/Constants!$C$6</f>
        <v>60.653728294177732</v>
      </c>
      <c r="AH45" s="216">
        <f>W45/Constants!$C$7</f>
        <v>0.10770586507392539</v>
      </c>
      <c r="AI45" s="216">
        <f>X45/Constants!$C$8</f>
        <v>0.57182022911974939</v>
      </c>
      <c r="AJ45" s="216">
        <f>Y45/Constants!$C$10</f>
        <v>1.7596418732782371</v>
      </c>
      <c r="AK45" s="199">
        <f>Z45*Constants!$D$12</f>
        <v>0</v>
      </c>
      <c r="AL45" s="199">
        <f>AA45*Constants!$D$11</f>
        <v>1.8585201533279128E-2</v>
      </c>
      <c r="AM45" s="199">
        <f>AB45*Constants!$D$13</f>
        <v>0.17984014209591476</v>
      </c>
      <c r="AN45" s="199">
        <f>AC45*Constants!$D$18</f>
        <v>0</v>
      </c>
      <c r="AO45" s="199">
        <f>AD45*Constants!$D$3</f>
        <v>235.31057452123233</v>
      </c>
      <c r="AP45" s="199">
        <f>AE45*Constants!$D$4</f>
        <v>2.3326133909287252</v>
      </c>
      <c r="AQ45" s="199">
        <f>AF45*Constants!$D$5</f>
        <v>0.47213710135058451</v>
      </c>
      <c r="AR45" s="199">
        <f>AG45*Constants!$D$6</f>
        <v>242.61491317671093</v>
      </c>
      <c r="AS45" s="199">
        <f>AH45*Constants!$D$7</f>
        <v>0.53852932536962694</v>
      </c>
      <c r="AT45" s="199">
        <f>AI45*Constants!$D$8</f>
        <v>2.8591011455987472</v>
      </c>
      <c r="AU45" s="199">
        <f>AJ45*Constants!$D$10</f>
        <v>10.557851239669422</v>
      </c>
      <c r="AV45" s="199">
        <f>Z45*Constants!$E$12</f>
        <v>0</v>
      </c>
      <c r="AW45" s="199">
        <f>AA45*Constants!$E$11</f>
        <v>8.3633406899756083E-2</v>
      </c>
      <c r="AX45" s="199">
        <f>AB45*Constants!$E$13</f>
        <v>0.71936056838365903</v>
      </c>
      <c r="AY45" s="199">
        <f>AC45*Constants!$E$18</f>
        <v>0</v>
      </c>
      <c r="AZ45" s="199">
        <f>AD45*Constants!$E$3</f>
        <v>941.2422980849293</v>
      </c>
      <c r="BA45" s="199">
        <f>AE45*Constants!$E$4</f>
        <v>10.885529157667385</v>
      </c>
      <c r="BB45" s="199">
        <f>AF45*Constants!$E$5</f>
        <v>2.3606855067529224</v>
      </c>
      <c r="BC45" s="199">
        <f>AG45*Constants!$E$6</f>
        <v>1213.0745658835547</v>
      </c>
      <c r="BD45" s="199">
        <f>AH45*Constants!$E$7</f>
        <v>2.8003524919220601</v>
      </c>
      <c r="BE45" s="199">
        <f>AI45*Constants!$E$8</f>
        <v>14.867325957113485</v>
      </c>
      <c r="BF45" s="199">
        <f>AJ45*Constants!$E$10</f>
        <v>56.308539944903586</v>
      </c>
    </row>
    <row r="46" spans="1:58">
      <c r="A46" s="199">
        <f>'Influent Concentration'!A46</f>
        <v>89.76736111111677</v>
      </c>
      <c r="B46" s="201">
        <v>10</v>
      </c>
      <c r="C46" s="201" t="s">
        <v>202</v>
      </c>
      <c r="D46" s="201">
        <v>0.03</v>
      </c>
      <c r="E46" s="201" t="s">
        <v>202</v>
      </c>
      <c r="F46" s="201" t="s">
        <v>202</v>
      </c>
      <c r="G46" s="201">
        <v>20</v>
      </c>
      <c r="H46" s="201">
        <v>352.26</v>
      </c>
      <c r="I46" s="201">
        <v>3.24</v>
      </c>
      <c r="J46" s="201">
        <v>0.52</v>
      </c>
      <c r="K46" s="201">
        <v>267.08999999999997</v>
      </c>
      <c r="L46" s="201">
        <v>0.78</v>
      </c>
      <c r="M46" s="200">
        <v>2.78</v>
      </c>
      <c r="N46" s="201">
        <v>11.73</v>
      </c>
      <c r="O46" s="200">
        <f t="shared" si="0"/>
        <v>0</v>
      </c>
      <c r="P46" s="200">
        <f t="shared" si="1"/>
        <v>0.3</v>
      </c>
      <c r="Q46" s="200">
        <f t="shared" si="2"/>
        <v>0</v>
      </c>
      <c r="R46" s="200">
        <f t="shared" si="3"/>
        <v>0</v>
      </c>
      <c r="S46" s="200">
        <f t="shared" si="10"/>
        <v>7045.2</v>
      </c>
      <c r="T46" s="200">
        <f t="shared" si="4"/>
        <v>64.800000000000011</v>
      </c>
      <c r="U46" s="200">
        <f t="shared" si="5"/>
        <v>10.4</v>
      </c>
      <c r="V46" s="200">
        <f t="shared" si="6"/>
        <v>5341.7999999999993</v>
      </c>
      <c r="W46" s="200">
        <f t="shared" si="7"/>
        <v>15.600000000000001</v>
      </c>
      <c r="X46" s="200">
        <f t="shared" si="8"/>
        <v>55.599999999999994</v>
      </c>
      <c r="Y46" s="200">
        <f t="shared" si="9"/>
        <v>234.60000000000002</v>
      </c>
      <c r="Z46" s="216">
        <f>O46/Constants!$C$12</f>
        <v>0</v>
      </c>
      <c r="AA46" s="216">
        <f>P46/Constants!$C$11</f>
        <v>3.4847252874898359E-3</v>
      </c>
      <c r="AB46" s="216">
        <f>Q46/Constants!$C$13</f>
        <v>0</v>
      </c>
      <c r="AC46" s="216">
        <f>R46/Constants!$C$18</f>
        <v>0</v>
      </c>
      <c r="AD46" s="216">
        <f>S46/Constants!$C$3</f>
        <v>117.32223147377186</v>
      </c>
      <c r="AE46" s="216">
        <f>T46/Constants!$C$4</f>
        <v>0.87473002159827229</v>
      </c>
      <c r="AF46" s="216">
        <f>U46/Constants!$C$5</f>
        <v>0.11803427533764613</v>
      </c>
      <c r="AG46" s="216">
        <f>V46/Constants!$C$6</f>
        <v>60.626489615253654</v>
      </c>
      <c r="AH46" s="216">
        <f>W46/Constants!$C$7</f>
        <v>0.15274649955938513</v>
      </c>
      <c r="AI46" s="216">
        <f>X46/Constants!$C$8</f>
        <v>0.54440419073729562</v>
      </c>
      <c r="AJ46" s="216">
        <f>Y46/Constants!$C$10</f>
        <v>2.0196280991735538</v>
      </c>
      <c r="AK46" s="199">
        <f>Z46*Constants!$D$12</f>
        <v>0</v>
      </c>
      <c r="AL46" s="199">
        <f>AA46*Constants!$D$11</f>
        <v>1.3938901149959344E-2</v>
      </c>
      <c r="AM46" s="199">
        <f>AB46*Constants!$D$13</f>
        <v>0</v>
      </c>
      <c r="AN46" s="199">
        <f>AC46*Constants!$D$18</f>
        <v>0</v>
      </c>
      <c r="AO46" s="199">
        <f>AD46*Constants!$D$3</f>
        <v>234.64446294754373</v>
      </c>
      <c r="AP46" s="199">
        <f>AE46*Constants!$D$4</f>
        <v>2.6241900647948171</v>
      </c>
      <c r="AQ46" s="199">
        <f>AF46*Constants!$D$5</f>
        <v>0.47213710135058451</v>
      </c>
      <c r="AR46" s="199">
        <f>AG46*Constants!$D$6</f>
        <v>242.50595846101461</v>
      </c>
      <c r="AS46" s="199">
        <f>AH46*Constants!$D$7</f>
        <v>0.76373249779692565</v>
      </c>
      <c r="AT46" s="199">
        <f>AI46*Constants!$D$8</f>
        <v>2.7220209536864779</v>
      </c>
      <c r="AU46" s="199">
        <f>AJ46*Constants!$D$10</f>
        <v>12.117768595041323</v>
      </c>
      <c r="AV46" s="199">
        <f>Z46*Constants!$E$12</f>
        <v>0</v>
      </c>
      <c r="AW46" s="199">
        <f>AA46*Constants!$E$11</f>
        <v>6.2725055174817052E-2</v>
      </c>
      <c r="AX46" s="199">
        <f>AB46*Constants!$E$13</f>
        <v>0</v>
      </c>
      <c r="AY46" s="199">
        <f>AC46*Constants!$E$18</f>
        <v>0</v>
      </c>
      <c r="AZ46" s="199">
        <f>AD46*Constants!$E$3</f>
        <v>938.57785179017492</v>
      </c>
      <c r="BA46" s="199">
        <f>AE46*Constants!$E$4</f>
        <v>12.246220302375812</v>
      </c>
      <c r="BB46" s="199">
        <f>AF46*Constants!$E$5</f>
        <v>2.3606855067529224</v>
      </c>
      <c r="BC46" s="199">
        <f>AG46*Constants!$E$6</f>
        <v>1212.529792305073</v>
      </c>
      <c r="BD46" s="199">
        <f>AH46*Constants!$E$7</f>
        <v>3.9714089885440131</v>
      </c>
      <c r="BE46" s="199">
        <f>AI46*Constants!$E$8</f>
        <v>14.154508959169686</v>
      </c>
      <c r="BF46" s="199">
        <f>AJ46*Constants!$E$10</f>
        <v>64.628099173553721</v>
      </c>
    </row>
    <row r="47" spans="1:58">
      <c r="A47" s="199">
        <f>'Influent Concentration'!A47</f>
        <v>91.739583333335759</v>
      </c>
      <c r="B47" s="201">
        <v>10</v>
      </c>
      <c r="C47" s="201" t="s">
        <v>202</v>
      </c>
      <c r="D47" s="201">
        <v>0.04</v>
      </c>
      <c r="E47" s="201" t="s">
        <v>202</v>
      </c>
      <c r="F47" s="201" t="s">
        <v>202</v>
      </c>
      <c r="G47" s="201">
        <v>20</v>
      </c>
      <c r="H47" s="201">
        <v>374.83</v>
      </c>
      <c r="I47" s="201">
        <v>3.13</v>
      </c>
      <c r="J47" s="201">
        <v>0.51</v>
      </c>
      <c r="K47" s="201">
        <v>278.41000000000003</v>
      </c>
      <c r="L47" s="200">
        <v>0.56999999999999995</v>
      </c>
      <c r="M47" s="200">
        <v>2.87</v>
      </c>
      <c r="N47" s="201">
        <v>13.19</v>
      </c>
      <c r="O47" s="200">
        <f t="shared" si="0"/>
        <v>0</v>
      </c>
      <c r="P47" s="200">
        <f t="shared" si="1"/>
        <v>0.4</v>
      </c>
      <c r="Q47" s="200">
        <f t="shared" si="2"/>
        <v>0</v>
      </c>
      <c r="R47" s="200">
        <f t="shared" si="3"/>
        <v>0</v>
      </c>
      <c r="S47" s="200">
        <f t="shared" si="10"/>
        <v>7496.5999999999995</v>
      </c>
      <c r="T47" s="200">
        <f t="shared" si="4"/>
        <v>62.599999999999994</v>
      </c>
      <c r="U47" s="200">
        <f t="shared" si="5"/>
        <v>10.199999999999999</v>
      </c>
      <c r="V47" s="200">
        <f t="shared" si="6"/>
        <v>5568.2000000000007</v>
      </c>
      <c r="W47" s="200">
        <f t="shared" si="7"/>
        <v>11.399999999999999</v>
      </c>
      <c r="X47" s="200">
        <f t="shared" si="8"/>
        <v>57.400000000000006</v>
      </c>
      <c r="Y47" s="200">
        <f t="shared" si="9"/>
        <v>263.8</v>
      </c>
      <c r="Z47" s="216">
        <f>O47/Constants!$C$12</f>
        <v>0</v>
      </c>
      <c r="AA47" s="216">
        <f>P47/Constants!$C$11</f>
        <v>4.6463003833197821E-3</v>
      </c>
      <c r="AB47" s="216">
        <f>Q47/Constants!$C$13</f>
        <v>0</v>
      </c>
      <c r="AC47" s="216">
        <f>R47/Constants!$C$18</f>
        <v>0</v>
      </c>
      <c r="AD47" s="216">
        <f>S47/Constants!$C$3</f>
        <v>124.83930058284763</v>
      </c>
      <c r="AE47" s="216">
        <f>T47/Constants!$C$4</f>
        <v>0.84503239740820724</v>
      </c>
      <c r="AF47" s="216">
        <f>U47/Constants!$C$5</f>
        <v>0.11576438542730677</v>
      </c>
      <c r="AG47" s="216">
        <f>V47/Constants!$C$6</f>
        <v>63.196004993757811</v>
      </c>
      <c r="AH47" s="216">
        <f>W47/Constants!$C$7</f>
        <v>0.11162244198570448</v>
      </c>
      <c r="AI47" s="216">
        <f>X47/Constants!$C$8</f>
        <v>0.56202878684030166</v>
      </c>
      <c r="AJ47" s="216">
        <f>Y47/Constants!$C$10</f>
        <v>2.2710055096418733</v>
      </c>
      <c r="AK47" s="199">
        <f>Z47*Constants!$D$12</f>
        <v>0</v>
      </c>
      <c r="AL47" s="199">
        <f>AA47*Constants!$D$11</f>
        <v>1.8585201533279128E-2</v>
      </c>
      <c r="AM47" s="199">
        <f>AB47*Constants!$D$13</f>
        <v>0</v>
      </c>
      <c r="AN47" s="199">
        <f>AC47*Constants!$D$18</f>
        <v>0</v>
      </c>
      <c r="AO47" s="199">
        <f>AD47*Constants!$D$3</f>
        <v>249.67860116569526</v>
      </c>
      <c r="AP47" s="199">
        <f>AE47*Constants!$D$4</f>
        <v>2.5350971922246215</v>
      </c>
      <c r="AQ47" s="199">
        <f>AF47*Constants!$D$5</f>
        <v>0.46305754170922708</v>
      </c>
      <c r="AR47" s="199">
        <f>AG47*Constants!$D$6</f>
        <v>252.78401997503124</v>
      </c>
      <c r="AS47" s="199">
        <f>AH47*Constants!$D$7</f>
        <v>0.5581122099285224</v>
      </c>
      <c r="AT47" s="199">
        <f>AI47*Constants!$D$8</f>
        <v>2.8101439342015082</v>
      </c>
      <c r="AU47" s="199">
        <f>AJ47*Constants!$D$10</f>
        <v>13.62603305785124</v>
      </c>
      <c r="AV47" s="199">
        <f>Z47*Constants!$E$12</f>
        <v>0</v>
      </c>
      <c r="AW47" s="199">
        <f>AA47*Constants!$E$11</f>
        <v>8.3633406899756083E-2</v>
      </c>
      <c r="AX47" s="199">
        <f>AB47*Constants!$E$13</f>
        <v>0</v>
      </c>
      <c r="AY47" s="199">
        <f>AC47*Constants!$E$18</f>
        <v>0</v>
      </c>
      <c r="AZ47" s="199">
        <f>AD47*Constants!$E$3</f>
        <v>998.71440466278102</v>
      </c>
      <c r="BA47" s="199">
        <f>AE47*Constants!$E$4</f>
        <v>11.830453563714901</v>
      </c>
      <c r="BB47" s="199">
        <f>AF47*Constants!$E$5</f>
        <v>2.3152877085461352</v>
      </c>
      <c r="BC47" s="199">
        <f>AG47*Constants!$E$6</f>
        <v>1263.9200998751562</v>
      </c>
      <c r="BD47" s="199">
        <f>AH47*Constants!$E$7</f>
        <v>2.9021834916283167</v>
      </c>
      <c r="BE47" s="199">
        <f>AI47*Constants!$E$8</f>
        <v>14.612748457847843</v>
      </c>
      <c r="BF47" s="199">
        <f>AJ47*Constants!$E$10</f>
        <v>72.672176308539946</v>
      </c>
    </row>
    <row r="48" spans="1:58">
      <c r="A48" s="199">
        <f>'Influent Concentration'!A48</f>
        <v>94.725694444445253</v>
      </c>
      <c r="B48" s="201">
        <v>10</v>
      </c>
      <c r="C48" s="201" t="s">
        <v>202</v>
      </c>
      <c r="D48" s="201">
        <v>0.01</v>
      </c>
      <c r="E48" s="201" t="s">
        <v>202</v>
      </c>
      <c r="F48" s="201" t="s">
        <v>202</v>
      </c>
      <c r="G48" s="201">
        <v>20</v>
      </c>
      <c r="H48" s="201">
        <v>364.09</v>
      </c>
      <c r="I48" s="201">
        <v>2.17</v>
      </c>
      <c r="J48" s="201">
        <v>0.5</v>
      </c>
      <c r="K48" s="201">
        <v>269.25</v>
      </c>
      <c r="L48" s="201">
        <v>0.5</v>
      </c>
      <c r="M48" s="200">
        <v>2.7</v>
      </c>
      <c r="N48" s="201">
        <v>13.88</v>
      </c>
      <c r="O48" s="200">
        <f t="shared" si="0"/>
        <v>0</v>
      </c>
      <c r="P48" s="200">
        <f t="shared" si="1"/>
        <v>0.1</v>
      </c>
      <c r="Q48" s="200">
        <f t="shared" si="2"/>
        <v>0</v>
      </c>
      <c r="R48" s="200">
        <f t="shared" si="3"/>
        <v>0</v>
      </c>
      <c r="S48" s="200">
        <f t="shared" si="10"/>
        <v>7281.7999999999993</v>
      </c>
      <c r="T48" s="200">
        <f t="shared" si="4"/>
        <v>43.4</v>
      </c>
      <c r="U48" s="200">
        <f t="shared" si="5"/>
        <v>10</v>
      </c>
      <c r="V48" s="200">
        <f t="shared" si="6"/>
        <v>5385</v>
      </c>
      <c r="W48" s="200">
        <f t="shared" si="7"/>
        <v>10</v>
      </c>
      <c r="X48" s="200">
        <f t="shared" si="8"/>
        <v>54</v>
      </c>
      <c r="Y48" s="200">
        <f t="shared" si="9"/>
        <v>277.60000000000002</v>
      </c>
      <c r="Z48" s="216">
        <f>O48/Constants!$C$12</f>
        <v>0</v>
      </c>
      <c r="AA48" s="216">
        <f>P48/Constants!$C$11</f>
        <v>1.1615750958299455E-3</v>
      </c>
      <c r="AB48" s="216">
        <f>Q48/Constants!$C$13</f>
        <v>0</v>
      </c>
      <c r="AC48" s="216">
        <f>R48/Constants!$C$18</f>
        <v>0</v>
      </c>
      <c r="AD48" s="216">
        <f>S48/Constants!$C$3</f>
        <v>121.26228143213987</v>
      </c>
      <c r="AE48" s="216">
        <f>T48/Constants!$C$4</f>
        <v>0.58585313174946008</v>
      </c>
      <c r="AF48" s="216">
        <f>U48/Constants!$C$5</f>
        <v>0.11349449551696743</v>
      </c>
      <c r="AG48" s="216">
        <f>V48/Constants!$C$6</f>
        <v>61.116785835886958</v>
      </c>
      <c r="AH48" s="216">
        <f>W48/Constants!$C$7</f>
        <v>9.7914422794477637E-2</v>
      </c>
      <c r="AI48" s="216">
        <f>X48/Constants!$C$8</f>
        <v>0.52873788309017922</v>
      </c>
      <c r="AJ48" s="216">
        <f>Y48/Constants!$C$10</f>
        <v>2.3898071625344355</v>
      </c>
      <c r="AK48" s="199">
        <f>Z48*Constants!$D$12</f>
        <v>0</v>
      </c>
      <c r="AL48" s="199">
        <f>AA48*Constants!$D$11</f>
        <v>4.6463003833197821E-3</v>
      </c>
      <c r="AM48" s="199">
        <f>AB48*Constants!$D$13</f>
        <v>0</v>
      </c>
      <c r="AN48" s="199">
        <f>AC48*Constants!$D$18</f>
        <v>0</v>
      </c>
      <c r="AO48" s="199">
        <f>AD48*Constants!$D$3</f>
        <v>242.52456286427974</v>
      </c>
      <c r="AP48" s="199">
        <f>AE48*Constants!$D$4</f>
        <v>1.7575593952483803</v>
      </c>
      <c r="AQ48" s="199">
        <f>AF48*Constants!$D$5</f>
        <v>0.45397798206786971</v>
      </c>
      <c r="AR48" s="199">
        <f>AG48*Constants!$D$6</f>
        <v>244.46714334354783</v>
      </c>
      <c r="AS48" s="199">
        <f>AH48*Constants!$D$7</f>
        <v>0.4895721139723882</v>
      </c>
      <c r="AT48" s="199">
        <f>AI48*Constants!$D$8</f>
        <v>2.6436894154508961</v>
      </c>
      <c r="AU48" s="199">
        <f>AJ48*Constants!$D$10</f>
        <v>14.338842975206614</v>
      </c>
      <c r="AV48" s="199">
        <f>Z48*Constants!$E$12</f>
        <v>0</v>
      </c>
      <c r="AW48" s="199">
        <f>AA48*Constants!$E$11</f>
        <v>2.0908351724939021E-2</v>
      </c>
      <c r="AX48" s="199">
        <f>AB48*Constants!$E$13</f>
        <v>0</v>
      </c>
      <c r="AY48" s="199">
        <f>AC48*Constants!$E$18</f>
        <v>0</v>
      </c>
      <c r="AZ48" s="199">
        <f>AD48*Constants!$E$3</f>
        <v>970.09825145711898</v>
      </c>
      <c r="BA48" s="199">
        <f>AE48*Constants!$E$4</f>
        <v>8.2019438444924404</v>
      </c>
      <c r="BB48" s="199">
        <f>AF48*Constants!$E$5</f>
        <v>2.2698899103393484</v>
      </c>
      <c r="BC48" s="199">
        <f>AG48*Constants!$E$6</f>
        <v>1222.3357167177392</v>
      </c>
      <c r="BD48" s="199">
        <f>AH48*Constants!$E$7</f>
        <v>2.5457749926564186</v>
      </c>
      <c r="BE48" s="199">
        <f>AI48*Constants!$E$8</f>
        <v>13.74718496034466</v>
      </c>
      <c r="BF48" s="199">
        <f>AJ48*Constants!$E$10</f>
        <v>76.473829201101935</v>
      </c>
    </row>
    <row r="49" spans="1:58">
      <c r="A49" s="199">
        <f>'Influent Concentration'!A49</f>
        <v>96.754166666665697</v>
      </c>
      <c r="B49" s="201">
        <v>5</v>
      </c>
      <c r="C49" s="201" t="s">
        <v>202</v>
      </c>
      <c r="D49" s="201">
        <v>0.01</v>
      </c>
      <c r="E49" s="201">
        <v>0.45</v>
      </c>
      <c r="F49" s="201" t="s">
        <v>202</v>
      </c>
      <c r="G49" s="201">
        <v>10</v>
      </c>
      <c r="H49" s="201">
        <v>250.08</v>
      </c>
      <c r="I49" s="201">
        <v>2.62</v>
      </c>
      <c r="J49" s="201">
        <v>0.93</v>
      </c>
      <c r="K49" s="201">
        <v>157.57</v>
      </c>
      <c r="L49" s="201">
        <v>1.6</v>
      </c>
      <c r="M49" s="200">
        <v>1.77</v>
      </c>
      <c r="N49" s="201">
        <v>14.85</v>
      </c>
      <c r="O49" s="200">
        <f t="shared" si="0"/>
        <v>0</v>
      </c>
      <c r="P49" s="200">
        <f t="shared" si="1"/>
        <v>0.05</v>
      </c>
      <c r="Q49" s="200">
        <f t="shared" si="2"/>
        <v>2.25</v>
      </c>
      <c r="R49" s="200">
        <f t="shared" si="3"/>
        <v>0</v>
      </c>
      <c r="S49" s="200">
        <f t="shared" si="10"/>
        <v>2500.8000000000002</v>
      </c>
      <c r="T49" s="200">
        <f t="shared" si="4"/>
        <v>26.200000000000003</v>
      </c>
      <c r="U49" s="200">
        <f t="shared" si="5"/>
        <v>9.3000000000000007</v>
      </c>
      <c r="V49" s="200">
        <f t="shared" si="6"/>
        <v>1575.6999999999998</v>
      </c>
      <c r="W49" s="200">
        <f t="shared" si="7"/>
        <v>16</v>
      </c>
      <c r="X49" s="200">
        <f t="shared" si="8"/>
        <v>17.7</v>
      </c>
      <c r="Y49" s="200">
        <f t="shared" si="9"/>
        <v>148.5</v>
      </c>
      <c r="Z49" s="216">
        <f>O49/Constants!$C$12</f>
        <v>0</v>
      </c>
      <c r="AA49" s="216">
        <f>P49/Constants!$C$11</f>
        <v>5.8078754791497276E-4</v>
      </c>
      <c r="AB49" s="216">
        <f>Q49/Constants!$C$13</f>
        <v>2.4977797513321492E-2</v>
      </c>
      <c r="AC49" s="216">
        <f>R49/Constants!$C$18</f>
        <v>0</v>
      </c>
      <c r="AD49" s="216">
        <f>S49/Constants!$C$3</f>
        <v>41.645295587010828</v>
      </c>
      <c r="AE49" s="216">
        <f>T49/Constants!$C$4</f>
        <v>0.35367170626349897</v>
      </c>
      <c r="AF49" s="216">
        <f>U49/Constants!$C$5</f>
        <v>0.10554988083077972</v>
      </c>
      <c r="AG49" s="216">
        <f>V49/Constants!$C$6</f>
        <v>17.883327658608554</v>
      </c>
      <c r="AH49" s="216">
        <f>W49/Constants!$C$7</f>
        <v>0.1566630764711642</v>
      </c>
      <c r="AI49" s="216">
        <f>X49/Constants!$C$8</f>
        <v>0.1733085283462254</v>
      </c>
      <c r="AJ49" s="216">
        <f>Y49/Constants!$C$10</f>
        <v>1.2784090909090911</v>
      </c>
      <c r="AK49" s="199">
        <f>Z49*Constants!$D$12</f>
        <v>0</v>
      </c>
      <c r="AL49" s="199">
        <f>AA49*Constants!$D$11</f>
        <v>2.323150191659891E-3</v>
      </c>
      <c r="AM49" s="199">
        <f>AB49*Constants!$D$13</f>
        <v>7.4933392539964477E-2</v>
      </c>
      <c r="AN49" s="199">
        <f>AC49*Constants!$D$18</f>
        <v>0</v>
      </c>
      <c r="AO49" s="199">
        <f>AD49*Constants!$D$3</f>
        <v>83.290591174021657</v>
      </c>
      <c r="AP49" s="199">
        <f>AE49*Constants!$D$4</f>
        <v>1.0610151187904968</v>
      </c>
      <c r="AQ49" s="199">
        <f>AF49*Constants!$D$5</f>
        <v>0.42219952332311889</v>
      </c>
      <c r="AR49" s="199">
        <f>AG49*Constants!$D$6</f>
        <v>71.533310634434216</v>
      </c>
      <c r="AS49" s="199">
        <f>AH49*Constants!$D$7</f>
        <v>0.78331538235582099</v>
      </c>
      <c r="AT49" s="199">
        <f>AI49*Constants!$D$8</f>
        <v>0.86654264173112705</v>
      </c>
      <c r="AU49" s="199">
        <f>AJ49*Constants!$D$10</f>
        <v>7.6704545454545467</v>
      </c>
      <c r="AV49" s="199">
        <f>Z49*Constants!$E$12</f>
        <v>0</v>
      </c>
      <c r="AW49" s="199">
        <f>AA49*Constants!$E$11</f>
        <v>1.045417586246951E-2</v>
      </c>
      <c r="AX49" s="199">
        <f>AB49*Constants!$E$13</f>
        <v>0.29973357015985791</v>
      </c>
      <c r="AY49" s="199">
        <f>AC49*Constants!$E$18</f>
        <v>0</v>
      </c>
      <c r="AZ49" s="199">
        <f>AD49*Constants!$E$3</f>
        <v>333.16236469608663</v>
      </c>
      <c r="BA49" s="199">
        <f>AE49*Constants!$E$4</f>
        <v>4.9514038876889854</v>
      </c>
      <c r="BB49" s="199">
        <f>AF49*Constants!$E$5</f>
        <v>2.1109976166155944</v>
      </c>
      <c r="BC49" s="199">
        <f>AG49*Constants!$E$6</f>
        <v>357.66655317217106</v>
      </c>
      <c r="BD49" s="199">
        <f>AH49*Constants!$E$7</f>
        <v>4.0732399882502692</v>
      </c>
      <c r="BE49" s="199">
        <f>AI49*Constants!$E$8</f>
        <v>4.50602173700186</v>
      </c>
      <c r="BF49" s="199">
        <f>AJ49*Constants!$E$10</f>
        <v>40.909090909090914</v>
      </c>
    </row>
    <row r="50" spans="1:58">
      <c r="A50" s="199">
        <f>'Influent Concentration'!A50</f>
        <v>98.71736111111386</v>
      </c>
      <c r="B50" s="201">
        <v>5</v>
      </c>
      <c r="C50" s="201" t="s">
        <v>202</v>
      </c>
      <c r="D50" s="201">
        <v>0</v>
      </c>
      <c r="E50" s="201" t="s">
        <v>202</v>
      </c>
      <c r="F50" s="201" t="s">
        <v>202</v>
      </c>
      <c r="G50" s="201">
        <v>5</v>
      </c>
      <c r="H50" s="201">
        <v>296.47000000000003</v>
      </c>
      <c r="I50" s="201">
        <v>2.86</v>
      </c>
      <c r="J50" s="201">
        <v>1.67</v>
      </c>
      <c r="K50" s="201">
        <v>151.86000000000001</v>
      </c>
      <c r="L50" s="201">
        <v>2.82</v>
      </c>
      <c r="M50" s="200">
        <v>2.0499999999999998</v>
      </c>
      <c r="N50" s="201">
        <v>17.84</v>
      </c>
      <c r="O50" s="200">
        <f t="shared" si="0"/>
        <v>0</v>
      </c>
      <c r="P50" s="200">
        <f t="shared" si="1"/>
        <v>0</v>
      </c>
      <c r="Q50" s="200">
        <f t="shared" si="2"/>
        <v>0</v>
      </c>
      <c r="R50" s="200">
        <f t="shared" si="3"/>
        <v>0</v>
      </c>
      <c r="S50" s="200">
        <f t="shared" si="10"/>
        <v>1482.3500000000001</v>
      </c>
      <c r="T50" s="200">
        <f t="shared" si="4"/>
        <v>14.299999999999999</v>
      </c>
      <c r="U50" s="200">
        <f t="shared" si="5"/>
        <v>8.35</v>
      </c>
      <c r="V50" s="200">
        <f t="shared" si="6"/>
        <v>759.30000000000007</v>
      </c>
      <c r="W50" s="200">
        <f t="shared" si="7"/>
        <v>14.1</v>
      </c>
      <c r="X50" s="200">
        <f t="shared" si="8"/>
        <v>10.25</v>
      </c>
      <c r="Y50" s="200">
        <f t="shared" si="9"/>
        <v>89.2</v>
      </c>
      <c r="Z50" s="216">
        <f>O50/Constants!$C$12</f>
        <v>0</v>
      </c>
      <c r="AA50" s="216">
        <f>P50/Constants!$C$11</f>
        <v>0</v>
      </c>
      <c r="AB50" s="216">
        <f>Q50/Constants!$C$13</f>
        <v>0</v>
      </c>
      <c r="AC50" s="216">
        <f>R50/Constants!$C$18</f>
        <v>0</v>
      </c>
      <c r="AD50" s="216">
        <f>S50/Constants!$C$3</f>
        <v>24.685262281432145</v>
      </c>
      <c r="AE50" s="216">
        <f>T50/Constants!$C$4</f>
        <v>0.19303455723542115</v>
      </c>
      <c r="AF50" s="216">
        <f>U50/Constants!$C$5</f>
        <v>9.4767903756667798E-2</v>
      </c>
      <c r="AG50" s="216">
        <f>V50/Constants!$C$6</f>
        <v>8.6176370446033381</v>
      </c>
      <c r="AH50" s="216">
        <f>W50/Constants!$C$7</f>
        <v>0.13805933614021346</v>
      </c>
      <c r="AI50" s="216">
        <f>X50/Constants!$C$8</f>
        <v>0.10036228336433957</v>
      </c>
      <c r="AJ50" s="216">
        <f>Y50/Constants!$C$10</f>
        <v>0.76790633608815428</v>
      </c>
      <c r="AK50" s="199">
        <f>Z50*Constants!$D$12</f>
        <v>0</v>
      </c>
      <c r="AL50" s="199">
        <f>AA50*Constants!$D$11</f>
        <v>0</v>
      </c>
      <c r="AM50" s="199">
        <f>AB50*Constants!$D$13</f>
        <v>0</v>
      </c>
      <c r="AN50" s="199">
        <f>AC50*Constants!$D$18</f>
        <v>0</v>
      </c>
      <c r="AO50" s="199">
        <f>AD50*Constants!$D$3</f>
        <v>49.37052456286429</v>
      </c>
      <c r="AP50" s="199">
        <f>AE50*Constants!$D$4</f>
        <v>0.57910367170626342</v>
      </c>
      <c r="AQ50" s="199">
        <f>AF50*Constants!$D$5</f>
        <v>0.37907161502667119</v>
      </c>
      <c r="AR50" s="199">
        <f>AG50*Constants!$D$6</f>
        <v>34.470548178413353</v>
      </c>
      <c r="AS50" s="199">
        <f>AH50*Constants!$D$7</f>
        <v>0.69029668070106731</v>
      </c>
      <c r="AT50" s="199">
        <f>AI50*Constants!$D$8</f>
        <v>0.50181141682169783</v>
      </c>
      <c r="AU50" s="199">
        <f>AJ50*Constants!$D$10</f>
        <v>4.6074380165289259</v>
      </c>
      <c r="AV50" s="199">
        <f>Z50*Constants!$E$12</f>
        <v>0</v>
      </c>
      <c r="AW50" s="199">
        <f>AA50*Constants!$E$11</f>
        <v>0</v>
      </c>
      <c r="AX50" s="199">
        <f>AB50*Constants!$E$13</f>
        <v>0</v>
      </c>
      <c r="AY50" s="199">
        <f>AC50*Constants!$E$18</f>
        <v>0</v>
      </c>
      <c r="AZ50" s="199">
        <f>AD50*Constants!$E$3</f>
        <v>197.48209825145716</v>
      </c>
      <c r="BA50" s="199">
        <f>AE50*Constants!$E$4</f>
        <v>2.7024838012958963</v>
      </c>
      <c r="BB50" s="199">
        <f>AF50*Constants!$E$5</f>
        <v>1.8953580751333559</v>
      </c>
      <c r="BC50" s="199">
        <f>AG50*Constants!$E$6</f>
        <v>172.35274089206678</v>
      </c>
      <c r="BD50" s="199">
        <f>AH50*Constants!$E$7</f>
        <v>3.5895427396455499</v>
      </c>
      <c r="BE50" s="199">
        <f>AI50*Constants!$E$8</f>
        <v>2.609419367472829</v>
      </c>
      <c r="BF50" s="199">
        <f>AJ50*Constants!$E$10</f>
        <v>24.573002754820937</v>
      </c>
    </row>
    <row r="51" spans="1:58">
      <c r="A51" s="199">
        <f>'Influent Concentration'!A51</f>
        <v>101.71527777778101</v>
      </c>
      <c r="B51" s="201">
        <v>5</v>
      </c>
      <c r="C51" s="201" t="s">
        <v>202</v>
      </c>
      <c r="D51" s="201">
        <v>0.01</v>
      </c>
      <c r="E51" s="201">
        <v>0.47</v>
      </c>
      <c r="F51" s="201">
        <v>0.8</v>
      </c>
      <c r="G51" s="201">
        <v>5</v>
      </c>
      <c r="H51" s="201">
        <v>244.14</v>
      </c>
      <c r="I51" s="201">
        <v>2.19</v>
      </c>
      <c r="J51" s="201">
        <v>1.49</v>
      </c>
      <c r="K51" s="201">
        <v>117.44</v>
      </c>
      <c r="L51" s="201">
        <v>2.27</v>
      </c>
      <c r="M51" s="200">
        <v>1.73</v>
      </c>
      <c r="N51" s="201">
        <v>9.19</v>
      </c>
      <c r="O51" s="200">
        <f t="shared" si="0"/>
        <v>0</v>
      </c>
      <c r="P51" s="200">
        <f t="shared" si="1"/>
        <v>0.05</v>
      </c>
      <c r="Q51" s="200">
        <f t="shared" si="2"/>
        <v>2.3499999999999996</v>
      </c>
      <c r="R51" s="200">
        <f t="shared" si="3"/>
        <v>4</v>
      </c>
      <c r="S51" s="200">
        <f t="shared" si="10"/>
        <v>1220.6999999999998</v>
      </c>
      <c r="T51" s="200">
        <f t="shared" si="4"/>
        <v>10.95</v>
      </c>
      <c r="U51" s="200">
        <f t="shared" si="5"/>
        <v>7.45</v>
      </c>
      <c r="V51" s="200">
        <f t="shared" si="6"/>
        <v>587.20000000000005</v>
      </c>
      <c r="W51" s="200">
        <f t="shared" si="7"/>
        <v>11.35</v>
      </c>
      <c r="X51" s="200">
        <f t="shared" si="8"/>
        <v>8.65</v>
      </c>
      <c r="Y51" s="200">
        <f t="shared" si="9"/>
        <v>45.949999999999996</v>
      </c>
      <c r="Z51" s="216">
        <f>O51/Constants!$C$12</f>
        <v>0</v>
      </c>
      <c r="AA51" s="216">
        <f>P51/Constants!$C$11</f>
        <v>5.8078754791497276E-4</v>
      </c>
      <c r="AB51" s="216">
        <f>Q51/Constants!$C$13</f>
        <v>2.6087921847246887E-2</v>
      </c>
      <c r="AC51" s="216">
        <f>R51/Constants!$C$18</f>
        <v>3.3861000592567511E-2</v>
      </c>
      <c r="AD51" s="216">
        <f>S51/Constants!$C$3</f>
        <v>20.328059950041631</v>
      </c>
      <c r="AE51" s="216">
        <f>T51/Constants!$C$4</f>
        <v>0.14781317494600432</v>
      </c>
      <c r="AF51" s="216">
        <f>U51/Constants!$C$5</f>
        <v>8.4553399160140735E-2</v>
      </c>
      <c r="AG51" s="216">
        <f>V51/Constants!$C$6</f>
        <v>6.6643967767563277</v>
      </c>
      <c r="AH51" s="216">
        <f>W51/Constants!$C$7</f>
        <v>0.11113286987173211</v>
      </c>
      <c r="AI51" s="216">
        <f>X51/Constants!$C$8</f>
        <v>8.4695975717223149E-2</v>
      </c>
      <c r="AJ51" s="216">
        <f>Y51/Constants!$C$10</f>
        <v>0.39557506887052341</v>
      </c>
      <c r="AK51" s="199">
        <f>Z51*Constants!$D$12</f>
        <v>0</v>
      </c>
      <c r="AL51" s="199">
        <f>AA51*Constants!$D$11</f>
        <v>2.323150191659891E-3</v>
      </c>
      <c r="AM51" s="199">
        <f>AB51*Constants!$D$13</f>
        <v>7.8263765541740665E-2</v>
      </c>
      <c r="AN51" s="199">
        <f>AC51*Constants!$D$18</f>
        <v>0.16930500296283757</v>
      </c>
      <c r="AO51" s="199">
        <f>AD51*Constants!$D$3</f>
        <v>40.656119900083262</v>
      </c>
      <c r="AP51" s="199">
        <f>AE51*Constants!$D$4</f>
        <v>0.44343952483801297</v>
      </c>
      <c r="AQ51" s="199">
        <f>AF51*Constants!$D$5</f>
        <v>0.33821359664056294</v>
      </c>
      <c r="AR51" s="199">
        <f>AG51*Constants!$D$6</f>
        <v>26.657587107025311</v>
      </c>
      <c r="AS51" s="199">
        <f>AH51*Constants!$D$7</f>
        <v>0.5556643493586606</v>
      </c>
      <c r="AT51" s="199">
        <f>AI51*Constants!$D$8</f>
        <v>0.42347987858611574</v>
      </c>
      <c r="AU51" s="199">
        <f>AJ51*Constants!$D$10</f>
        <v>2.3734504132231402</v>
      </c>
      <c r="AV51" s="199">
        <f>Z51*Constants!$E$12</f>
        <v>0</v>
      </c>
      <c r="AW51" s="199">
        <f>AA51*Constants!$E$11</f>
        <v>1.045417586246951E-2</v>
      </c>
      <c r="AX51" s="199">
        <f>AB51*Constants!$E$13</f>
        <v>0.31305506216696266</v>
      </c>
      <c r="AY51" s="199">
        <f>AC51*Constants!$E$18</f>
        <v>0.81266401422162027</v>
      </c>
      <c r="AZ51" s="199">
        <f>AD51*Constants!$E$3</f>
        <v>162.62447960033305</v>
      </c>
      <c r="BA51" s="199">
        <f>AE51*Constants!$E$4</f>
        <v>2.0693844492440605</v>
      </c>
      <c r="BB51" s="199">
        <f>AF51*Constants!$E$5</f>
        <v>1.6910679832028146</v>
      </c>
      <c r="BC51" s="199">
        <f>AG51*Constants!$E$6</f>
        <v>133.28793553512656</v>
      </c>
      <c r="BD51" s="199">
        <f>AH51*Constants!$E$7</f>
        <v>2.8894546166650348</v>
      </c>
      <c r="BE51" s="199">
        <f>AI51*Constants!$E$8</f>
        <v>2.202095368647802</v>
      </c>
      <c r="BF51" s="199">
        <f>AJ51*Constants!$E$10</f>
        <v>12.658402203856749</v>
      </c>
    </row>
    <row r="52" spans="1:58">
      <c r="A52" s="199">
        <f>'Influent Concentration'!A52</f>
        <v>103.72847222222481</v>
      </c>
      <c r="B52" s="201">
        <v>5</v>
      </c>
      <c r="C52" s="201" t="s">
        <v>202</v>
      </c>
      <c r="D52" s="201">
        <v>0.01</v>
      </c>
      <c r="E52" s="201">
        <v>0.43</v>
      </c>
      <c r="F52" s="201">
        <v>0.79</v>
      </c>
      <c r="G52" s="201">
        <v>5</v>
      </c>
      <c r="H52" s="201">
        <v>237.35</v>
      </c>
      <c r="I52" s="201">
        <v>2.34</v>
      </c>
      <c r="J52" s="201">
        <v>1.57</v>
      </c>
      <c r="K52" s="201">
        <v>117.08</v>
      </c>
      <c r="L52" s="201">
        <v>2.25</v>
      </c>
      <c r="M52" s="200">
        <v>1.71</v>
      </c>
      <c r="N52" s="201">
        <v>6.52</v>
      </c>
      <c r="O52" s="200">
        <f t="shared" si="0"/>
        <v>0</v>
      </c>
      <c r="P52" s="200">
        <f t="shared" si="1"/>
        <v>0.05</v>
      </c>
      <c r="Q52" s="200">
        <f t="shared" si="2"/>
        <v>2.15</v>
      </c>
      <c r="R52" s="200">
        <f t="shared" si="3"/>
        <v>3.95</v>
      </c>
      <c r="S52" s="200">
        <f t="shared" si="10"/>
        <v>1186.75</v>
      </c>
      <c r="T52" s="200">
        <f t="shared" si="4"/>
        <v>11.7</v>
      </c>
      <c r="U52" s="200">
        <f t="shared" si="5"/>
        <v>7.8500000000000005</v>
      </c>
      <c r="V52" s="200">
        <f t="shared" si="6"/>
        <v>585.4</v>
      </c>
      <c r="W52" s="200">
        <f t="shared" si="7"/>
        <v>11.25</v>
      </c>
      <c r="X52" s="200">
        <f t="shared" si="8"/>
        <v>8.5500000000000007</v>
      </c>
      <c r="Y52" s="200">
        <f t="shared" si="9"/>
        <v>32.599999999999994</v>
      </c>
      <c r="Z52" s="216">
        <f>O52/Constants!$C$12</f>
        <v>0</v>
      </c>
      <c r="AA52" s="216">
        <f>P52/Constants!$C$11</f>
        <v>5.8078754791497276E-4</v>
      </c>
      <c r="AB52" s="216">
        <f>Q52/Constants!$C$13</f>
        <v>2.3867673179396091E-2</v>
      </c>
      <c r="AC52" s="216">
        <f>R52/Constants!$C$18</f>
        <v>3.3437738085160422E-2</v>
      </c>
      <c r="AD52" s="216">
        <f>S52/Constants!$C$3</f>
        <v>19.762697751873439</v>
      </c>
      <c r="AE52" s="216">
        <f>T52/Constants!$C$4</f>
        <v>0.15793736501079914</v>
      </c>
      <c r="AF52" s="216">
        <f>U52/Constants!$C$5</f>
        <v>8.9093178980819435E-2</v>
      </c>
      <c r="AG52" s="216">
        <f>V52/Constants!$C$6</f>
        <v>6.6439677675632733</v>
      </c>
      <c r="AH52" s="216">
        <f>W52/Constants!$C$7</f>
        <v>0.11015372564378734</v>
      </c>
      <c r="AI52" s="216">
        <f>X52/Constants!$C$8</f>
        <v>8.3716831489278387E-2</v>
      </c>
      <c r="AJ52" s="216">
        <f>Y52/Constants!$C$10</f>
        <v>0.28064738292011016</v>
      </c>
      <c r="AK52" s="199">
        <f>Z52*Constants!$D$12</f>
        <v>0</v>
      </c>
      <c r="AL52" s="199">
        <f>AA52*Constants!$D$11</f>
        <v>2.323150191659891E-3</v>
      </c>
      <c r="AM52" s="199">
        <f>AB52*Constants!$D$13</f>
        <v>7.1603019538188276E-2</v>
      </c>
      <c r="AN52" s="199">
        <f>AC52*Constants!$D$18</f>
        <v>0.16718869042580212</v>
      </c>
      <c r="AO52" s="199">
        <f>AD52*Constants!$D$3</f>
        <v>39.525395503746878</v>
      </c>
      <c r="AP52" s="199">
        <f>AE52*Constants!$D$4</f>
        <v>0.47381209503239741</v>
      </c>
      <c r="AQ52" s="199">
        <f>AF52*Constants!$D$5</f>
        <v>0.35637271592327774</v>
      </c>
      <c r="AR52" s="199">
        <f>AG52*Constants!$D$6</f>
        <v>26.575871070253093</v>
      </c>
      <c r="AS52" s="199">
        <f>AH52*Constants!$D$7</f>
        <v>0.55076862821893668</v>
      </c>
      <c r="AT52" s="199">
        <f>AI52*Constants!$D$8</f>
        <v>0.41858415744639194</v>
      </c>
      <c r="AU52" s="199">
        <f>AJ52*Constants!$D$10</f>
        <v>1.6838842975206609</v>
      </c>
      <c r="AV52" s="199">
        <f>Z52*Constants!$E$12</f>
        <v>0</v>
      </c>
      <c r="AW52" s="199">
        <f>AA52*Constants!$E$11</f>
        <v>1.045417586246951E-2</v>
      </c>
      <c r="AX52" s="199">
        <f>AB52*Constants!$E$13</f>
        <v>0.2864120781527531</v>
      </c>
      <c r="AY52" s="199">
        <f>AC52*Constants!$E$18</f>
        <v>0.80250571404385007</v>
      </c>
      <c r="AZ52" s="199">
        <f>AD52*Constants!$E$3</f>
        <v>158.10158201498751</v>
      </c>
      <c r="BA52" s="199">
        <f>AE52*Constants!$E$4</f>
        <v>2.2111231101511879</v>
      </c>
      <c r="BB52" s="199">
        <f>AF52*Constants!$E$5</f>
        <v>1.7818635796163886</v>
      </c>
      <c r="BC52" s="199">
        <f>AG52*Constants!$E$6</f>
        <v>132.87935535126547</v>
      </c>
      <c r="BD52" s="199">
        <f>AH52*Constants!$E$7</f>
        <v>2.8639968667384705</v>
      </c>
      <c r="BE52" s="199">
        <f>AI52*Constants!$E$8</f>
        <v>2.1766376187212382</v>
      </c>
      <c r="BF52" s="199">
        <f>AJ52*Constants!$E$10</f>
        <v>8.980716253443525</v>
      </c>
    </row>
    <row r="53" spans="1:58">
      <c r="A53" s="199">
        <f>'Influent Concentration'!A53</f>
        <v>105.74375000000146</v>
      </c>
      <c r="B53" s="201">
        <v>5</v>
      </c>
      <c r="C53" s="201" t="s">
        <v>202</v>
      </c>
      <c r="D53" s="201">
        <v>0.01</v>
      </c>
      <c r="E53" s="201" t="s">
        <v>202</v>
      </c>
      <c r="F53" s="201" t="s">
        <v>202</v>
      </c>
      <c r="G53" s="201">
        <v>5</v>
      </c>
      <c r="H53" s="201">
        <v>242.55</v>
      </c>
      <c r="I53" s="201">
        <v>2.81</v>
      </c>
      <c r="J53" s="201">
        <v>1.55</v>
      </c>
      <c r="K53" s="201">
        <v>122.79</v>
      </c>
      <c r="L53" s="201">
        <v>2.0699999999999998</v>
      </c>
      <c r="M53" s="200">
        <v>1.92</v>
      </c>
      <c r="N53" s="201">
        <v>4.8099999999999996</v>
      </c>
      <c r="O53" s="200">
        <f t="shared" si="0"/>
        <v>0</v>
      </c>
      <c r="P53" s="200">
        <f t="shared" si="1"/>
        <v>0.05</v>
      </c>
      <c r="Q53" s="200">
        <f t="shared" si="2"/>
        <v>0</v>
      </c>
      <c r="R53" s="200">
        <f t="shared" si="3"/>
        <v>0</v>
      </c>
      <c r="S53" s="200">
        <f t="shared" si="10"/>
        <v>1212.75</v>
      </c>
      <c r="T53" s="200">
        <f t="shared" si="4"/>
        <v>14.05</v>
      </c>
      <c r="U53" s="200">
        <f t="shared" si="5"/>
        <v>7.75</v>
      </c>
      <c r="V53" s="200">
        <f t="shared" si="6"/>
        <v>613.95000000000005</v>
      </c>
      <c r="W53" s="200">
        <f t="shared" si="7"/>
        <v>10.35</v>
      </c>
      <c r="X53" s="200">
        <f t="shared" si="8"/>
        <v>9.6</v>
      </c>
      <c r="Y53" s="200">
        <f t="shared" si="9"/>
        <v>24.049999999999997</v>
      </c>
      <c r="Z53" s="216">
        <f>O53/Constants!$C$12</f>
        <v>0</v>
      </c>
      <c r="AA53" s="216">
        <f>P53/Constants!$C$11</f>
        <v>5.8078754791497276E-4</v>
      </c>
      <c r="AB53" s="216">
        <f>Q53/Constants!$C$13</f>
        <v>0</v>
      </c>
      <c r="AC53" s="216">
        <f>R53/Constants!$C$18</f>
        <v>0</v>
      </c>
      <c r="AD53" s="216">
        <f>S53/Constants!$C$3</f>
        <v>20.195670274771025</v>
      </c>
      <c r="AE53" s="216">
        <f>T53/Constants!$C$4</f>
        <v>0.18965982721382291</v>
      </c>
      <c r="AF53" s="216">
        <f>U53/Constants!$C$5</f>
        <v>8.7958234025649756E-2</v>
      </c>
      <c r="AG53" s="216">
        <f>V53/Constants!$C$6</f>
        <v>6.9679945522642157</v>
      </c>
      <c r="AH53" s="216">
        <f>W53/Constants!$C$7</f>
        <v>0.10134142759228434</v>
      </c>
      <c r="AI53" s="216">
        <f>X53/Constants!$C$8</f>
        <v>9.3997845882698522E-2</v>
      </c>
      <c r="AJ53" s="216">
        <f>Y53/Constants!$C$10</f>
        <v>0.20704201101928374</v>
      </c>
      <c r="AK53" s="199">
        <f>Z53*Constants!$D$12</f>
        <v>0</v>
      </c>
      <c r="AL53" s="199">
        <f>AA53*Constants!$D$11</f>
        <v>2.323150191659891E-3</v>
      </c>
      <c r="AM53" s="199">
        <f>AB53*Constants!$D$13</f>
        <v>0</v>
      </c>
      <c r="AN53" s="199">
        <f>AC53*Constants!$D$18</f>
        <v>0</v>
      </c>
      <c r="AO53" s="199">
        <f>AD53*Constants!$D$3</f>
        <v>40.391340549542051</v>
      </c>
      <c r="AP53" s="199">
        <f>AE53*Constants!$D$4</f>
        <v>0.56897948164146872</v>
      </c>
      <c r="AQ53" s="199">
        <f>AF53*Constants!$D$5</f>
        <v>0.35183293610259903</v>
      </c>
      <c r="AR53" s="199">
        <f>AG53*Constants!$D$6</f>
        <v>27.871978209056863</v>
      </c>
      <c r="AS53" s="199">
        <f>AH53*Constants!$D$7</f>
        <v>0.50670713796142175</v>
      </c>
      <c r="AT53" s="199">
        <f>AI53*Constants!$D$8</f>
        <v>0.46998922941349264</v>
      </c>
      <c r="AU53" s="199">
        <f>AJ53*Constants!$D$10</f>
        <v>1.2422520661157024</v>
      </c>
      <c r="AV53" s="199">
        <f>Z53*Constants!$E$12</f>
        <v>0</v>
      </c>
      <c r="AW53" s="199">
        <f>AA53*Constants!$E$11</f>
        <v>1.045417586246951E-2</v>
      </c>
      <c r="AX53" s="199">
        <f>AB53*Constants!$E$13</f>
        <v>0</v>
      </c>
      <c r="AY53" s="199">
        <f>AC53*Constants!$E$18</f>
        <v>0</v>
      </c>
      <c r="AZ53" s="199">
        <f>AD53*Constants!$E$3</f>
        <v>161.5653621981682</v>
      </c>
      <c r="BA53" s="199">
        <f>AE53*Constants!$E$4</f>
        <v>2.6552375809935205</v>
      </c>
      <c r="BB53" s="199">
        <f>AF53*Constants!$E$5</f>
        <v>1.759164680512995</v>
      </c>
      <c r="BC53" s="199">
        <f>AG53*Constants!$E$6</f>
        <v>139.35989104528431</v>
      </c>
      <c r="BD53" s="199">
        <f>AH53*Constants!$E$7</f>
        <v>2.6348771173993928</v>
      </c>
      <c r="BE53" s="199">
        <f>AI53*Constants!$E$8</f>
        <v>2.4439439929501616</v>
      </c>
      <c r="BF53" s="199">
        <f>AJ53*Constants!$E$10</f>
        <v>6.6253443526170797</v>
      </c>
    </row>
    <row r="54" spans="1:58">
      <c r="A54" s="199">
        <f>'Influent Concentration'!A54</f>
        <v>108.73541666667006</v>
      </c>
      <c r="B54" s="201">
        <v>5</v>
      </c>
      <c r="C54" s="201" t="s">
        <v>202</v>
      </c>
      <c r="D54" s="201">
        <v>0.02</v>
      </c>
      <c r="E54" s="201" t="s">
        <v>202</v>
      </c>
      <c r="F54" s="201" t="s">
        <v>202</v>
      </c>
      <c r="G54" s="201">
        <v>5</v>
      </c>
      <c r="H54" s="201">
        <v>246.51</v>
      </c>
      <c r="I54" s="201">
        <v>2.8</v>
      </c>
      <c r="J54" s="201">
        <v>1.46</v>
      </c>
      <c r="K54" s="201">
        <v>127.86</v>
      </c>
      <c r="L54" s="201">
        <v>1.92</v>
      </c>
      <c r="M54" s="200">
        <v>1.86</v>
      </c>
      <c r="N54" s="201">
        <v>3.2</v>
      </c>
      <c r="O54" s="200">
        <f t="shared" si="0"/>
        <v>0</v>
      </c>
      <c r="P54" s="200">
        <f t="shared" si="1"/>
        <v>0.1</v>
      </c>
      <c r="Q54" s="200">
        <f t="shared" si="2"/>
        <v>0</v>
      </c>
      <c r="R54" s="200">
        <f t="shared" si="3"/>
        <v>0</v>
      </c>
      <c r="S54" s="200">
        <f t="shared" si="10"/>
        <v>1232.55</v>
      </c>
      <c r="T54" s="200">
        <f t="shared" si="4"/>
        <v>14</v>
      </c>
      <c r="U54" s="200">
        <f t="shared" si="5"/>
        <v>7.3</v>
      </c>
      <c r="V54" s="200">
        <f t="shared" si="6"/>
        <v>639.29999999999995</v>
      </c>
      <c r="W54" s="200">
        <f t="shared" si="7"/>
        <v>9.6</v>
      </c>
      <c r="X54" s="200">
        <f t="shared" si="8"/>
        <v>9.3000000000000007</v>
      </c>
      <c r="Y54" s="200">
        <f t="shared" si="9"/>
        <v>16</v>
      </c>
      <c r="Z54" s="216">
        <f>O54/Constants!$C$12</f>
        <v>0</v>
      </c>
      <c r="AA54" s="216">
        <f>P54/Constants!$C$11</f>
        <v>1.1615750958299455E-3</v>
      </c>
      <c r="AB54" s="216">
        <f>Q54/Constants!$C$13</f>
        <v>0</v>
      </c>
      <c r="AC54" s="216">
        <f>R54/Constants!$C$18</f>
        <v>0</v>
      </c>
      <c r="AD54" s="216">
        <f>S54/Constants!$C$3</f>
        <v>20.525395503746878</v>
      </c>
      <c r="AE54" s="216">
        <f>T54/Constants!$C$4</f>
        <v>0.18898488120950324</v>
      </c>
      <c r="AF54" s="216">
        <f>U54/Constants!$C$5</f>
        <v>8.2850981727386225E-2</v>
      </c>
      <c r="AG54" s="216">
        <f>V54/Constants!$C$6</f>
        <v>7.255703098399727</v>
      </c>
      <c r="AH54" s="216">
        <f>W54/Constants!$C$7</f>
        <v>9.3997845882698522E-2</v>
      </c>
      <c r="AI54" s="216">
        <f>X54/Constants!$C$8</f>
        <v>9.106041319886421E-2</v>
      </c>
      <c r="AJ54" s="216">
        <f>Y54/Constants!$C$10</f>
        <v>0.13774104683195593</v>
      </c>
      <c r="AK54" s="199">
        <f>Z54*Constants!$D$12</f>
        <v>0</v>
      </c>
      <c r="AL54" s="199">
        <f>AA54*Constants!$D$11</f>
        <v>4.6463003833197821E-3</v>
      </c>
      <c r="AM54" s="199">
        <f>AB54*Constants!$D$13</f>
        <v>0</v>
      </c>
      <c r="AN54" s="199">
        <f>AC54*Constants!$D$18</f>
        <v>0</v>
      </c>
      <c r="AO54" s="199">
        <f>AD54*Constants!$D$3</f>
        <v>41.050791007493757</v>
      </c>
      <c r="AP54" s="199">
        <f>AE54*Constants!$D$4</f>
        <v>0.56695464362850978</v>
      </c>
      <c r="AQ54" s="199">
        <f>AF54*Constants!$D$5</f>
        <v>0.3314039269095449</v>
      </c>
      <c r="AR54" s="199">
        <f>AG54*Constants!$D$6</f>
        <v>29.022812393598908</v>
      </c>
      <c r="AS54" s="199">
        <f>AH54*Constants!$D$7</f>
        <v>0.46998922941349264</v>
      </c>
      <c r="AT54" s="199">
        <f>AI54*Constants!$D$8</f>
        <v>0.45530206599432105</v>
      </c>
      <c r="AU54" s="199">
        <f>AJ54*Constants!$D$10</f>
        <v>0.82644628099173556</v>
      </c>
      <c r="AV54" s="199">
        <f>Z54*Constants!$E$12</f>
        <v>0</v>
      </c>
      <c r="AW54" s="199">
        <f>AA54*Constants!$E$11</f>
        <v>2.0908351724939021E-2</v>
      </c>
      <c r="AX54" s="199">
        <f>AB54*Constants!$E$13</f>
        <v>0</v>
      </c>
      <c r="AY54" s="199">
        <f>AC54*Constants!$E$18</f>
        <v>0</v>
      </c>
      <c r="AZ54" s="199">
        <f>AD54*Constants!$E$3</f>
        <v>164.20316402997503</v>
      </c>
      <c r="BA54" s="199">
        <f>AE54*Constants!$E$4</f>
        <v>2.6457883369330455</v>
      </c>
      <c r="BB54" s="199">
        <f>AF54*Constants!$E$5</f>
        <v>1.6570196345477246</v>
      </c>
      <c r="BC54" s="199">
        <f>AG54*Constants!$E$6</f>
        <v>145.11406196799453</v>
      </c>
      <c r="BD54" s="199">
        <f>AH54*Constants!$E$7</f>
        <v>2.4439439929501616</v>
      </c>
      <c r="BE54" s="199">
        <f>AI54*Constants!$E$8</f>
        <v>2.3675707431704693</v>
      </c>
      <c r="BF54" s="199">
        <f>AJ54*Constants!$E$10</f>
        <v>4.4077134986225897</v>
      </c>
    </row>
    <row r="55" spans="1:58">
      <c r="A55" s="199">
        <f>'Influent Concentration'!A55</f>
        <v>110.75069444444671</v>
      </c>
      <c r="B55" s="201">
        <v>5</v>
      </c>
      <c r="C55" s="201" t="s">
        <v>202</v>
      </c>
      <c r="D55" s="201">
        <v>0.01</v>
      </c>
      <c r="E55" s="201" t="s">
        <v>202</v>
      </c>
      <c r="F55" s="201" t="s">
        <v>202</v>
      </c>
      <c r="G55" s="201">
        <v>5</v>
      </c>
      <c r="H55" s="201">
        <v>252.85</v>
      </c>
      <c r="I55" s="201">
        <v>2.5299999999999998</v>
      </c>
      <c r="J55" s="201">
        <v>1.48</v>
      </c>
      <c r="K55" s="201">
        <v>131.25</v>
      </c>
      <c r="L55" s="201">
        <v>1.77</v>
      </c>
      <c r="M55" s="200">
        <v>1.8</v>
      </c>
      <c r="N55" s="201">
        <v>2.56</v>
      </c>
      <c r="O55" s="200">
        <f t="shared" si="0"/>
        <v>0</v>
      </c>
      <c r="P55" s="200">
        <f t="shared" si="1"/>
        <v>0.05</v>
      </c>
      <c r="Q55" s="200">
        <f t="shared" si="2"/>
        <v>0</v>
      </c>
      <c r="R55" s="200">
        <f t="shared" si="3"/>
        <v>0</v>
      </c>
      <c r="S55" s="200">
        <f t="shared" si="10"/>
        <v>1264.25</v>
      </c>
      <c r="T55" s="200">
        <f t="shared" si="4"/>
        <v>12.649999999999999</v>
      </c>
      <c r="U55" s="200">
        <f t="shared" si="5"/>
        <v>7.4</v>
      </c>
      <c r="V55" s="200">
        <f t="shared" si="6"/>
        <v>656.25</v>
      </c>
      <c r="W55" s="200">
        <f t="shared" si="7"/>
        <v>8.85</v>
      </c>
      <c r="X55" s="200">
        <f t="shared" si="8"/>
        <v>9</v>
      </c>
      <c r="Y55" s="200">
        <f t="shared" si="9"/>
        <v>12.8</v>
      </c>
      <c r="Z55" s="216">
        <f>O55/Constants!$C$12</f>
        <v>0</v>
      </c>
      <c r="AA55" s="216">
        <f>P55/Constants!$C$11</f>
        <v>5.8078754791497276E-4</v>
      </c>
      <c r="AB55" s="216">
        <f>Q55/Constants!$C$13</f>
        <v>0</v>
      </c>
      <c r="AC55" s="216">
        <f>R55/Constants!$C$18</f>
        <v>0</v>
      </c>
      <c r="AD55" s="216">
        <f>S55/Constants!$C$3</f>
        <v>21.053288925895089</v>
      </c>
      <c r="AE55" s="216">
        <f>T55/Constants!$C$4</f>
        <v>0.17076133909287255</v>
      </c>
      <c r="AF55" s="216">
        <f>U55/Constants!$C$5</f>
        <v>8.3985926682555903E-2</v>
      </c>
      <c r="AG55" s="216">
        <f>V55/Constants!$C$6</f>
        <v>7.4480762683009871</v>
      </c>
      <c r="AH55" s="216">
        <f>W55/Constants!$C$7</f>
        <v>8.6654264173112699E-2</v>
      </c>
      <c r="AI55" s="216">
        <f>X55/Constants!$C$8</f>
        <v>8.812298051502987E-2</v>
      </c>
      <c r="AJ55" s="216">
        <f>Y55/Constants!$C$10</f>
        <v>0.11019283746556474</v>
      </c>
      <c r="AK55" s="199">
        <f>Z55*Constants!$D$12</f>
        <v>0</v>
      </c>
      <c r="AL55" s="199">
        <f>AA55*Constants!$D$11</f>
        <v>2.323150191659891E-3</v>
      </c>
      <c r="AM55" s="199">
        <f>AB55*Constants!$D$13</f>
        <v>0</v>
      </c>
      <c r="AN55" s="199">
        <f>AC55*Constants!$D$18</f>
        <v>0</v>
      </c>
      <c r="AO55" s="199">
        <f>AD55*Constants!$D$3</f>
        <v>42.106577851790178</v>
      </c>
      <c r="AP55" s="199">
        <f>AE55*Constants!$D$4</f>
        <v>0.51228401727861761</v>
      </c>
      <c r="AQ55" s="199">
        <f>AF55*Constants!$D$5</f>
        <v>0.33594370673022361</v>
      </c>
      <c r="AR55" s="199">
        <f>AG55*Constants!$D$6</f>
        <v>29.792305073203948</v>
      </c>
      <c r="AS55" s="199">
        <f>AH55*Constants!$D$7</f>
        <v>0.43327132086556353</v>
      </c>
      <c r="AT55" s="199">
        <f>AI55*Constants!$D$8</f>
        <v>0.44061490257514935</v>
      </c>
      <c r="AU55" s="199">
        <f>AJ55*Constants!$D$10</f>
        <v>0.66115702479338845</v>
      </c>
      <c r="AV55" s="199">
        <f>Z55*Constants!$E$12</f>
        <v>0</v>
      </c>
      <c r="AW55" s="199">
        <f>AA55*Constants!$E$11</f>
        <v>1.045417586246951E-2</v>
      </c>
      <c r="AX55" s="199">
        <f>AB55*Constants!$E$13</f>
        <v>0</v>
      </c>
      <c r="AY55" s="199">
        <f>AC55*Constants!$E$18</f>
        <v>0</v>
      </c>
      <c r="AZ55" s="199">
        <f>AD55*Constants!$E$3</f>
        <v>168.42631140716071</v>
      </c>
      <c r="BA55" s="199">
        <f>AE55*Constants!$E$4</f>
        <v>2.3906587473002157</v>
      </c>
      <c r="BB55" s="199">
        <f>AF55*Constants!$E$5</f>
        <v>1.679718533651118</v>
      </c>
      <c r="BC55" s="199">
        <f>AG55*Constants!$E$6</f>
        <v>148.96152536601974</v>
      </c>
      <c r="BD55" s="199">
        <f>AH55*Constants!$E$7</f>
        <v>2.25301086850093</v>
      </c>
      <c r="BE55" s="199">
        <f>AI55*Constants!$E$8</f>
        <v>2.2911974933907766</v>
      </c>
      <c r="BF55" s="199">
        <f>AJ55*Constants!$E$10</f>
        <v>3.5261707988980717</v>
      </c>
    </row>
    <row r="56" spans="1:58">
      <c r="A56" s="199">
        <f>'Influent Concentration'!A56</f>
        <v>112.74791666666715</v>
      </c>
      <c r="B56" s="201">
        <v>5</v>
      </c>
      <c r="C56" s="201" t="s">
        <v>202</v>
      </c>
      <c r="D56" s="201">
        <v>0.01</v>
      </c>
      <c r="E56" s="201" t="s">
        <v>202</v>
      </c>
      <c r="F56" s="201" t="s">
        <v>202</v>
      </c>
      <c r="G56" s="201">
        <v>5</v>
      </c>
      <c r="H56" s="201">
        <v>226.4</v>
      </c>
      <c r="I56" s="201">
        <v>1.22</v>
      </c>
      <c r="J56" s="201">
        <v>1.42</v>
      </c>
      <c r="K56" s="201">
        <v>113.32</v>
      </c>
      <c r="L56" s="201">
        <v>1.56</v>
      </c>
      <c r="M56" s="200">
        <v>1.66</v>
      </c>
      <c r="N56" s="201">
        <v>1.62</v>
      </c>
      <c r="O56" s="200">
        <f t="shared" si="0"/>
        <v>0</v>
      </c>
      <c r="P56" s="200">
        <f t="shared" si="1"/>
        <v>0.05</v>
      </c>
      <c r="Q56" s="200">
        <f t="shared" si="2"/>
        <v>0</v>
      </c>
      <c r="R56" s="200">
        <f t="shared" si="3"/>
        <v>0</v>
      </c>
      <c r="S56" s="200">
        <f t="shared" si="10"/>
        <v>1132</v>
      </c>
      <c r="T56" s="200">
        <f t="shared" si="4"/>
        <v>6.1</v>
      </c>
      <c r="U56" s="200">
        <f t="shared" si="5"/>
        <v>7.1</v>
      </c>
      <c r="V56" s="200">
        <f t="shared" si="6"/>
        <v>566.59999999999991</v>
      </c>
      <c r="W56" s="200">
        <f t="shared" si="7"/>
        <v>7.8000000000000007</v>
      </c>
      <c r="X56" s="200">
        <f t="shared" si="8"/>
        <v>8.2999999999999989</v>
      </c>
      <c r="Y56" s="200">
        <f t="shared" si="9"/>
        <v>8.1000000000000014</v>
      </c>
      <c r="Z56" s="216">
        <f>O56/Constants!$C$12</f>
        <v>0</v>
      </c>
      <c r="AA56" s="216">
        <f>P56/Constants!$C$11</f>
        <v>5.8078754791497276E-4</v>
      </c>
      <c r="AB56" s="216">
        <f>Q56/Constants!$C$13</f>
        <v>0</v>
      </c>
      <c r="AC56" s="216">
        <f>R56/Constants!$C$18</f>
        <v>0</v>
      </c>
      <c r="AD56" s="216">
        <f>S56/Constants!$C$3</f>
        <v>18.850957535387177</v>
      </c>
      <c r="AE56" s="216">
        <f>T56/Constants!$C$4</f>
        <v>8.2343412526997839E-2</v>
      </c>
      <c r="AF56" s="216">
        <f>U56/Constants!$C$5</f>
        <v>8.0581091817046868E-2</v>
      </c>
      <c r="AG56" s="216">
        <f>V56/Constants!$C$6</f>
        <v>6.4305981159913737</v>
      </c>
      <c r="AH56" s="216">
        <f>W56/Constants!$C$7</f>
        <v>7.6373249779692565E-2</v>
      </c>
      <c r="AI56" s="216">
        <f>X56/Constants!$C$8</f>
        <v>8.1268970919416428E-2</v>
      </c>
      <c r="AJ56" s="216">
        <f>Y56/Constants!$C$10</f>
        <v>6.9731404958677703E-2</v>
      </c>
      <c r="AK56" s="199">
        <f>Z56*Constants!$D$12</f>
        <v>0</v>
      </c>
      <c r="AL56" s="199">
        <f>AA56*Constants!$D$11</f>
        <v>2.323150191659891E-3</v>
      </c>
      <c r="AM56" s="199">
        <f>AB56*Constants!$D$13</f>
        <v>0</v>
      </c>
      <c r="AN56" s="199">
        <f>AC56*Constants!$D$18</f>
        <v>0</v>
      </c>
      <c r="AO56" s="199">
        <f>AD56*Constants!$D$3</f>
        <v>37.701915070774355</v>
      </c>
      <c r="AP56" s="199">
        <f>AE56*Constants!$D$4</f>
        <v>0.24703023758099352</v>
      </c>
      <c r="AQ56" s="199">
        <f>AF56*Constants!$D$5</f>
        <v>0.32232436726818747</v>
      </c>
      <c r="AR56" s="199">
        <f>AG56*Constants!$D$6</f>
        <v>25.722392463965495</v>
      </c>
      <c r="AS56" s="199">
        <f>AH56*Constants!$D$7</f>
        <v>0.38186624889846282</v>
      </c>
      <c r="AT56" s="199">
        <f>AI56*Constants!$D$8</f>
        <v>0.40634485459708214</v>
      </c>
      <c r="AU56" s="199">
        <f>AJ56*Constants!$D$10</f>
        <v>0.41838842975206625</v>
      </c>
      <c r="AV56" s="199">
        <f>Z56*Constants!$E$12</f>
        <v>0</v>
      </c>
      <c r="AW56" s="199">
        <f>AA56*Constants!$E$11</f>
        <v>1.045417586246951E-2</v>
      </c>
      <c r="AX56" s="199">
        <f>AB56*Constants!$E$13</f>
        <v>0</v>
      </c>
      <c r="AY56" s="199">
        <f>AC56*Constants!$E$18</f>
        <v>0</v>
      </c>
      <c r="AZ56" s="199">
        <f>AD56*Constants!$E$3</f>
        <v>150.80766028309742</v>
      </c>
      <c r="BA56" s="199">
        <f>AE56*Constants!$E$4</f>
        <v>1.1528077753779697</v>
      </c>
      <c r="BB56" s="199">
        <f>AF56*Constants!$E$5</f>
        <v>1.6116218363409374</v>
      </c>
      <c r="BC56" s="199">
        <f>AG56*Constants!$E$6</f>
        <v>128.61196231982748</v>
      </c>
      <c r="BD56" s="199">
        <f>AH56*Constants!$E$7</f>
        <v>1.9857044942720066</v>
      </c>
      <c r="BE56" s="199">
        <f>AI56*Constants!$E$8</f>
        <v>2.1129932439048273</v>
      </c>
      <c r="BF56" s="199">
        <f>AJ56*Constants!$E$10</f>
        <v>2.2314049586776865</v>
      </c>
    </row>
    <row r="57" spans="1:58">
      <c r="A57" s="199">
        <f>'Influent Concentration'!A57</f>
        <v>115.7229166666657</v>
      </c>
      <c r="B57" s="201">
        <v>5</v>
      </c>
      <c r="C57" s="201" t="s">
        <v>202</v>
      </c>
      <c r="D57" s="201">
        <v>0.01</v>
      </c>
      <c r="E57" s="201" t="s">
        <v>202</v>
      </c>
      <c r="F57" s="201" t="s">
        <v>202</v>
      </c>
      <c r="G57" s="201">
        <v>5</v>
      </c>
      <c r="H57" s="201">
        <v>208.69</v>
      </c>
      <c r="I57" s="201">
        <v>1.1000000000000001</v>
      </c>
      <c r="J57" s="201">
        <v>1.08</v>
      </c>
      <c r="K57" s="201">
        <v>91.5</v>
      </c>
      <c r="L57" s="201">
        <v>1.57</v>
      </c>
      <c r="M57" s="200">
        <v>1.31</v>
      </c>
      <c r="N57" s="201">
        <v>1.1599999999999999</v>
      </c>
      <c r="O57" s="200">
        <f t="shared" si="0"/>
        <v>0</v>
      </c>
      <c r="P57" s="200">
        <f t="shared" si="1"/>
        <v>0.05</v>
      </c>
      <c r="Q57" s="200">
        <f t="shared" si="2"/>
        <v>0</v>
      </c>
      <c r="R57" s="200">
        <f t="shared" si="3"/>
        <v>0</v>
      </c>
      <c r="S57" s="200">
        <f t="shared" si="10"/>
        <v>1043.45</v>
      </c>
      <c r="T57" s="200">
        <f t="shared" si="4"/>
        <v>5.5</v>
      </c>
      <c r="U57" s="200">
        <f t="shared" si="5"/>
        <v>5.4</v>
      </c>
      <c r="V57" s="200">
        <f t="shared" si="6"/>
        <v>457.5</v>
      </c>
      <c r="W57" s="200">
        <f t="shared" si="7"/>
        <v>7.8500000000000005</v>
      </c>
      <c r="X57" s="200">
        <f t="shared" si="8"/>
        <v>6.5500000000000007</v>
      </c>
      <c r="Y57" s="200">
        <f t="shared" si="9"/>
        <v>5.8</v>
      </c>
      <c r="Z57" s="216">
        <f>O57/Constants!$C$12</f>
        <v>0</v>
      </c>
      <c r="AA57" s="216">
        <f>P57/Constants!$C$11</f>
        <v>5.8078754791497276E-4</v>
      </c>
      <c r="AB57" s="216">
        <f>Q57/Constants!$C$13</f>
        <v>0</v>
      </c>
      <c r="AC57" s="216">
        <f>R57/Constants!$C$18</f>
        <v>0</v>
      </c>
      <c r="AD57" s="216">
        <f>S57/Constants!$C$3</f>
        <v>17.376353039134056</v>
      </c>
      <c r="AE57" s="216">
        <f>T57/Constants!$C$4</f>
        <v>7.4244060475161994E-2</v>
      </c>
      <c r="AF57" s="216">
        <f>U57/Constants!$C$5</f>
        <v>6.1287027579162413E-2</v>
      </c>
      <c r="AG57" s="216">
        <f>V57/Constants!$C$6</f>
        <v>5.1923731699012601</v>
      </c>
      <c r="AH57" s="216">
        <f>W57/Constants!$C$7</f>
        <v>7.6862821893664945E-2</v>
      </c>
      <c r="AI57" s="216">
        <f>X57/Constants!$C$8</f>
        <v>6.4133946930382851E-2</v>
      </c>
      <c r="AJ57" s="216">
        <f>Y57/Constants!$C$10</f>
        <v>4.993112947658402E-2</v>
      </c>
      <c r="AK57" s="199">
        <f>Z57*Constants!$D$12</f>
        <v>0</v>
      </c>
      <c r="AL57" s="199">
        <f>AA57*Constants!$D$11</f>
        <v>2.323150191659891E-3</v>
      </c>
      <c r="AM57" s="199">
        <f>AB57*Constants!$D$13</f>
        <v>0</v>
      </c>
      <c r="AN57" s="199">
        <f>AC57*Constants!$D$18</f>
        <v>0</v>
      </c>
      <c r="AO57" s="199">
        <f>AD57*Constants!$D$3</f>
        <v>34.752706078268112</v>
      </c>
      <c r="AP57" s="199">
        <f>AE57*Constants!$D$4</f>
        <v>0.22273218142548598</v>
      </c>
      <c r="AQ57" s="199">
        <f>AF57*Constants!$D$5</f>
        <v>0.24514811031664965</v>
      </c>
      <c r="AR57" s="199">
        <f>AG57*Constants!$D$6</f>
        <v>20.76949267960504</v>
      </c>
      <c r="AS57" s="199">
        <f>AH57*Constants!$D$7</f>
        <v>0.38431410946832473</v>
      </c>
      <c r="AT57" s="199">
        <f>AI57*Constants!$D$8</f>
        <v>0.32066973465191428</v>
      </c>
      <c r="AU57" s="199">
        <f>AJ57*Constants!$D$10</f>
        <v>0.29958677685950413</v>
      </c>
      <c r="AV57" s="199">
        <f>Z57*Constants!$E$12</f>
        <v>0</v>
      </c>
      <c r="AW57" s="199">
        <f>AA57*Constants!$E$11</f>
        <v>1.045417586246951E-2</v>
      </c>
      <c r="AX57" s="199">
        <f>AB57*Constants!$E$13</f>
        <v>0</v>
      </c>
      <c r="AY57" s="199">
        <f>AC57*Constants!$E$18</f>
        <v>0</v>
      </c>
      <c r="AZ57" s="199">
        <f>AD57*Constants!$E$3</f>
        <v>139.01082431307245</v>
      </c>
      <c r="BA57" s="199">
        <f>AE57*Constants!$E$4</f>
        <v>1.039416846652268</v>
      </c>
      <c r="BB57" s="199">
        <f>AF57*Constants!$E$5</f>
        <v>1.2257405515832482</v>
      </c>
      <c r="BC57" s="199">
        <f>AG57*Constants!$E$6</f>
        <v>103.8474633980252</v>
      </c>
      <c r="BD57" s="199">
        <f>AH57*Constants!$E$7</f>
        <v>1.9984333692352885</v>
      </c>
      <c r="BE57" s="199">
        <f>AI57*Constants!$E$8</f>
        <v>1.6674826201899542</v>
      </c>
      <c r="BF57" s="199">
        <f>AJ57*Constants!$E$10</f>
        <v>1.5977961432506886</v>
      </c>
    </row>
    <row r="58" spans="1:58">
      <c r="A58" s="199">
        <f>'Influent Concentration'!A58</f>
        <v>117.72152777777956</v>
      </c>
      <c r="B58" s="201">
        <v>5</v>
      </c>
      <c r="C58" s="201" t="s">
        <v>202</v>
      </c>
      <c r="D58" s="201">
        <v>0.01</v>
      </c>
      <c r="E58" s="201" t="s">
        <v>202</v>
      </c>
      <c r="F58" s="201">
        <v>0.77</v>
      </c>
      <c r="G58" s="201">
        <v>5</v>
      </c>
      <c r="H58" s="201">
        <v>208.37</v>
      </c>
      <c r="I58" s="201">
        <v>0.93</v>
      </c>
      <c r="J58" s="201">
        <v>1.06</v>
      </c>
      <c r="K58" s="201">
        <v>84.81</v>
      </c>
      <c r="L58" s="201">
        <v>1.3</v>
      </c>
      <c r="M58" s="200">
        <v>1.21</v>
      </c>
      <c r="N58" s="201">
        <v>1.1599999999999999</v>
      </c>
      <c r="O58" s="200">
        <f t="shared" si="0"/>
        <v>0</v>
      </c>
      <c r="P58" s="200">
        <f t="shared" si="1"/>
        <v>0.05</v>
      </c>
      <c r="Q58" s="200">
        <f t="shared" si="2"/>
        <v>0</v>
      </c>
      <c r="R58" s="200">
        <f t="shared" si="3"/>
        <v>3.85</v>
      </c>
      <c r="S58" s="200">
        <f t="shared" si="10"/>
        <v>1041.8499999999999</v>
      </c>
      <c r="T58" s="200">
        <f t="shared" si="4"/>
        <v>4.6500000000000004</v>
      </c>
      <c r="U58" s="200">
        <f t="shared" si="5"/>
        <v>5.3000000000000007</v>
      </c>
      <c r="V58" s="200">
        <f t="shared" si="6"/>
        <v>424.05</v>
      </c>
      <c r="W58" s="200">
        <f t="shared" si="7"/>
        <v>6.5</v>
      </c>
      <c r="X58" s="200">
        <f t="shared" si="8"/>
        <v>6.05</v>
      </c>
      <c r="Y58" s="200">
        <f t="shared" si="9"/>
        <v>5.8</v>
      </c>
      <c r="Z58" s="216">
        <f>O58/Constants!$C$12</f>
        <v>0</v>
      </c>
      <c r="AA58" s="216">
        <f>P58/Constants!$C$11</f>
        <v>5.8078754791497276E-4</v>
      </c>
      <c r="AB58" s="216">
        <f>Q58/Constants!$C$13</f>
        <v>0</v>
      </c>
      <c r="AC58" s="216">
        <f>R58/Constants!$C$18</f>
        <v>3.259121307034623E-2</v>
      </c>
      <c r="AD58" s="216">
        <f>S58/Constants!$C$3</f>
        <v>17.349708576186512</v>
      </c>
      <c r="AE58" s="216">
        <f>T58/Constants!$C$4</f>
        <v>6.2769978401727863E-2</v>
      </c>
      <c r="AF58" s="216">
        <f>U58/Constants!$C$5</f>
        <v>6.0152082623992742E-2</v>
      </c>
      <c r="AG58" s="216">
        <f>V58/Constants!$C$6</f>
        <v>4.8127340823970037</v>
      </c>
      <c r="AH58" s="216">
        <f>W58/Constants!$C$7</f>
        <v>6.3644374816410457E-2</v>
      </c>
      <c r="AI58" s="216">
        <f>X58/Constants!$C$8</f>
        <v>5.9238225790658967E-2</v>
      </c>
      <c r="AJ58" s="216">
        <f>Y58/Constants!$C$10</f>
        <v>4.993112947658402E-2</v>
      </c>
      <c r="AK58" s="199">
        <f>Z58*Constants!$D$12</f>
        <v>0</v>
      </c>
      <c r="AL58" s="199">
        <f>AA58*Constants!$D$11</f>
        <v>2.323150191659891E-3</v>
      </c>
      <c r="AM58" s="199">
        <f>AB58*Constants!$D$13</f>
        <v>0</v>
      </c>
      <c r="AN58" s="199">
        <f>AC58*Constants!$D$18</f>
        <v>0.16295606535173116</v>
      </c>
      <c r="AO58" s="199">
        <f>AD58*Constants!$D$3</f>
        <v>34.699417152373023</v>
      </c>
      <c r="AP58" s="199">
        <f>AE58*Constants!$D$4</f>
        <v>0.18830993520518358</v>
      </c>
      <c r="AQ58" s="199">
        <f>AF58*Constants!$D$5</f>
        <v>0.24060833049597097</v>
      </c>
      <c r="AR58" s="199">
        <f>AG58*Constants!$D$6</f>
        <v>19.250936329588015</v>
      </c>
      <c r="AS58" s="199">
        <f>AH58*Constants!$D$7</f>
        <v>0.31822187408205227</v>
      </c>
      <c r="AT58" s="199">
        <f>AI58*Constants!$D$8</f>
        <v>0.29619112895329486</v>
      </c>
      <c r="AU58" s="199">
        <f>AJ58*Constants!$D$10</f>
        <v>0.29958677685950413</v>
      </c>
      <c r="AV58" s="199">
        <f>Z58*Constants!$E$12</f>
        <v>0</v>
      </c>
      <c r="AW58" s="199">
        <f>AA58*Constants!$E$11</f>
        <v>1.045417586246951E-2</v>
      </c>
      <c r="AX58" s="199">
        <f>AB58*Constants!$E$13</f>
        <v>0</v>
      </c>
      <c r="AY58" s="199">
        <f>AC58*Constants!$E$18</f>
        <v>0.78218911368830946</v>
      </c>
      <c r="AZ58" s="199">
        <f>AD58*Constants!$E$3</f>
        <v>138.79766860949209</v>
      </c>
      <c r="BA58" s="199">
        <f>AE58*Constants!$E$4</f>
        <v>0.87877969762419006</v>
      </c>
      <c r="BB58" s="199">
        <f>AF58*Constants!$E$5</f>
        <v>1.2030416524798548</v>
      </c>
      <c r="BC58" s="199">
        <f>AG58*Constants!$E$6</f>
        <v>96.254681647940075</v>
      </c>
      <c r="BD58" s="199">
        <f>AH58*Constants!$E$7</f>
        <v>1.6547537452266718</v>
      </c>
      <c r="BE58" s="199">
        <f>AI58*Constants!$E$8</f>
        <v>1.5401938705571332</v>
      </c>
      <c r="BF58" s="199">
        <f>AJ58*Constants!$E$10</f>
        <v>1.5977961432506886</v>
      </c>
    </row>
    <row r="59" spans="1:58">
      <c r="A59" s="199">
        <f>'Influent Concentration'!A59</f>
        <v>119.69305555555911</v>
      </c>
      <c r="B59" s="201">
        <v>5</v>
      </c>
      <c r="C59" s="201" t="s">
        <v>202</v>
      </c>
      <c r="D59" s="201">
        <v>0.01</v>
      </c>
      <c r="E59" s="201" t="s">
        <v>202</v>
      </c>
      <c r="F59" s="201" t="s">
        <v>202</v>
      </c>
      <c r="G59" s="201">
        <v>5</v>
      </c>
      <c r="H59" s="201">
        <v>197.64</v>
      </c>
      <c r="I59" s="201">
        <v>0.91</v>
      </c>
      <c r="J59" s="201">
        <v>1</v>
      </c>
      <c r="K59" s="201">
        <v>77.040000000000006</v>
      </c>
      <c r="L59" s="201">
        <v>1.1100000000000001</v>
      </c>
      <c r="M59" s="200">
        <v>1.19</v>
      </c>
      <c r="N59" s="201">
        <v>1.04</v>
      </c>
      <c r="O59" s="200">
        <f t="shared" si="0"/>
        <v>0</v>
      </c>
      <c r="P59" s="200">
        <f t="shared" si="1"/>
        <v>0.05</v>
      </c>
      <c r="Q59" s="200">
        <f t="shared" si="2"/>
        <v>0</v>
      </c>
      <c r="R59" s="200">
        <f t="shared" si="3"/>
        <v>0</v>
      </c>
      <c r="S59" s="200">
        <f t="shared" si="10"/>
        <v>988.19999999999993</v>
      </c>
      <c r="T59" s="200">
        <f t="shared" si="4"/>
        <v>4.55</v>
      </c>
      <c r="U59" s="200">
        <f t="shared" si="5"/>
        <v>5</v>
      </c>
      <c r="V59" s="200">
        <f t="shared" si="6"/>
        <v>385.20000000000005</v>
      </c>
      <c r="W59" s="200">
        <f t="shared" si="7"/>
        <v>5.5500000000000007</v>
      </c>
      <c r="X59" s="200">
        <f t="shared" si="8"/>
        <v>5.9499999999999993</v>
      </c>
      <c r="Y59" s="200">
        <f t="shared" si="9"/>
        <v>5.2</v>
      </c>
      <c r="Z59" s="216">
        <f>O59/Constants!$C$12</f>
        <v>0</v>
      </c>
      <c r="AA59" s="216">
        <f>P59/Constants!$C$11</f>
        <v>5.8078754791497276E-4</v>
      </c>
      <c r="AB59" s="216">
        <f>Q59/Constants!$C$13</f>
        <v>0</v>
      </c>
      <c r="AC59" s="216">
        <f>R59/Constants!$C$18</f>
        <v>0</v>
      </c>
      <c r="AD59" s="216">
        <f>S59/Constants!$C$3</f>
        <v>16.456286427976686</v>
      </c>
      <c r="AE59" s="216">
        <f>T59/Constants!$C$4</f>
        <v>6.1420086393088554E-2</v>
      </c>
      <c r="AF59" s="216">
        <f>U59/Constants!$C$5</f>
        <v>5.6747247758483714E-2</v>
      </c>
      <c r="AG59" s="216">
        <f>V59/Constants!$C$6</f>
        <v>4.3718079673135861</v>
      </c>
      <c r="AH59" s="216">
        <f>W59/Constants!$C$7</f>
        <v>5.434250465093509E-2</v>
      </c>
      <c r="AI59" s="216">
        <f>X59/Constants!$C$8</f>
        <v>5.8259081562714185E-2</v>
      </c>
      <c r="AJ59" s="216">
        <f>Y59/Constants!$C$10</f>
        <v>4.4765840220385676E-2</v>
      </c>
      <c r="AK59" s="199">
        <f>Z59*Constants!$D$12</f>
        <v>0</v>
      </c>
      <c r="AL59" s="199">
        <f>AA59*Constants!$D$11</f>
        <v>2.323150191659891E-3</v>
      </c>
      <c r="AM59" s="199">
        <f>AB59*Constants!$D$13</f>
        <v>0</v>
      </c>
      <c r="AN59" s="199">
        <f>AC59*Constants!$D$18</f>
        <v>0</v>
      </c>
      <c r="AO59" s="199">
        <f>AD59*Constants!$D$3</f>
        <v>32.912572855953371</v>
      </c>
      <c r="AP59" s="199">
        <f>AE59*Constants!$D$4</f>
        <v>0.18426025917926567</v>
      </c>
      <c r="AQ59" s="199">
        <f>AF59*Constants!$D$5</f>
        <v>0.22698899103393486</v>
      </c>
      <c r="AR59" s="199">
        <f>AG59*Constants!$D$6</f>
        <v>17.487231869254344</v>
      </c>
      <c r="AS59" s="199">
        <f>AH59*Constants!$D$7</f>
        <v>0.27171252325467543</v>
      </c>
      <c r="AT59" s="199">
        <f>AI59*Constants!$D$8</f>
        <v>0.29129540781357094</v>
      </c>
      <c r="AU59" s="199">
        <f>AJ59*Constants!$D$10</f>
        <v>0.26859504132231404</v>
      </c>
      <c r="AV59" s="199">
        <f>Z59*Constants!$E$12</f>
        <v>0</v>
      </c>
      <c r="AW59" s="199">
        <f>AA59*Constants!$E$11</f>
        <v>1.045417586246951E-2</v>
      </c>
      <c r="AX59" s="199">
        <f>AB59*Constants!$E$13</f>
        <v>0</v>
      </c>
      <c r="AY59" s="199">
        <f>AC59*Constants!$E$18</f>
        <v>0</v>
      </c>
      <c r="AZ59" s="199">
        <f>AD59*Constants!$E$3</f>
        <v>131.65029142381348</v>
      </c>
      <c r="BA59" s="199">
        <f>AE59*Constants!$E$4</f>
        <v>0.85988120950323976</v>
      </c>
      <c r="BB59" s="199">
        <f>AF59*Constants!$E$5</f>
        <v>1.1349449551696742</v>
      </c>
      <c r="BC59" s="199">
        <f>AG59*Constants!$E$6</f>
        <v>87.436159346271722</v>
      </c>
      <c r="BD59" s="199">
        <f>AH59*Constants!$E$7</f>
        <v>1.4129051209243124</v>
      </c>
      <c r="BE59" s="199">
        <f>AI59*Constants!$E$8</f>
        <v>1.5147361206305687</v>
      </c>
      <c r="BF59" s="199">
        <f>AJ59*Constants!$E$10</f>
        <v>1.4325068870523416</v>
      </c>
    </row>
    <row r="60" spans="1:58">
      <c r="A60" s="199">
        <f>'Influent Concentration'!A60</f>
        <v>122.70694444444962</v>
      </c>
      <c r="B60" s="201">
        <v>5</v>
      </c>
      <c r="C60" s="201" t="s">
        <v>202</v>
      </c>
      <c r="D60" s="201">
        <v>0.01</v>
      </c>
      <c r="E60" s="201" t="s">
        <v>202</v>
      </c>
      <c r="F60" s="201" t="s">
        <v>202</v>
      </c>
      <c r="G60" s="201">
        <v>5</v>
      </c>
      <c r="H60" s="201">
        <v>193.55</v>
      </c>
      <c r="I60" s="201">
        <v>1.22</v>
      </c>
      <c r="J60" s="201">
        <v>1.1399999999999999</v>
      </c>
      <c r="K60" s="201">
        <v>75.81</v>
      </c>
      <c r="L60" s="201">
        <v>1.03</v>
      </c>
      <c r="M60" s="200">
        <v>1.1599999999999999</v>
      </c>
      <c r="N60" s="201">
        <v>0.92</v>
      </c>
      <c r="O60" s="200">
        <f t="shared" si="0"/>
        <v>0</v>
      </c>
      <c r="P60" s="200">
        <f t="shared" si="1"/>
        <v>0.05</v>
      </c>
      <c r="Q60" s="200">
        <f t="shared" si="2"/>
        <v>0</v>
      </c>
      <c r="R60" s="200">
        <f t="shared" si="3"/>
        <v>0</v>
      </c>
      <c r="S60" s="200">
        <f t="shared" si="10"/>
        <v>967.75</v>
      </c>
      <c r="T60" s="200">
        <f t="shared" si="4"/>
        <v>6.1</v>
      </c>
      <c r="U60" s="200">
        <f t="shared" si="5"/>
        <v>5.6999999999999993</v>
      </c>
      <c r="V60" s="200">
        <f t="shared" si="6"/>
        <v>379.05</v>
      </c>
      <c r="W60" s="200">
        <f t="shared" si="7"/>
        <v>5.15</v>
      </c>
      <c r="X60" s="200">
        <f t="shared" si="8"/>
        <v>5.8</v>
      </c>
      <c r="Y60" s="200">
        <f t="shared" si="9"/>
        <v>4.6000000000000005</v>
      </c>
      <c r="Z60" s="216">
        <f>O60/Constants!$C$12</f>
        <v>0</v>
      </c>
      <c r="AA60" s="216">
        <f>P60/Constants!$C$11</f>
        <v>5.8078754791497276E-4</v>
      </c>
      <c r="AB60" s="216">
        <f>Q60/Constants!$C$13</f>
        <v>0</v>
      </c>
      <c r="AC60" s="216">
        <f>R60/Constants!$C$18</f>
        <v>0</v>
      </c>
      <c r="AD60" s="216">
        <f>S60/Constants!$C$3</f>
        <v>16.115736885928392</v>
      </c>
      <c r="AE60" s="216">
        <f>T60/Constants!$C$4</f>
        <v>8.2343412526997839E-2</v>
      </c>
      <c r="AF60" s="216">
        <f>U60/Constants!$C$5</f>
        <v>6.4691862444671427E-2</v>
      </c>
      <c r="AG60" s="216">
        <f>V60/Constants!$C$6</f>
        <v>4.3020088525706504</v>
      </c>
      <c r="AH60" s="216">
        <f>W60/Constants!$C$7</f>
        <v>5.0425927739155982E-2</v>
      </c>
      <c r="AI60" s="216">
        <f>X60/Constants!$C$8</f>
        <v>5.6790365220797022E-2</v>
      </c>
      <c r="AJ60" s="216">
        <f>Y60/Constants!$C$10</f>
        <v>3.9600550964187332E-2</v>
      </c>
      <c r="AK60" s="199">
        <f>Z60*Constants!$D$12</f>
        <v>0</v>
      </c>
      <c r="AL60" s="199">
        <f>AA60*Constants!$D$11</f>
        <v>2.323150191659891E-3</v>
      </c>
      <c r="AM60" s="199">
        <f>AB60*Constants!$D$13</f>
        <v>0</v>
      </c>
      <c r="AN60" s="199">
        <f>AC60*Constants!$D$18</f>
        <v>0</v>
      </c>
      <c r="AO60" s="199">
        <f>AD60*Constants!$D$3</f>
        <v>32.231473771856784</v>
      </c>
      <c r="AP60" s="199">
        <f>AE60*Constants!$D$4</f>
        <v>0.24703023758099352</v>
      </c>
      <c r="AQ60" s="199">
        <f>AF60*Constants!$D$5</f>
        <v>0.25876744977868571</v>
      </c>
      <c r="AR60" s="199">
        <f>AG60*Constants!$D$6</f>
        <v>17.208035410282601</v>
      </c>
      <c r="AS60" s="199">
        <f>AH60*Constants!$D$7</f>
        <v>0.25212963869577992</v>
      </c>
      <c r="AT60" s="199">
        <f>AI60*Constants!$D$8</f>
        <v>0.28395182610398512</v>
      </c>
      <c r="AU60" s="199">
        <f>AJ60*Constants!$D$10</f>
        <v>0.23760330578512401</v>
      </c>
      <c r="AV60" s="199">
        <f>Z60*Constants!$E$12</f>
        <v>0</v>
      </c>
      <c r="AW60" s="199">
        <f>AA60*Constants!$E$11</f>
        <v>1.045417586246951E-2</v>
      </c>
      <c r="AX60" s="199">
        <f>AB60*Constants!$E$13</f>
        <v>0</v>
      </c>
      <c r="AY60" s="199">
        <f>AC60*Constants!$E$18</f>
        <v>0</v>
      </c>
      <c r="AZ60" s="199">
        <f>AD60*Constants!$E$3</f>
        <v>128.92589508742714</v>
      </c>
      <c r="BA60" s="199">
        <f>AE60*Constants!$E$4</f>
        <v>1.1528077753779697</v>
      </c>
      <c r="BB60" s="199">
        <f>AF60*Constants!$E$5</f>
        <v>1.2938372488934284</v>
      </c>
      <c r="BC60" s="199">
        <f>AG60*Constants!$E$6</f>
        <v>86.040177051413011</v>
      </c>
      <c r="BD60" s="199">
        <f>AH60*Constants!$E$7</f>
        <v>1.3110741212180554</v>
      </c>
      <c r="BE60" s="199">
        <f>AI60*Constants!$E$8</f>
        <v>1.4765494957407226</v>
      </c>
      <c r="BF60" s="199">
        <f>AJ60*Constants!$E$10</f>
        <v>1.2672176308539946</v>
      </c>
    </row>
    <row r="61" spans="1:58">
      <c r="A61" s="199">
        <f>'Influent Concentration'!A61</f>
        <v>124.74305555555475</v>
      </c>
      <c r="B61" s="201">
        <v>5</v>
      </c>
      <c r="C61" s="201" t="s">
        <v>202</v>
      </c>
      <c r="D61" s="201">
        <v>0.01</v>
      </c>
      <c r="E61" s="201" t="s">
        <v>202</v>
      </c>
      <c r="F61" s="201" t="s">
        <v>202</v>
      </c>
      <c r="G61" s="201">
        <v>5</v>
      </c>
      <c r="H61" s="201">
        <v>286.66000000000003</v>
      </c>
      <c r="I61" s="201">
        <v>2.35</v>
      </c>
      <c r="J61" s="201">
        <v>1.47</v>
      </c>
      <c r="K61" s="201">
        <v>129.30000000000001</v>
      </c>
      <c r="L61" s="201">
        <v>1.98</v>
      </c>
      <c r="M61" s="200">
        <v>1.88</v>
      </c>
      <c r="N61" s="201">
        <v>1.37</v>
      </c>
      <c r="O61" s="200">
        <f t="shared" si="0"/>
        <v>0</v>
      </c>
      <c r="P61" s="200">
        <f t="shared" si="1"/>
        <v>0.05</v>
      </c>
      <c r="Q61" s="200">
        <f t="shared" si="2"/>
        <v>0</v>
      </c>
      <c r="R61" s="200">
        <f t="shared" si="3"/>
        <v>0</v>
      </c>
      <c r="S61" s="200">
        <f t="shared" si="10"/>
        <v>1433.3000000000002</v>
      </c>
      <c r="T61" s="200">
        <f t="shared" si="4"/>
        <v>11.75</v>
      </c>
      <c r="U61" s="200">
        <f t="shared" si="5"/>
        <v>7.35</v>
      </c>
      <c r="V61" s="200">
        <f t="shared" si="6"/>
        <v>646.5</v>
      </c>
      <c r="W61" s="200">
        <f t="shared" si="7"/>
        <v>9.9</v>
      </c>
      <c r="X61" s="200">
        <f t="shared" si="8"/>
        <v>9.3999999999999986</v>
      </c>
      <c r="Y61" s="200">
        <f t="shared" si="9"/>
        <v>6.8500000000000005</v>
      </c>
      <c r="Z61" s="216">
        <f>O61/Constants!$C$12</f>
        <v>0</v>
      </c>
      <c r="AA61" s="216">
        <f>P61/Constants!$C$11</f>
        <v>5.8078754791497276E-4</v>
      </c>
      <c r="AB61" s="216">
        <f>Q61/Constants!$C$13</f>
        <v>0</v>
      </c>
      <c r="AC61" s="216">
        <f>R61/Constants!$C$18</f>
        <v>0</v>
      </c>
      <c r="AD61" s="216">
        <f>S61/Constants!$C$3</f>
        <v>23.868442964196507</v>
      </c>
      <c r="AE61" s="216">
        <f>T61/Constants!$C$4</f>
        <v>0.1586123110151188</v>
      </c>
      <c r="AF61" s="216">
        <f>U61/Constants!$C$5</f>
        <v>8.3418454204971057E-2</v>
      </c>
      <c r="AG61" s="216">
        <f>V61/Constants!$C$6</f>
        <v>7.3374191351719444</v>
      </c>
      <c r="AH61" s="216">
        <f>W61/Constants!$C$7</f>
        <v>9.6935278566532862E-2</v>
      </c>
      <c r="AI61" s="216">
        <f>X61/Constants!$C$8</f>
        <v>9.2039557426808957E-2</v>
      </c>
      <c r="AJ61" s="216">
        <f>Y61/Constants!$C$10</f>
        <v>5.8970385674931139E-2</v>
      </c>
      <c r="AK61" s="199">
        <f>Z61*Constants!$D$12</f>
        <v>0</v>
      </c>
      <c r="AL61" s="199">
        <f>AA61*Constants!$D$11</f>
        <v>2.323150191659891E-3</v>
      </c>
      <c r="AM61" s="199">
        <f>AB61*Constants!$D$13</f>
        <v>0</v>
      </c>
      <c r="AN61" s="199">
        <f>AC61*Constants!$D$18</f>
        <v>0</v>
      </c>
      <c r="AO61" s="199">
        <f>AD61*Constants!$D$3</f>
        <v>47.736885928393015</v>
      </c>
      <c r="AP61" s="199">
        <f>AE61*Constants!$D$4</f>
        <v>0.4758369330453564</v>
      </c>
      <c r="AQ61" s="199">
        <f>AF61*Constants!$D$5</f>
        <v>0.33367381681988423</v>
      </c>
      <c r="AR61" s="199">
        <f>AG61*Constants!$D$6</f>
        <v>29.349676540687778</v>
      </c>
      <c r="AS61" s="199">
        <f>AH61*Constants!$D$7</f>
        <v>0.48467639283266428</v>
      </c>
      <c r="AT61" s="199">
        <f>AI61*Constants!$D$8</f>
        <v>0.4601977871340448</v>
      </c>
      <c r="AU61" s="199">
        <f>AJ61*Constants!$D$10</f>
        <v>0.35382231404958686</v>
      </c>
      <c r="AV61" s="199">
        <f>Z61*Constants!$E$12</f>
        <v>0</v>
      </c>
      <c r="AW61" s="199">
        <f>AA61*Constants!$E$11</f>
        <v>1.045417586246951E-2</v>
      </c>
      <c r="AX61" s="199">
        <f>AB61*Constants!$E$13</f>
        <v>0</v>
      </c>
      <c r="AY61" s="199">
        <f>AC61*Constants!$E$18</f>
        <v>0</v>
      </c>
      <c r="AZ61" s="199">
        <f>AD61*Constants!$E$3</f>
        <v>190.94754371357206</v>
      </c>
      <c r="BA61" s="199">
        <f>AE61*Constants!$E$4</f>
        <v>2.2205723542116633</v>
      </c>
      <c r="BB61" s="199">
        <f>AF61*Constants!$E$5</f>
        <v>1.6683690840994212</v>
      </c>
      <c r="BC61" s="199">
        <f>AG61*Constants!$E$6</f>
        <v>146.74838270343889</v>
      </c>
      <c r="BD61" s="199">
        <f>AH61*Constants!$E$7</f>
        <v>2.5203172427298544</v>
      </c>
      <c r="BE61" s="199">
        <f>AI61*Constants!$E$8</f>
        <v>2.3930284930970327</v>
      </c>
      <c r="BF61" s="199">
        <f>AJ61*Constants!$E$10</f>
        <v>1.8870523415977964</v>
      </c>
    </row>
    <row r="62" spans="1:58">
      <c r="A62" s="199">
        <f>'Influent Concentration'!A62</f>
        <v>126.72083333333285</v>
      </c>
      <c r="B62" s="201">
        <v>5</v>
      </c>
      <c r="C62" s="201" t="s">
        <v>202</v>
      </c>
      <c r="D62" s="201">
        <v>0.02</v>
      </c>
      <c r="E62" s="201" t="s">
        <v>202</v>
      </c>
      <c r="F62" s="201" t="s">
        <v>202</v>
      </c>
      <c r="G62" s="201">
        <v>5</v>
      </c>
      <c r="H62" s="201">
        <v>432.17</v>
      </c>
      <c r="I62" s="201">
        <v>3.39</v>
      </c>
      <c r="J62" s="201">
        <v>2.0499999999999998</v>
      </c>
      <c r="K62" s="201">
        <v>221.28</v>
      </c>
      <c r="L62" s="201">
        <v>2.5099999999999998</v>
      </c>
      <c r="M62" s="200">
        <v>2.88</v>
      </c>
      <c r="N62" s="201">
        <v>2.14</v>
      </c>
      <c r="O62" s="200">
        <f t="shared" si="0"/>
        <v>0</v>
      </c>
      <c r="P62" s="200">
        <f t="shared" si="1"/>
        <v>0.1</v>
      </c>
      <c r="Q62" s="200">
        <f t="shared" si="2"/>
        <v>0</v>
      </c>
      <c r="R62" s="200">
        <f t="shared" si="3"/>
        <v>0</v>
      </c>
      <c r="S62" s="200">
        <f t="shared" si="10"/>
        <v>2160.85</v>
      </c>
      <c r="T62" s="200">
        <f t="shared" si="4"/>
        <v>16.95</v>
      </c>
      <c r="U62" s="200">
        <f t="shared" si="5"/>
        <v>10.25</v>
      </c>
      <c r="V62" s="200">
        <f t="shared" si="6"/>
        <v>1106.4000000000001</v>
      </c>
      <c r="W62" s="200">
        <f t="shared" si="7"/>
        <v>12.549999999999999</v>
      </c>
      <c r="X62" s="200">
        <f t="shared" si="8"/>
        <v>14.399999999999999</v>
      </c>
      <c r="Y62" s="200">
        <f t="shared" si="9"/>
        <v>10.700000000000001</v>
      </c>
      <c r="Z62" s="216">
        <f>O62/Constants!$C$12</f>
        <v>0</v>
      </c>
      <c r="AA62" s="216">
        <f>P62/Constants!$C$11</f>
        <v>1.1615750958299455E-3</v>
      </c>
      <c r="AB62" s="216">
        <f>Q62/Constants!$C$13</f>
        <v>0</v>
      </c>
      <c r="AC62" s="216">
        <f>R62/Constants!$C$18</f>
        <v>0</v>
      </c>
      <c r="AD62" s="216">
        <f>S62/Constants!$C$3</f>
        <v>35.984179850124896</v>
      </c>
      <c r="AE62" s="216">
        <f>T62/Constants!$C$4</f>
        <v>0.22880669546436286</v>
      </c>
      <c r="AF62" s="216">
        <f>U62/Constants!$C$5</f>
        <v>0.11633185790489162</v>
      </c>
      <c r="AG62" s="216">
        <f>V62/Constants!$C$6</f>
        <v>12.557030983997278</v>
      </c>
      <c r="AH62" s="216">
        <f>W62/Constants!$C$7</f>
        <v>0.12288260060706942</v>
      </c>
      <c r="AI62" s="216">
        <f>X62/Constants!$C$8</f>
        <v>0.14099676882404777</v>
      </c>
      <c r="AJ62" s="216">
        <f>Y62/Constants!$C$10</f>
        <v>9.2114325068870531E-2</v>
      </c>
      <c r="AK62" s="199">
        <f>Z62*Constants!$D$12</f>
        <v>0</v>
      </c>
      <c r="AL62" s="199">
        <f>AA62*Constants!$D$11</f>
        <v>4.6463003833197821E-3</v>
      </c>
      <c r="AM62" s="199">
        <f>AB62*Constants!$D$13</f>
        <v>0</v>
      </c>
      <c r="AN62" s="199">
        <f>AC62*Constants!$D$18</f>
        <v>0</v>
      </c>
      <c r="AO62" s="199">
        <f>AD62*Constants!$D$3</f>
        <v>71.968359700249792</v>
      </c>
      <c r="AP62" s="199">
        <f>AE62*Constants!$D$4</f>
        <v>0.6864200863930886</v>
      </c>
      <c r="AQ62" s="199">
        <f>AF62*Constants!$D$5</f>
        <v>0.46532743161956647</v>
      </c>
      <c r="AR62" s="199">
        <f>AG62*Constants!$D$6</f>
        <v>50.22812393598911</v>
      </c>
      <c r="AS62" s="199">
        <f>AH62*Constants!$D$7</f>
        <v>0.61441300303534707</v>
      </c>
      <c r="AT62" s="199">
        <f>AI62*Constants!$D$8</f>
        <v>0.70498384412023885</v>
      </c>
      <c r="AU62" s="199">
        <f>AJ62*Constants!$D$10</f>
        <v>0.55268595041322321</v>
      </c>
      <c r="AV62" s="199">
        <f>Z62*Constants!$E$12</f>
        <v>0</v>
      </c>
      <c r="AW62" s="199">
        <f>AA62*Constants!$E$11</f>
        <v>2.0908351724939021E-2</v>
      </c>
      <c r="AX62" s="199">
        <f>AB62*Constants!$E$13</f>
        <v>0</v>
      </c>
      <c r="AY62" s="199">
        <f>AC62*Constants!$E$18</f>
        <v>0</v>
      </c>
      <c r="AZ62" s="199">
        <f>AD62*Constants!$E$3</f>
        <v>287.87343880099917</v>
      </c>
      <c r="BA62" s="199">
        <f>AE62*Constants!$E$4</f>
        <v>3.2032937365010801</v>
      </c>
      <c r="BB62" s="199">
        <f>AF62*Constants!$E$5</f>
        <v>2.3266371580978324</v>
      </c>
      <c r="BC62" s="199">
        <f>AG62*Constants!$E$6</f>
        <v>251.14061967994556</v>
      </c>
      <c r="BD62" s="199">
        <f>AH62*Constants!$E$7</f>
        <v>3.1949476157838048</v>
      </c>
      <c r="BE62" s="199">
        <f>AI62*Constants!$E$8</f>
        <v>3.6659159894252422</v>
      </c>
      <c r="BF62" s="199">
        <f>AJ62*Constants!$E$10</f>
        <v>2.947658402203857</v>
      </c>
    </row>
    <row r="63" spans="1:58">
      <c r="A63" s="199">
        <f>'Influent Concentration'!A63</f>
        <v>129.72638888889196</v>
      </c>
      <c r="B63" s="201">
        <v>5</v>
      </c>
      <c r="C63" s="201" t="s">
        <v>202</v>
      </c>
      <c r="D63" s="201">
        <v>0.02</v>
      </c>
      <c r="E63" s="201" t="s">
        <v>202</v>
      </c>
      <c r="F63" s="201" t="s">
        <v>202</v>
      </c>
      <c r="G63" s="201">
        <v>5</v>
      </c>
      <c r="H63" s="201">
        <v>549.53</v>
      </c>
      <c r="I63" s="201">
        <v>4.99</v>
      </c>
      <c r="J63" s="201">
        <v>2.82</v>
      </c>
      <c r="K63" s="201">
        <v>303</v>
      </c>
      <c r="L63" s="201">
        <v>3.33</v>
      </c>
      <c r="M63" s="200">
        <v>3.98</v>
      </c>
      <c r="N63" s="201">
        <v>3.02</v>
      </c>
      <c r="O63" s="200">
        <f t="shared" si="0"/>
        <v>0</v>
      </c>
      <c r="P63" s="200">
        <f t="shared" si="1"/>
        <v>0.1</v>
      </c>
      <c r="Q63" s="200">
        <f t="shared" si="2"/>
        <v>0</v>
      </c>
      <c r="R63" s="200">
        <f t="shared" si="3"/>
        <v>0</v>
      </c>
      <c r="S63" s="200">
        <f t="shared" si="10"/>
        <v>2747.6499999999996</v>
      </c>
      <c r="T63" s="200">
        <f t="shared" si="4"/>
        <v>24.950000000000003</v>
      </c>
      <c r="U63" s="200">
        <f t="shared" si="5"/>
        <v>14.1</v>
      </c>
      <c r="V63" s="200">
        <f t="shared" si="6"/>
        <v>1515</v>
      </c>
      <c r="W63" s="200">
        <f t="shared" si="7"/>
        <v>16.649999999999999</v>
      </c>
      <c r="X63" s="200">
        <f t="shared" si="8"/>
        <v>19.899999999999999</v>
      </c>
      <c r="Y63" s="200">
        <f t="shared" si="9"/>
        <v>15.1</v>
      </c>
      <c r="Z63" s="216">
        <f>O63/Constants!$C$12</f>
        <v>0</v>
      </c>
      <c r="AA63" s="216">
        <f>P63/Constants!$C$11</f>
        <v>1.1615750958299455E-3</v>
      </c>
      <c r="AB63" s="216">
        <f>Q63/Constants!$C$13</f>
        <v>0</v>
      </c>
      <c r="AC63" s="216">
        <f>R63/Constants!$C$18</f>
        <v>0</v>
      </c>
      <c r="AD63" s="216">
        <f>S63/Constants!$C$3</f>
        <v>45.75603663613655</v>
      </c>
      <c r="AE63" s="216">
        <f>T63/Constants!$C$4</f>
        <v>0.33679805615550762</v>
      </c>
      <c r="AF63" s="216">
        <f>U63/Constants!$C$5</f>
        <v>0.16002723867892407</v>
      </c>
      <c r="AG63" s="216">
        <f>V63/Constants!$C$6</f>
        <v>17.194416070820566</v>
      </c>
      <c r="AH63" s="216">
        <f>W63/Constants!$C$7</f>
        <v>0.16302751395280524</v>
      </c>
      <c r="AI63" s="216">
        <f>X63/Constants!$C$8</f>
        <v>0.19484970136101046</v>
      </c>
      <c r="AJ63" s="216">
        <f>Y63/Constants!$C$10</f>
        <v>0.12999311294765839</v>
      </c>
      <c r="AK63" s="199">
        <f>Z63*Constants!$D$12</f>
        <v>0</v>
      </c>
      <c r="AL63" s="199">
        <f>AA63*Constants!$D$11</f>
        <v>4.6463003833197821E-3</v>
      </c>
      <c r="AM63" s="199">
        <f>AB63*Constants!$D$13</f>
        <v>0</v>
      </c>
      <c r="AN63" s="199">
        <f>AC63*Constants!$D$18</f>
        <v>0</v>
      </c>
      <c r="AO63" s="199">
        <f>AD63*Constants!$D$3</f>
        <v>91.512073272273099</v>
      </c>
      <c r="AP63" s="199">
        <f>AE63*Constants!$D$4</f>
        <v>1.0103941684665227</v>
      </c>
      <c r="AQ63" s="199">
        <f>AF63*Constants!$D$5</f>
        <v>0.64010895471569629</v>
      </c>
      <c r="AR63" s="199">
        <f>AG63*Constants!$D$6</f>
        <v>68.777664283282263</v>
      </c>
      <c r="AS63" s="199">
        <f>AH63*Constants!$D$7</f>
        <v>0.81513756976402618</v>
      </c>
      <c r="AT63" s="199">
        <f>AI63*Constants!$D$8</f>
        <v>0.97424850680505226</v>
      </c>
      <c r="AU63" s="199">
        <f>AJ63*Constants!$D$10</f>
        <v>0.7799586776859504</v>
      </c>
      <c r="AV63" s="199">
        <f>Z63*Constants!$E$12</f>
        <v>0</v>
      </c>
      <c r="AW63" s="199">
        <f>AA63*Constants!$E$11</f>
        <v>2.0908351724939021E-2</v>
      </c>
      <c r="AX63" s="199">
        <f>AB63*Constants!$E$13</f>
        <v>0</v>
      </c>
      <c r="AY63" s="199">
        <f>AC63*Constants!$E$18</f>
        <v>0</v>
      </c>
      <c r="AZ63" s="199">
        <f>AD63*Constants!$E$3</f>
        <v>366.0482930890924</v>
      </c>
      <c r="BA63" s="199">
        <f>AE63*Constants!$E$4</f>
        <v>4.7151727861771064</v>
      </c>
      <c r="BB63" s="199">
        <f>AF63*Constants!$E$5</f>
        <v>3.2005447735784815</v>
      </c>
      <c r="BC63" s="199">
        <f>AG63*Constants!$E$6</f>
        <v>343.88832141641132</v>
      </c>
      <c r="BD63" s="199">
        <f>AH63*Constants!$E$7</f>
        <v>4.2387153627729361</v>
      </c>
      <c r="BE63" s="199">
        <f>AI63*Constants!$E$8</f>
        <v>5.0660922353862716</v>
      </c>
      <c r="BF63" s="199">
        <f>AJ63*Constants!$E$10</f>
        <v>4.1597796143250685</v>
      </c>
    </row>
    <row r="64" spans="1:58">
      <c r="A64" s="199">
        <f>'Influent Concentration'!A64</f>
        <v>131.7236111111124</v>
      </c>
      <c r="B64" s="201">
        <v>5</v>
      </c>
      <c r="C64" s="201" t="s">
        <v>202</v>
      </c>
      <c r="D64" s="201">
        <v>0.01</v>
      </c>
      <c r="E64" s="201" t="s">
        <v>202</v>
      </c>
      <c r="F64" s="201" t="s">
        <v>202</v>
      </c>
      <c r="G64" s="201">
        <v>5</v>
      </c>
      <c r="H64" s="201">
        <v>627.63</v>
      </c>
      <c r="I64" s="201">
        <v>4.7699999999999996</v>
      </c>
      <c r="J64" s="201">
        <v>3.22</v>
      </c>
      <c r="K64" s="201">
        <v>358.12</v>
      </c>
      <c r="L64" s="201">
        <v>3.7</v>
      </c>
      <c r="M64" s="200">
        <v>4.75</v>
      </c>
      <c r="N64" s="201">
        <v>3.88</v>
      </c>
      <c r="O64" s="200">
        <f t="shared" si="0"/>
        <v>0</v>
      </c>
      <c r="P64" s="200">
        <f t="shared" si="1"/>
        <v>0.05</v>
      </c>
      <c r="Q64" s="200">
        <f t="shared" si="2"/>
        <v>0</v>
      </c>
      <c r="R64" s="200">
        <f t="shared" si="3"/>
        <v>0</v>
      </c>
      <c r="S64" s="200">
        <f t="shared" si="10"/>
        <v>3138.15</v>
      </c>
      <c r="T64" s="200">
        <f t="shared" si="4"/>
        <v>23.849999999999998</v>
      </c>
      <c r="U64" s="200">
        <f t="shared" si="5"/>
        <v>16.100000000000001</v>
      </c>
      <c r="V64" s="200">
        <f t="shared" si="6"/>
        <v>1790.6</v>
      </c>
      <c r="W64" s="200">
        <f t="shared" si="7"/>
        <v>18.5</v>
      </c>
      <c r="X64" s="200">
        <f t="shared" si="8"/>
        <v>23.75</v>
      </c>
      <c r="Y64" s="200">
        <f t="shared" si="9"/>
        <v>19.399999999999999</v>
      </c>
      <c r="Z64" s="216">
        <f>O64/Constants!$C$12</f>
        <v>0</v>
      </c>
      <c r="AA64" s="216">
        <f>P64/Constants!$C$11</f>
        <v>5.8078754791497276E-4</v>
      </c>
      <c r="AB64" s="216">
        <f>Q64/Constants!$C$13</f>
        <v>0</v>
      </c>
      <c r="AC64" s="216">
        <f>R64/Constants!$C$18</f>
        <v>0</v>
      </c>
      <c r="AD64" s="216">
        <f>S64/Constants!$C$3</f>
        <v>52.258950874271441</v>
      </c>
      <c r="AE64" s="216">
        <f>T64/Constants!$C$4</f>
        <v>0.32194924406047515</v>
      </c>
      <c r="AF64" s="216">
        <f>U64/Constants!$C$5</f>
        <v>0.18272613778231758</v>
      </c>
      <c r="AG64" s="216">
        <f>V64/Constants!$C$6</f>
        <v>20.322324367268187</v>
      </c>
      <c r="AH64" s="216">
        <f>W64/Constants!$C$7</f>
        <v>0.18114168216978363</v>
      </c>
      <c r="AI64" s="216">
        <f>X64/Constants!$C$8</f>
        <v>0.23254675413688439</v>
      </c>
      <c r="AJ64" s="216">
        <f>Y64/Constants!$C$10</f>
        <v>0.16701101928374654</v>
      </c>
      <c r="AK64" s="199">
        <f>Z64*Constants!$D$12</f>
        <v>0</v>
      </c>
      <c r="AL64" s="199">
        <f>AA64*Constants!$D$11</f>
        <v>2.323150191659891E-3</v>
      </c>
      <c r="AM64" s="199">
        <f>AB64*Constants!$D$13</f>
        <v>0</v>
      </c>
      <c r="AN64" s="199">
        <f>AC64*Constants!$D$18</f>
        <v>0</v>
      </c>
      <c r="AO64" s="199">
        <f>AD64*Constants!$D$3</f>
        <v>104.51790174854288</v>
      </c>
      <c r="AP64" s="199">
        <f>AE64*Constants!$D$4</f>
        <v>0.96584773218142539</v>
      </c>
      <c r="AQ64" s="199">
        <f>AF64*Constants!$D$5</f>
        <v>0.73090455112927033</v>
      </c>
      <c r="AR64" s="199">
        <f>AG64*Constants!$D$6</f>
        <v>81.28929746907275</v>
      </c>
      <c r="AS64" s="199">
        <f>AH64*Constants!$D$7</f>
        <v>0.90570841084891818</v>
      </c>
      <c r="AT64" s="199">
        <f>AI64*Constants!$D$8</f>
        <v>1.1627337706844219</v>
      </c>
      <c r="AU64" s="199">
        <f>AJ64*Constants!$D$10</f>
        <v>1.0020661157024793</v>
      </c>
      <c r="AV64" s="199">
        <f>Z64*Constants!$E$12</f>
        <v>0</v>
      </c>
      <c r="AW64" s="199">
        <f>AA64*Constants!$E$11</f>
        <v>1.045417586246951E-2</v>
      </c>
      <c r="AX64" s="199">
        <f>AB64*Constants!$E$13</f>
        <v>0</v>
      </c>
      <c r="AY64" s="199">
        <f>AC64*Constants!$E$18</f>
        <v>0</v>
      </c>
      <c r="AZ64" s="199">
        <f>AD64*Constants!$E$3</f>
        <v>418.07160699417153</v>
      </c>
      <c r="BA64" s="199">
        <f>AE64*Constants!$E$4</f>
        <v>4.5072894168466524</v>
      </c>
      <c r="BB64" s="199">
        <f>AF64*Constants!$E$5</f>
        <v>3.6545227556463518</v>
      </c>
      <c r="BC64" s="199">
        <f>AG64*Constants!$E$6</f>
        <v>406.44648734536372</v>
      </c>
      <c r="BD64" s="199">
        <f>AH64*Constants!$E$7</f>
        <v>4.709683736414374</v>
      </c>
      <c r="BE64" s="199">
        <f>AI64*Constants!$E$8</f>
        <v>6.0462156075589943</v>
      </c>
      <c r="BF64" s="199">
        <f>AJ64*Constants!$E$10</f>
        <v>5.3443526170798892</v>
      </c>
    </row>
    <row r="65" spans="1:58">
      <c r="A65" s="199">
        <f>'Influent Concentration'!A65</f>
        <v>133.7993055555562</v>
      </c>
      <c r="B65" s="201">
        <v>5</v>
      </c>
      <c r="C65" s="201" t="s">
        <v>202</v>
      </c>
      <c r="D65" s="201">
        <v>0.02</v>
      </c>
      <c r="E65" s="201">
        <v>0.5</v>
      </c>
      <c r="F65" s="201" t="s">
        <v>202</v>
      </c>
      <c r="G65" s="201">
        <v>5</v>
      </c>
      <c r="H65" s="201">
        <v>678.66</v>
      </c>
      <c r="I65" s="201">
        <v>6.36</v>
      </c>
      <c r="J65" s="201">
        <v>3.37</v>
      </c>
      <c r="K65" s="201">
        <v>384.67</v>
      </c>
      <c r="L65" s="201">
        <v>3.9</v>
      </c>
      <c r="M65" s="200">
        <v>4.87</v>
      </c>
      <c r="N65" s="201">
        <v>4.12</v>
      </c>
      <c r="O65" s="200">
        <f t="shared" si="0"/>
        <v>0</v>
      </c>
      <c r="P65" s="200">
        <f t="shared" si="1"/>
        <v>0.1</v>
      </c>
      <c r="Q65" s="200">
        <f t="shared" si="2"/>
        <v>2.5</v>
      </c>
      <c r="R65" s="200">
        <f t="shared" si="3"/>
        <v>0</v>
      </c>
      <c r="S65" s="200">
        <f t="shared" si="10"/>
        <v>3393.2999999999997</v>
      </c>
      <c r="T65" s="200">
        <f t="shared" si="4"/>
        <v>31.8</v>
      </c>
      <c r="U65" s="200">
        <f t="shared" si="5"/>
        <v>16.850000000000001</v>
      </c>
      <c r="V65" s="200">
        <f t="shared" si="6"/>
        <v>1923.3500000000001</v>
      </c>
      <c r="W65" s="200">
        <f t="shared" si="7"/>
        <v>19.5</v>
      </c>
      <c r="X65" s="200">
        <f t="shared" si="8"/>
        <v>24.35</v>
      </c>
      <c r="Y65" s="200">
        <f t="shared" si="9"/>
        <v>20.6</v>
      </c>
      <c r="Z65" s="216">
        <f>O65/Constants!$C$12</f>
        <v>0</v>
      </c>
      <c r="AA65" s="216">
        <f>P65/Constants!$C$11</f>
        <v>1.1615750958299455E-3</v>
      </c>
      <c r="AB65" s="216">
        <f>Q65/Constants!$C$13</f>
        <v>2.7753108348134992E-2</v>
      </c>
      <c r="AC65" s="216">
        <f>R65/Constants!$C$18</f>
        <v>0</v>
      </c>
      <c r="AD65" s="216">
        <f>S65/Constants!$C$3</f>
        <v>56.507910074937548</v>
      </c>
      <c r="AE65" s="216">
        <f>T65/Constants!$C$4</f>
        <v>0.42926565874730022</v>
      </c>
      <c r="AF65" s="216">
        <f>U65/Constants!$C$5</f>
        <v>0.19123822494609014</v>
      </c>
      <c r="AG65" s="216">
        <f>V65/Constants!$C$6</f>
        <v>21.82896379525593</v>
      </c>
      <c r="AH65" s="216">
        <f>W65/Constants!$C$7</f>
        <v>0.19093312444923138</v>
      </c>
      <c r="AI65" s="216">
        <f>X65/Constants!$C$8</f>
        <v>0.23842161950455304</v>
      </c>
      <c r="AJ65" s="216">
        <f>Y65/Constants!$C$10</f>
        <v>0.17734159779614328</v>
      </c>
      <c r="AK65" s="199">
        <f>Z65*Constants!$D$12</f>
        <v>0</v>
      </c>
      <c r="AL65" s="199">
        <f>AA65*Constants!$D$11</f>
        <v>4.6463003833197821E-3</v>
      </c>
      <c r="AM65" s="199">
        <f>AB65*Constants!$D$13</f>
        <v>8.3259325044404975E-2</v>
      </c>
      <c r="AN65" s="199">
        <f>AC65*Constants!$D$18</f>
        <v>0</v>
      </c>
      <c r="AO65" s="199">
        <f>AD65*Constants!$D$3</f>
        <v>113.0158201498751</v>
      </c>
      <c r="AP65" s="199">
        <f>AE65*Constants!$D$4</f>
        <v>1.2877969762419006</v>
      </c>
      <c r="AQ65" s="199">
        <f>AF65*Constants!$D$5</f>
        <v>0.76495289978436054</v>
      </c>
      <c r="AR65" s="199">
        <f>AG65*Constants!$D$6</f>
        <v>87.315855181023721</v>
      </c>
      <c r="AS65" s="199">
        <f>AH65*Constants!$D$7</f>
        <v>0.95466562224615692</v>
      </c>
      <c r="AT65" s="199">
        <f>AI65*Constants!$D$8</f>
        <v>1.1921080975227651</v>
      </c>
      <c r="AU65" s="199">
        <f>AJ65*Constants!$D$10</f>
        <v>1.0640495867768598</v>
      </c>
      <c r="AV65" s="199">
        <f>Z65*Constants!$E$12</f>
        <v>0</v>
      </c>
      <c r="AW65" s="199">
        <f>AA65*Constants!$E$11</f>
        <v>2.0908351724939021E-2</v>
      </c>
      <c r="AX65" s="199">
        <f>AB65*Constants!$E$13</f>
        <v>0.3330373001776199</v>
      </c>
      <c r="AY65" s="199">
        <f>AC65*Constants!$E$18</f>
        <v>0</v>
      </c>
      <c r="AZ65" s="199">
        <f>AD65*Constants!$E$3</f>
        <v>452.06328059950039</v>
      </c>
      <c r="BA65" s="199">
        <f>AE65*Constants!$E$4</f>
        <v>6.0097192224622029</v>
      </c>
      <c r="BB65" s="199">
        <f>AF65*Constants!$E$5</f>
        <v>3.8247644989218026</v>
      </c>
      <c r="BC65" s="199">
        <f>AG65*Constants!$E$6</f>
        <v>436.57927590511861</v>
      </c>
      <c r="BD65" s="199">
        <f>AH65*Constants!$E$7</f>
        <v>4.9642612356800164</v>
      </c>
      <c r="BE65" s="199">
        <f>AI65*Constants!$E$8</f>
        <v>6.1989621071183789</v>
      </c>
      <c r="BF65" s="199">
        <f>AJ65*Constants!$E$10</f>
        <v>5.674931129476585</v>
      </c>
    </row>
    <row r="66" spans="1:58">
      <c r="A66" s="199">
        <f>'Influent Concentration'!A66</f>
        <v>136.7097222222219</v>
      </c>
      <c r="B66" s="201">
        <v>5</v>
      </c>
      <c r="C66" s="201" t="s">
        <v>202</v>
      </c>
      <c r="D66" s="201">
        <v>0.02</v>
      </c>
      <c r="E66" s="201">
        <v>0.64</v>
      </c>
      <c r="F66" s="201" t="s">
        <v>202</v>
      </c>
      <c r="G66" s="201">
        <v>10</v>
      </c>
      <c r="H66" s="201">
        <v>366.71</v>
      </c>
      <c r="I66" s="201">
        <v>3.14</v>
      </c>
      <c r="J66" s="201">
        <v>2.38</v>
      </c>
      <c r="K66" s="201">
        <v>214.07</v>
      </c>
      <c r="L66" s="201">
        <v>2.3199999999999998</v>
      </c>
      <c r="M66" s="200">
        <v>3.04</v>
      </c>
      <c r="N66" s="201">
        <v>2.66</v>
      </c>
      <c r="O66" s="200">
        <f t="shared" si="0"/>
        <v>0</v>
      </c>
      <c r="P66" s="200">
        <f t="shared" si="1"/>
        <v>0.1</v>
      </c>
      <c r="Q66" s="200">
        <f t="shared" si="2"/>
        <v>3.2</v>
      </c>
      <c r="R66" s="200">
        <f t="shared" si="3"/>
        <v>0</v>
      </c>
      <c r="S66" s="200">
        <f t="shared" si="10"/>
        <v>3667.1</v>
      </c>
      <c r="T66" s="200">
        <f t="shared" si="4"/>
        <v>31.400000000000002</v>
      </c>
      <c r="U66" s="200">
        <f t="shared" si="5"/>
        <v>23.799999999999997</v>
      </c>
      <c r="V66" s="200">
        <f t="shared" si="6"/>
        <v>2140.6999999999998</v>
      </c>
      <c r="W66" s="200">
        <f t="shared" si="7"/>
        <v>23.2</v>
      </c>
      <c r="X66" s="200">
        <f t="shared" si="8"/>
        <v>30.4</v>
      </c>
      <c r="Y66" s="200">
        <f t="shared" si="9"/>
        <v>26.6</v>
      </c>
      <c r="Z66" s="216">
        <f>O66/Constants!$C$12</f>
        <v>0</v>
      </c>
      <c r="AA66" s="216">
        <f>P66/Constants!$C$11</f>
        <v>1.1615750958299455E-3</v>
      </c>
      <c r="AB66" s="216">
        <f>Q66/Constants!$C$13</f>
        <v>3.5523978685612793E-2</v>
      </c>
      <c r="AC66" s="216">
        <f>R66/Constants!$C$18</f>
        <v>0</v>
      </c>
      <c r="AD66" s="216">
        <f>S66/Constants!$C$3</f>
        <v>61.067443796835974</v>
      </c>
      <c r="AE66" s="216">
        <f>T66/Constants!$C$4</f>
        <v>0.423866090712743</v>
      </c>
      <c r="AF66" s="216">
        <f>U66/Constants!$C$5</f>
        <v>0.27011689933038247</v>
      </c>
      <c r="AG66" s="216">
        <f>V66/Constants!$C$6</f>
        <v>24.295766655317216</v>
      </c>
      <c r="AH66" s="216">
        <f>W66/Constants!$C$7</f>
        <v>0.22716146088318809</v>
      </c>
      <c r="AI66" s="216">
        <f>X66/Constants!$C$8</f>
        <v>0.297659845295212</v>
      </c>
      <c r="AJ66" s="216">
        <f>Y66/Constants!$C$10</f>
        <v>0.22899449035812675</v>
      </c>
      <c r="AK66" s="199">
        <f>Z66*Constants!$D$12</f>
        <v>0</v>
      </c>
      <c r="AL66" s="199">
        <f>AA66*Constants!$D$11</f>
        <v>4.6463003833197821E-3</v>
      </c>
      <c r="AM66" s="199">
        <f>AB66*Constants!$D$13</f>
        <v>0.10657193605683837</v>
      </c>
      <c r="AN66" s="199">
        <f>AC66*Constants!$D$18</f>
        <v>0</v>
      </c>
      <c r="AO66" s="199">
        <f>AD66*Constants!$D$3</f>
        <v>122.13488759367195</v>
      </c>
      <c r="AP66" s="199">
        <f>AE66*Constants!$D$4</f>
        <v>1.2715982721382291</v>
      </c>
      <c r="AQ66" s="199">
        <f>AF66*Constants!$D$5</f>
        <v>1.0804675973215299</v>
      </c>
      <c r="AR66" s="199">
        <f>AG66*Constants!$D$6</f>
        <v>97.183066621268864</v>
      </c>
      <c r="AS66" s="199">
        <f>AH66*Constants!$D$7</f>
        <v>1.1358073044159405</v>
      </c>
      <c r="AT66" s="199">
        <f>AI66*Constants!$D$8</f>
        <v>1.4882992264760599</v>
      </c>
      <c r="AU66" s="199">
        <f>AJ66*Constants!$D$10</f>
        <v>1.3739669421487606</v>
      </c>
      <c r="AV66" s="199">
        <f>Z66*Constants!$E$12</f>
        <v>0</v>
      </c>
      <c r="AW66" s="199">
        <f>AA66*Constants!$E$11</f>
        <v>2.0908351724939021E-2</v>
      </c>
      <c r="AX66" s="199">
        <f>AB66*Constants!$E$13</f>
        <v>0.42628774422735349</v>
      </c>
      <c r="AY66" s="199">
        <f>AC66*Constants!$E$18</f>
        <v>0</v>
      </c>
      <c r="AZ66" s="199">
        <f>AD66*Constants!$E$3</f>
        <v>488.53955037468779</v>
      </c>
      <c r="BA66" s="199">
        <f>AE66*Constants!$E$4</f>
        <v>5.9341252699784022</v>
      </c>
      <c r="BB66" s="199">
        <f>AF66*Constants!$E$5</f>
        <v>5.4023379866076491</v>
      </c>
      <c r="BC66" s="199">
        <f>AG66*Constants!$E$6</f>
        <v>485.91533310634429</v>
      </c>
      <c r="BD66" s="199">
        <f>AH66*Constants!$E$7</f>
        <v>5.9061979829628903</v>
      </c>
      <c r="BE66" s="199">
        <f>AI66*Constants!$E$8</f>
        <v>7.7391559776755123</v>
      </c>
      <c r="BF66" s="199">
        <f>AJ66*Constants!$E$10</f>
        <v>7.3278236914600559</v>
      </c>
    </row>
    <row r="67" spans="1:58">
      <c r="A67" s="199">
        <f>'Influent Concentration'!A67</f>
        <v>138.89444444444962</v>
      </c>
      <c r="B67" s="201">
        <v>5</v>
      </c>
      <c r="C67" s="201" t="s">
        <v>202</v>
      </c>
      <c r="D67" s="201">
        <v>0.02</v>
      </c>
      <c r="E67" s="201">
        <v>0.67</v>
      </c>
      <c r="F67" s="201" t="s">
        <v>202</v>
      </c>
      <c r="G67" s="201">
        <v>10</v>
      </c>
      <c r="H67" s="201">
        <v>379.55</v>
      </c>
      <c r="I67" s="201">
        <v>3.23</v>
      </c>
      <c r="J67" s="201">
        <v>2.36</v>
      </c>
      <c r="K67" s="201">
        <v>222.14</v>
      </c>
      <c r="L67" s="201">
        <v>2.31</v>
      </c>
      <c r="M67" s="200">
        <v>2.9</v>
      </c>
      <c r="N67" s="201">
        <v>2.88</v>
      </c>
      <c r="O67" s="200">
        <f t="shared" si="0"/>
        <v>0</v>
      </c>
      <c r="P67" s="200">
        <f t="shared" si="1"/>
        <v>0.1</v>
      </c>
      <c r="Q67" s="200">
        <f t="shared" si="2"/>
        <v>3.35</v>
      </c>
      <c r="R67" s="200">
        <f t="shared" si="3"/>
        <v>0</v>
      </c>
      <c r="S67" s="200">
        <f t="shared" si="10"/>
        <v>3795.5</v>
      </c>
      <c r="T67" s="200">
        <f t="shared" si="4"/>
        <v>32.299999999999997</v>
      </c>
      <c r="U67" s="200">
        <f t="shared" si="5"/>
        <v>23.599999999999998</v>
      </c>
      <c r="V67" s="200">
        <f t="shared" si="6"/>
        <v>2221.3999999999996</v>
      </c>
      <c r="W67" s="200">
        <f t="shared" si="7"/>
        <v>23.1</v>
      </c>
      <c r="X67" s="200">
        <f t="shared" si="8"/>
        <v>29</v>
      </c>
      <c r="Y67" s="200">
        <f t="shared" si="9"/>
        <v>28.799999999999997</v>
      </c>
      <c r="Z67" s="216">
        <f>O67/Constants!$C$12</f>
        <v>0</v>
      </c>
      <c r="AA67" s="216">
        <f>P67/Constants!$C$11</f>
        <v>1.1615750958299455E-3</v>
      </c>
      <c r="AB67" s="216">
        <f>Q67/Constants!$C$13</f>
        <v>3.7189165186500887E-2</v>
      </c>
      <c r="AC67" s="216">
        <f>R67/Constants!$C$18</f>
        <v>0</v>
      </c>
      <c r="AD67" s="216">
        <f>S67/Constants!$C$3</f>
        <v>63.205661948376353</v>
      </c>
      <c r="AE67" s="216">
        <f>T67/Constants!$C$4</f>
        <v>0.43601511879049676</v>
      </c>
      <c r="AF67" s="216">
        <f>U67/Constants!$C$5</f>
        <v>0.26784700942004308</v>
      </c>
      <c r="AG67" s="216">
        <f>V67/Constants!$C$6</f>
        <v>25.211667234139139</v>
      </c>
      <c r="AH67" s="216">
        <f>W67/Constants!$C$7</f>
        <v>0.22618231665524335</v>
      </c>
      <c r="AI67" s="216">
        <f>X67/Constants!$C$8</f>
        <v>0.28395182610398512</v>
      </c>
      <c r="AJ67" s="216">
        <f>Y67/Constants!$C$10</f>
        <v>0.24793388429752064</v>
      </c>
      <c r="AK67" s="199">
        <f>Z67*Constants!$D$12</f>
        <v>0</v>
      </c>
      <c r="AL67" s="199">
        <f>AA67*Constants!$D$11</f>
        <v>4.6463003833197821E-3</v>
      </c>
      <c r="AM67" s="199">
        <f>AB67*Constants!$D$13</f>
        <v>0.11156749555950266</v>
      </c>
      <c r="AN67" s="199">
        <f>AC67*Constants!$D$18</f>
        <v>0</v>
      </c>
      <c r="AO67" s="199">
        <f>AD67*Constants!$D$3</f>
        <v>126.41132389675271</v>
      </c>
      <c r="AP67" s="199">
        <f>AE67*Constants!$D$4</f>
        <v>1.3080453563714902</v>
      </c>
      <c r="AQ67" s="199">
        <f>AF67*Constants!$D$5</f>
        <v>1.0713880376801723</v>
      </c>
      <c r="AR67" s="199">
        <f>AG67*Constants!$D$6</f>
        <v>100.84666893655655</v>
      </c>
      <c r="AS67" s="199">
        <f>AH67*Constants!$D$7</f>
        <v>1.1309115832762169</v>
      </c>
      <c r="AT67" s="199">
        <f>AI67*Constants!$D$8</f>
        <v>1.4197591305199255</v>
      </c>
      <c r="AU67" s="199">
        <f>AJ67*Constants!$D$10</f>
        <v>1.4876033057851239</v>
      </c>
      <c r="AV67" s="199">
        <f>Z67*Constants!$E$12</f>
        <v>0</v>
      </c>
      <c r="AW67" s="199">
        <f>AA67*Constants!$E$11</f>
        <v>2.0908351724939021E-2</v>
      </c>
      <c r="AX67" s="199">
        <f>AB67*Constants!$E$13</f>
        <v>0.44626998223801062</v>
      </c>
      <c r="AY67" s="199">
        <f>AC67*Constants!$E$18</f>
        <v>0</v>
      </c>
      <c r="AZ67" s="199">
        <f>AD67*Constants!$E$3</f>
        <v>505.64529558701082</v>
      </c>
      <c r="BA67" s="199">
        <f>AE67*Constants!$E$4</f>
        <v>6.1042116630669545</v>
      </c>
      <c r="BB67" s="199">
        <f>AF67*Constants!$E$5</f>
        <v>5.3569401884008618</v>
      </c>
      <c r="BC67" s="199">
        <f>AG67*Constants!$E$6</f>
        <v>504.23334468278279</v>
      </c>
      <c r="BD67" s="199">
        <f>AH67*Constants!$E$7</f>
        <v>5.8807402330363274</v>
      </c>
      <c r="BE67" s="199">
        <f>AI67*Constants!$E$8</f>
        <v>7.3827474787036129</v>
      </c>
      <c r="BF67" s="199">
        <f>AJ67*Constants!$E$10</f>
        <v>7.9338842975206605</v>
      </c>
    </row>
    <row r="68" spans="1:58">
      <c r="A68" s="199">
        <f>'Influent Concentration'!A68</f>
        <v>140.88333333333867</v>
      </c>
      <c r="B68" s="201">
        <v>5</v>
      </c>
      <c r="C68" s="201" t="s">
        <v>202</v>
      </c>
      <c r="D68" s="201">
        <v>0.02</v>
      </c>
      <c r="E68" s="201">
        <v>0.69</v>
      </c>
      <c r="F68" s="201" t="s">
        <v>202</v>
      </c>
      <c r="G68" s="201">
        <v>10</v>
      </c>
      <c r="H68" s="201">
        <v>405</v>
      </c>
      <c r="I68" s="201">
        <v>3.63</v>
      </c>
      <c r="J68" s="201">
        <v>2.68</v>
      </c>
      <c r="K68" s="201">
        <v>236.75</v>
      </c>
      <c r="L68" s="201">
        <v>2.44</v>
      </c>
      <c r="M68" s="200">
        <v>3</v>
      </c>
      <c r="N68" s="201">
        <v>3.62</v>
      </c>
      <c r="O68" s="200">
        <f t="shared" si="0"/>
        <v>0</v>
      </c>
      <c r="P68" s="200">
        <f t="shared" si="1"/>
        <v>0.1</v>
      </c>
      <c r="Q68" s="200">
        <f t="shared" si="2"/>
        <v>3.4499999999999997</v>
      </c>
      <c r="R68" s="200">
        <f t="shared" si="3"/>
        <v>0</v>
      </c>
      <c r="S68" s="200">
        <f t="shared" si="10"/>
        <v>4050</v>
      </c>
      <c r="T68" s="200">
        <f t="shared" si="4"/>
        <v>36.299999999999997</v>
      </c>
      <c r="U68" s="200">
        <f t="shared" si="5"/>
        <v>26.8</v>
      </c>
      <c r="V68" s="200">
        <f t="shared" si="6"/>
        <v>2367.5</v>
      </c>
      <c r="W68" s="200">
        <f t="shared" si="7"/>
        <v>24.4</v>
      </c>
      <c r="X68" s="200">
        <f t="shared" si="8"/>
        <v>30</v>
      </c>
      <c r="Y68" s="200">
        <f t="shared" si="9"/>
        <v>36.200000000000003</v>
      </c>
      <c r="Z68" s="216">
        <f>O68/Constants!$C$12</f>
        <v>0</v>
      </c>
      <c r="AA68" s="216">
        <f>P68/Constants!$C$11</f>
        <v>1.1615750958299455E-3</v>
      </c>
      <c r="AB68" s="216">
        <f>Q68/Constants!$C$13</f>
        <v>3.8299289520426286E-2</v>
      </c>
      <c r="AC68" s="216">
        <f>R68/Constants!$C$18</f>
        <v>0</v>
      </c>
      <c r="AD68" s="216">
        <f>S68/Constants!$C$3</f>
        <v>67.443796835970033</v>
      </c>
      <c r="AE68" s="216">
        <f>T68/Constants!$C$4</f>
        <v>0.4900107991360691</v>
      </c>
      <c r="AF68" s="216">
        <f>U68/Constants!$C$5</f>
        <v>0.30416524798547273</v>
      </c>
      <c r="AG68" s="216">
        <f>V68/Constants!$C$6</f>
        <v>26.869821813642037</v>
      </c>
      <c r="AH68" s="216">
        <f>W68/Constants!$C$7</f>
        <v>0.23891119161852539</v>
      </c>
      <c r="AI68" s="216">
        <f>X68/Constants!$C$8</f>
        <v>0.2937432683834329</v>
      </c>
      <c r="AJ68" s="216">
        <f>Y68/Constants!$C$10</f>
        <v>0.3116391184573003</v>
      </c>
      <c r="AK68" s="199">
        <f>Z68*Constants!$D$12</f>
        <v>0</v>
      </c>
      <c r="AL68" s="199">
        <f>AA68*Constants!$D$11</f>
        <v>4.6463003833197821E-3</v>
      </c>
      <c r="AM68" s="199">
        <f>AB68*Constants!$D$13</f>
        <v>0.11489786856127886</v>
      </c>
      <c r="AN68" s="199">
        <f>AC68*Constants!$D$18</f>
        <v>0</v>
      </c>
      <c r="AO68" s="199">
        <f>AD68*Constants!$D$3</f>
        <v>134.88759367194007</v>
      </c>
      <c r="AP68" s="199">
        <f>AE68*Constants!$D$4</f>
        <v>1.4700323974082072</v>
      </c>
      <c r="AQ68" s="199">
        <f>AF68*Constants!$D$5</f>
        <v>1.2166609919418909</v>
      </c>
      <c r="AR68" s="199">
        <f>AG68*Constants!$D$6</f>
        <v>107.47928725456815</v>
      </c>
      <c r="AS68" s="199">
        <f>AH68*Constants!$D$7</f>
        <v>1.194555958092627</v>
      </c>
      <c r="AT68" s="199">
        <f>AI68*Constants!$D$8</f>
        <v>1.4687163419171645</v>
      </c>
      <c r="AU68" s="199">
        <f>AJ68*Constants!$D$10</f>
        <v>1.8698347107438018</v>
      </c>
      <c r="AV68" s="199">
        <f>Z68*Constants!$E$12</f>
        <v>0</v>
      </c>
      <c r="AW68" s="199">
        <f>AA68*Constants!$E$11</f>
        <v>2.0908351724939021E-2</v>
      </c>
      <c r="AX68" s="199">
        <f>AB68*Constants!$E$13</f>
        <v>0.45959147424511543</v>
      </c>
      <c r="AY68" s="199">
        <f>AC68*Constants!$E$18</f>
        <v>0</v>
      </c>
      <c r="AZ68" s="199">
        <f>AD68*Constants!$E$3</f>
        <v>539.55037468776027</v>
      </c>
      <c r="BA68" s="199">
        <f>AE68*Constants!$E$4</f>
        <v>6.8601511879049673</v>
      </c>
      <c r="BB68" s="199">
        <f>AF68*Constants!$E$5</f>
        <v>6.0833049597094551</v>
      </c>
      <c r="BC68" s="199">
        <f>AG68*Constants!$E$6</f>
        <v>537.39643627284079</v>
      </c>
      <c r="BD68" s="199">
        <f>AH68*Constants!$E$7</f>
        <v>6.2116909820816604</v>
      </c>
      <c r="BE68" s="199">
        <f>AI68*Constants!$E$8</f>
        <v>7.6373249779692554</v>
      </c>
      <c r="BF68" s="199">
        <f>AJ68*Constants!$E$10</f>
        <v>9.9724517906336096</v>
      </c>
    </row>
    <row r="69" spans="1:58">
      <c r="A69" s="199">
        <f>'Influent Concentration'!A69</f>
        <v>143.87291666666715</v>
      </c>
      <c r="B69" s="201">
        <v>5</v>
      </c>
      <c r="C69" s="201" t="s">
        <v>202</v>
      </c>
      <c r="D69" s="201">
        <v>0.02</v>
      </c>
      <c r="E69" s="201" t="s">
        <v>202</v>
      </c>
      <c r="F69" s="201" t="s">
        <v>202</v>
      </c>
      <c r="G69" s="201">
        <v>20</v>
      </c>
      <c r="H69" s="201">
        <v>201.79</v>
      </c>
      <c r="I69" s="201">
        <v>1.68</v>
      </c>
      <c r="J69" s="201">
        <v>1.35</v>
      </c>
      <c r="K69" s="201">
        <v>115.47</v>
      </c>
      <c r="L69" s="201">
        <v>1.27</v>
      </c>
      <c r="M69" s="200">
        <v>1.4</v>
      </c>
      <c r="N69" s="201">
        <v>2.21</v>
      </c>
      <c r="O69" s="200">
        <f t="shared" ref="O69:O94" si="11">IF(C69="n.a.", 0, C69*B69)</f>
        <v>0</v>
      </c>
      <c r="P69" s="200">
        <f t="shared" ref="P69:P94" si="12">IF(D69="n.a.", 0, D69*B69)</f>
        <v>0.1</v>
      </c>
      <c r="Q69" s="200">
        <f t="shared" ref="Q69:Q94" si="13">IF(E69="n.a.", 0, E69*B69)</f>
        <v>0</v>
      </c>
      <c r="R69" s="200">
        <f t="shared" ref="R69:R94" si="14">IF(F69="n.a.", 0, F69*B69)</f>
        <v>0</v>
      </c>
      <c r="S69" s="200">
        <f t="shared" ref="S69:S94" si="15">IF(H69="n.a.", 0, H69*G69)</f>
        <v>4035.7999999999997</v>
      </c>
      <c r="T69" s="200">
        <f t="shared" ref="T69:T94" si="16">IF(I69="n.a.", 0, I69*G69)</f>
        <v>33.6</v>
      </c>
      <c r="U69" s="200">
        <f t="shared" ref="U69:U94" si="17">IF(J69="n.a.", 0, J69*G69)</f>
        <v>27</v>
      </c>
      <c r="V69" s="200">
        <f t="shared" ref="V69:V94" si="18">IF(K69="n.a.", 0, K69*G69)</f>
        <v>2309.4</v>
      </c>
      <c r="W69" s="200">
        <f t="shared" ref="W69:W94" si="19">IF(L69="n.a.", 0, L69*G69)</f>
        <v>25.4</v>
      </c>
      <c r="X69" s="200">
        <f t="shared" ref="X69:X94" si="20">IF(M69="n.a.", 0, M69*G69)</f>
        <v>28</v>
      </c>
      <c r="Y69" s="200">
        <f t="shared" ref="Y69:Y94" si="21">IF(N69="n.a.", 0, N69*G69)</f>
        <v>44.2</v>
      </c>
      <c r="Z69" s="216">
        <f>O69/Constants!$C$12</f>
        <v>0</v>
      </c>
      <c r="AA69" s="216">
        <f>P69/Constants!$C$11</f>
        <v>1.1615750958299455E-3</v>
      </c>
      <c r="AB69" s="216">
        <f>Q69/Constants!$C$13</f>
        <v>0</v>
      </c>
      <c r="AC69" s="216">
        <f>R69/Constants!$C$18</f>
        <v>0</v>
      </c>
      <c r="AD69" s="216">
        <f>S69/Constants!$C$3</f>
        <v>67.207327227310572</v>
      </c>
      <c r="AE69" s="216">
        <f>T69/Constants!$C$4</f>
        <v>0.45356371490280778</v>
      </c>
      <c r="AF69" s="216">
        <f>U69/Constants!$C$5</f>
        <v>0.30643513789581206</v>
      </c>
      <c r="AG69" s="216">
        <f>V69/Constants!$C$6</f>
        <v>26.210418794688458</v>
      </c>
      <c r="AH69" s="216">
        <f>W69/Constants!$C$7</f>
        <v>0.24870263389797317</v>
      </c>
      <c r="AI69" s="216">
        <f>X69/Constants!$C$8</f>
        <v>0.27416038382453739</v>
      </c>
      <c r="AJ69" s="216">
        <f>Y69/Constants!$C$10</f>
        <v>0.38050964187327829</v>
      </c>
      <c r="AK69" s="199">
        <f>Z69*Constants!$D$12</f>
        <v>0</v>
      </c>
      <c r="AL69" s="199">
        <f>AA69*Constants!$D$11</f>
        <v>4.6463003833197821E-3</v>
      </c>
      <c r="AM69" s="199">
        <f>AB69*Constants!$D$13</f>
        <v>0</v>
      </c>
      <c r="AN69" s="199">
        <f>AC69*Constants!$D$18</f>
        <v>0</v>
      </c>
      <c r="AO69" s="199">
        <f>AD69*Constants!$D$3</f>
        <v>134.41465445462114</v>
      </c>
      <c r="AP69" s="199">
        <f>AE69*Constants!$D$4</f>
        <v>1.3606911447084233</v>
      </c>
      <c r="AQ69" s="199">
        <f>AF69*Constants!$D$5</f>
        <v>1.2257405515832482</v>
      </c>
      <c r="AR69" s="199">
        <f>AG69*Constants!$D$6</f>
        <v>104.84167517875383</v>
      </c>
      <c r="AS69" s="199">
        <f>AH69*Constants!$D$7</f>
        <v>1.2435131694898658</v>
      </c>
      <c r="AT69" s="199">
        <f>AI69*Constants!$D$8</f>
        <v>1.370801919122687</v>
      </c>
      <c r="AU69" s="199">
        <f>AJ69*Constants!$D$10</f>
        <v>2.2830578512396698</v>
      </c>
      <c r="AV69" s="199">
        <f>Z69*Constants!$E$12</f>
        <v>0</v>
      </c>
      <c r="AW69" s="199">
        <f>AA69*Constants!$E$11</f>
        <v>2.0908351724939021E-2</v>
      </c>
      <c r="AX69" s="199">
        <f>AB69*Constants!$E$13</f>
        <v>0</v>
      </c>
      <c r="AY69" s="199">
        <f>AC69*Constants!$E$18</f>
        <v>0</v>
      </c>
      <c r="AZ69" s="199">
        <f>AD69*Constants!$E$3</f>
        <v>537.65861781848457</v>
      </c>
      <c r="BA69" s="199">
        <f>AE69*Constants!$E$4</f>
        <v>6.3498920086393085</v>
      </c>
      <c r="BB69" s="199">
        <f>AF69*Constants!$E$5</f>
        <v>6.1287027579162414</v>
      </c>
      <c r="BC69" s="199">
        <f>AG69*Constants!$E$6</f>
        <v>524.20837589376913</v>
      </c>
      <c r="BD69" s="199">
        <f>AH69*Constants!$E$7</f>
        <v>6.4662684813473028</v>
      </c>
      <c r="BE69" s="199">
        <f>AI69*Constants!$E$8</f>
        <v>7.1281699794379723</v>
      </c>
      <c r="BF69" s="199">
        <f>AJ69*Constants!$E$10</f>
        <v>12.176308539944905</v>
      </c>
    </row>
    <row r="70" spans="1:58">
      <c r="A70" s="199">
        <f>'Influent Concentration'!A70</f>
        <v>145.82013888889196</v>
      </c>
      <c r="B70" s="201">
        <v>5</v>
      </c>
      <c r="C70" s="201" t="s">
        <v>202</v>
      </c>
      <c r="D70" s="201">
        <v>0.02</v>
      </c>
      <c r="E70" s="201" t="s">
        <v>202</v>
      </c>
      <c r="F70" s="201" t="s">
        <v>202</v>
      </c>
      <c r="G70" s="201">
        <v>20</v>
      </c>
      <c r="H70" s="201">
        <v>202.82</v>
      </c>
      <c r="I70" s="201">
        <v>1.92</v>
      </c>
      <c r="J70" s="201">
        <v>1.31</v>
      </c>
      <c r="K70" s="201">
        <v>113.94</v>
      </c>
      <c r="L70" s="201">
        <v>1.39</v>
      </c>
      <c r="M70" s="200">
        <v>1.36</v>
      </c>
      <c r="N70" s="201">
        <v>2.2200000000000002</v>
      </c>
      <c r="O70" s="200">
        <f t="shared" si="11"/>
        <v>0</v>
      </c>
      <c r="P70" s="200">
        <f t="shared" si="12"/>
        <v>0.1</v>
      </c>
      <c r="Q70" s="200">
        <f t="shared" si="13"/>
        <v>0</v>
      </c>
      <c r="R70" s="200">
        <f t="shared" si="14"/>
        <v>0</v>
      </c>
      <c r="S70" s="200">
        <f t="shared" si="15"/>
        <v>4056.3999999999996</v>
      </c>
      <c r="T70" s="200">
        <f t="shared" si="16"/>
        <v>38.4</v>
      </c>
      <c r="U70" s="200">
        <f t="shared" si="17"/>
        <v>26.200000000000003</v>
      </c>
      <c r="V70" s="200">
        <f t="shared" si="18"/>
        <v>2278.8000000000002</v>
      </c>
      <c r="W70" s="200">
        <f t="shared" si="19"/>
        <v>27.799999999999997</v>
      </c>
      <c r="X70" s="200">
        <f t="shared" si="20"/>
        <v>27.200000000000003</v>
      </c>
      <c r="Y70" s="200">
        <f t="shared" si="21"/>
        <v>44.400000000000006</v>
      </c>
      <c r="Z70" s="216">
        <f>O70/Constants!$C$12</f>
        <v>0</v>
      </c>
      <c r="AA70" s="216">
        <f>P70/Constants!$C$11</f>
        <v>1.1615750958299455E-3</v>
      </c>
      <c r="AB70" s="216">
        <f>Q70/Constants!$C$13</f>
        <v>0</v>
      </c>
      <c r="AC70" s="216">
        <f>R70/Constants!$C$18</f>
        <v>0</v>
      </c>
      <c r="AD70" s="216">
        <f>S70/Constants!$C$3</f>
        <v>67.550374687760197</v>
      </c>
      <c r="AE70" s="216">
        <f>T70/Constants!$C$4</f>
        <v>0.51835853131749454</v>
      </c>
      <c r="AF70" s="216">
        <f>U70/Constants!$C$5</f>
        <v>0.29735557825445469</v>
      </c>
      <c r="AG70" s="216">
        <f>V70/Constants!$C$6</f>
        <v>25.86312563840654</v>
      </c>
      <c r="AH70" s="216">
        <f>W70/Constants!$C$7</f>
        <v>0.27220209536864781</v>
      </c>
      <c r="AI70" s="216">
        <f>X70/Constants!$C$8</f>
        <v>0.26632723000097919</v>
      </c>
      <c r="AJ70" s="216">
        <f>Y70/Constants!$C$10</f>
        <v>0.38223140495867775</v>
      </c>
      <c r="AK70" s="199">
        <f>Z70*Constants!$D$12</f>
        <v>0</v>
      </c>
      <c r="AL70" s="199">
        <f>AA70*Constants!$D$11</f>
        <v>4.6463003833197821E-3</v>
      </c>
      <c r="AM70" s="199">
        <f>AB70*Constants!$D$13</f>
        <v>0</v>
      </c>
      <c r="AN70" s="199">
        <f>AC70*Constants!$D$18</f>
        <v>0</v>
      </c>
      <c r="AO70" s="199">
        <f>AD70*Constants!$D$3</f>
        <v>135.10074937552039</v>
      </c>
      <c r="AP70" s="199">
        <f>AE70*Constants!$D$4</f>
        <v>1.5550755939524836</v>
      </c>
      <c r="AQ70" s="199">
        <f>AF70*Constants!$D$5</f>
        <v>1.1894223130178188</v>
      </c>
      <c r="AR70" s="199">
        <f>AG70*Constants!$D$6</f>
        <v>103.45250255362616</v>
      </c>
      <c r="AS70" s="199">
        <f>AH70*Constants!$D$7</f>
        <v>1.3610104768432389</v>
      </c>
      <c r="AT70" s="199">
        <f>AI70*Constants!$D$8</f>
        <v>1.3316361500048959</v>
      </c>
      <c r="AU70" s="199">
        <f>AJ70*Constants!$D$10</f>
        <v>2.2933884297520666</v>
      </c>
      <c r="AV70" s="199">
        <f>Z70*Constants!$E$12</f>
        <v>0</v>
      </c>
      <c r="AW70" s="199">
        <f>AA70*Constants!$E$11</f>
        <v>2.0908351724939021E-2</v>
      </c>
      <c r="AX70" s="199">
        <f>AB70*Constants!$E$13</f>
        <v>0</v>
      </c>
      <c r="AY70" s="199">
        <f>AC70*Constants!$E$18</f>
        <v>0</v>
      </c>
      <c r="AZ70" s="199">
        <f>AD70*Constants!$E$3</f>
        <v>540.40299750208158</v>
      </c>
      <c r="BA70" s="199">
        <f>AE70*Constants!$E$4</f>
        <v>7.2570194384449236</v>
      </c>
      <c r="BB70" s="199">
        <f>AF70*Constants!$E$5</f>
        <v>5.9471115650890933</v>
      </c>
      <c r="BC70" s="199">
        <f>AG70*Constants!$E$6</f>
        <v>517.26251276813082</v>
      </c>
      <c r="BD70" s="199">
        <f>AH70*Constants!$E$7</f>
        <v>7.0772544795848429</v>
      </c>
      <c r="BE70" s="199">
        <f>AI70*Constants!$E$8</f>
        <v>6.9245079800254592</v>
      </c>
      <c r="BF70" s="199">
        <f>AJ70*Constants!$E$10</f>
        <v>12.231404958677688</v>
      </c>
    </row>
    <row r="71" spans="1:58">
      <c r="A71" s="199">
        <f>'Influent Concentration'!A71</f>
        <v>147.87291666666715</v>
      </c>
      <c r="B71" s="201">
        <v>5</v>
      </c>
      <c r="C71" s="201" t="s">
        <v>202</v>
      </c>
      <c r="D71" s="201">
        <v>0.01</v>
      </c>
      <c r="E71" s="201">
        <v>0.55000000000000004</v>
      </c>
      <c r="F71" s="201" t="s">
        <v>202</v>
      </c>
      <c r="G71" s="201">
        <v>20</v>
      </c>
      <c r="H71" s="201">
        <v>199.57</v>
      </c>
      <c r="I71" s="201">
        <v>1.77</v>
      </c>
      <c r="J71" s="201">
        <v>1.42</v>
      </c>
      <c r="K71" s="201">
        <v>111.8</v>
      </c>
      <c r="L71" s="201">
        <v>1.24</v>
      </c>
      <c r="M71" s="200">
        <v>1.49</v>
      </c>
      <c r="N71" s="201">
        <v>2.6</v>
      </c>
      <c r="O71" s="200">
        <f t="shared" si="11"/>
        <v>0</v>
      </c>
      <c r="P71" s="200">
        <f t="shared" si="12"/>
        <v>0.05</v>
      </c>
      <c r="Q71" s="200">
        <f t="shared" si="13"/>
        <v>2.75</v>
      </c>
      <c r="R71" s="200">
        <f t="shared" si="14"/>
        <v>0</v>
      </c>
      <c r="S71" s="200">
        <f t="shared" si="15"/>
        <v>3991.3999999999996</v>
      </c>
      <c r="T71" s="200">
        <f t="shared" si="16"/>
        <v>35.4</v>
      </c>
      <c r="U71" s="200">
        <f t="shared" si="17"/>
        <v>28.4</v>
      </c>
      <c r="V71" s="200">
        <f t="shared" si="18"/>
        <v>2236</v>
      </c>
      <c r="W71" s="200">
        <f t="shared" si="19"/>
        <v>24.8</v>
      </c>
      <c r="X71" s="200">
        <f t="shared" si="20"/>
        <v>29.8</v>
      </c>
      <c r="Y71" s="200">
        <f t="shared" si="21"/>
        <v>52</v>
      </c>
      <c r="Z71" s="216">
        <f>O71/Constants!$C$12</f>
        <v>0</v>
      </c>
      <c r="AA71" s="216">
        <f>P71/Constants!$C$11</f>
        <v>5.8078754791497276E-4</v>
      </c>
      <c r="AB71" s="216">
        <f>Q71/Constants!$C$13</f>
        <v>3.0528419182948491E-2</v>
      </c>
      <c r="AC71" s="216">
        <f>R71/Constants!$C$18</f>
        <v>0</v>
      </c>
      <c r="AD71" s="216">
        <f>S71/Constants!$C$3</f>
        <v>66.467943380516232</v>
      </c>
      <c r="AE71" s="216">
        <f>T71/Constants!$C$4</f>
        <v>0.47786177105831534</v>
      </c>
      <c r="AF71" s="216">
        <f>U71/Constants!$C$5</f>
        <v>0.32232436726818747</v>
      </c>
      <c r="AG71" s="216">
        <f>V71/Constants!$C$6</f>
        <v>25.377369197593918</v>
      </c>
      <c r="AH71" s="216">
        <f>W71/Constants!$C$7</f>
        <v>0.24282776853030452</v>
      </c>
      <c r="AI71" s="216">
        <f>X71/Constants!$C$8</f>
        <v>0.29178497992754332</v>
      </c>
      <c r="AJ71" s="216">
        <f>Y71/Constants!$C$10</f>
        <v>0.44765840220385678</v>
      </c>
      <c r="AK71" s="199">
        <f>Z71*Constants!$D$12</f>
        <v>0</v>
      </c>
      <c r="AL71" s="199">
        <f>AA71*Constants!$D$11</f>
        <v>2.323150191659891E-3</v>
      </c>
      <c r="AM71" s="199">
        <f>AB71*Constants!$D$13</f>
        <v>9.1585257548845472E-2</v>
      </c>
      <c r="AN71" s="199">
        <f>AC71*Constants!$D$18</f>
        <v>0</v>
      </c>
      <c r="AO71" s="199">
        <f>AD71*Constants!$D$3</f>
        <v>132.93588676103246</v>
      </c>
      <c r="AP71" s="199">
        <f>AE71*Constants!$D$4</f>
        <v>1.4335853131749461</v>
      </c>
      <c r="AQ71" s="199">
        <f>AF71*Constants!$D$5</f>
        <v>1.2892974690727499</v>
      </c>
      <c r="AR71" s="199">
        <f>AG71*Constants!$D$6</f>
        <v>101.50947679037567</v>
      </c>
      <c r="AS71" s="199">
        <f>AH71*Constants!$D$7</f>
        <v>1.2141388426515225</v>
      </c>
      <c r="AT71" s="199">
        <f>AI71*Constants!$D$8</f>
        <v>1.4589248996377167</v>
      </c>
      <c r="AU71" s="199">
        <f>AJ71*Constants!$D$10</f>
        <v>2.6859504132231407</v>
      </c>
      <c r="AV71" s="199">
        <f>Z71*Constants!$E$12</f>
        <v>0</v>
      </c>
      <c r="AW71" s="199">
        <f>AA71*Constants!$E$11</f>
        <v>1.045417586246951E-2</v>
      </c>
      <c r="AX71" s="199">
        <f>AB71*Constants!$E$13</f>
        <v>0.36634103019538189</v>
      </c>
      <c r="AY71" s="199">
        <f>AC71*Constants!$E$18</f>
        <v>0</v>
      </c>
      <c r="AZ71" s="199">
        <f>AD71*Constants!$E$3</f>
        <v>531.74354704412985</v>
      </c>
      <c r="BA71" s="199">
        <f>AE71*Constants!$E$4</f>
        <v>6.6900647948164149</v>
      </c>
      <c r="BB71" s="199">
        <f>AF71*Constants!$E$5</f>
        <v>6.4464873453637495</v>
      </c>
      <c r="BC71" s="199">
        <f>AG71*Constants!$E$6</f>
        <v>507.54738395187837</v>
      </c>
      <c r="BD71" s="199">
        <f>AH71*Constants!$E$7</f>
        <v>6.3135219817879173</v>
      </c>
      <c r="BE71" s="199">
        <f>AI71*Constants!$E$8</f>
        <v>7.586409478116126</v>
      </c>
      <c r="BF71" s="199">
        <f>AJ71*Constants!$E$10</f>
        <v>14.325068870523417</v>
      </c>
    </row>
    <row r="72" spans="1:58">
      <c r="A72" s="199">
        <f>'Influent Concentration'!A72</f>
        <v>150.87013888889487</v>
      </c>
      <c r="B72" s="201">
        <v>5</v>
      </c>
      <c r="C72" s="201" t="s">
        <v>202</v>
      </c>
      <c r="D72" s="201">
        <v>0.03</v>
      </c>
      <c r="E72" s="201">
        <v>0.54</v>
      </c>
      <c r="F72" s="201" t="s">
        <v>202</v>
      </c>
      <c r="G72" s="201">
        <v>20</v>
      </c>
      <c r="H72" s="201">
        <v>198.4</v>
      </c>
      <c r="I72" s="201">
        <v>1.98</v>
      </c>
      <c r="J72" s="201">
        <v>1.34</v>
      </c>
      <c r="K72" s="201">
        <v>109.07</v>
      </c>
      <c r="L72" s="201">
        <v>1.35</v>
      </c>
      <c r="M72" s="200">
        <v>1.43</v>
      </c>
      <c r="N72" s="201">
        <v>3.06</v>
      </c>
      <c r="O72" s="200">
        <f t="shared" si="11"/>
        <v>0</v>
      </c>
      <c r="P72" s="200">
        <f t="shared" si="12"/>
        <v>0.15</v>
      </c>
      <c r="Q72" s="200">
        <f t="shared" si="13"/>
        <v>2.7</v>
      </c>
      <c r="R72" s="200">
        <f t="shared" si="14"/>
        <v>0</v>
      </c>
      <c r="S72" s="200">
        <f t="shared" si="15"/>
        <v>3968</v>
      </c>
      <c r="T72" s="200">
        <f t="shared" si="16"/>
        <v>39.6</v>
      </c>
      <c r="U72" s="200">
        <f t="shared" si="17"/>
        <v>26.8</v>
      </c>
      <c r="V72" s="200">
        <f t="shared" si="18"/>
        <v>2181.3999999999996</v>
      </c>
      <c r="W72" s="200">
        <f t="shared" si="19"/>
        <v>27</v>
      </c>
      <c r="X72" s="200">
        <f t="shared" si="20"/>
        <v>28.599999999999998</v>
      </c>
      <c r="Y72" s="200">
        <f t="shared" si="21"/>
        <v>61.2</v>
      </c>
      <c r="Z72" s="216">
        <f>O72/Constants!$C$12</f>
        <v>0</v>
      </c>
      <c r="AA72" s="216">
        <f>P72/Constants!$C$11</f>
        <v>1.742362643744918E-3</v>
      </c>
      <c r="AB72" s="216">
        <f>Q72/Constants!$C$13</f>
        <v>2.9973357015985792E-2</v>
      </c>
      <c r="AC72" s="216">
        <f>R72/Constants!$C$18</f>
        <v>0</v>
      </c>
      <c r="AD72" s="216">
        <f>S72/Constants!$C$3</f>
        <v>66.078268109908407</v>
      </c>
      <c r="AE72" s="216">
        <f>T72/Constants!$C$4</f>
        <v>0.53455723542116629</v>
      </c>
      <c r="AF72" s="216">
        <f>U72/Constants!$C$5</f>
        <v>0.30416524798547273</v>
      </c>
      <c r="AG72" s="216">
        <f>V72/Constants!$C$6</f>
        <v>24.75768925207127</v>
      </c>
      <c r="AH72" s="216">
        <f>W72/Constants!$C$7</f>
        <v>0.26436894154508961</v>
      </c>
      <c r="AI72" s="216">
        <f>X72/Constants!$C$8</f>
        <v>0.28003524919220601</v>
      </c>
      <c r="AJ72" s="216">
        <f>Y72/Constants!$C$10</f>
        <v>0.52685950413223148</v>
      </c>
      <c r="AK72" s="199">
        <f>Z72*Constants!$D$12</f>
        <v>0</v>
      </c>
      <c r="AL72" s="199">
        <f>AA72*Constants!$D$11</f>
        <v>6.9694505749796718E-3</v>
      </c>
      <c r="AM72" s="199">
        <f>AB72*Constants!$D$13</f>
        <v>8.9920071047957378E-2</v>
      </c>
      <c r="AN72" s="199">
        <f>AC72*Constants!$D$18</f>
        <v>0</v>
      </c>
      <c r="AO72" s="199">
        <f>AD72*Constants!$D$3</f>
        <v>132.15653621981681</v>
      </c>
      <c r="AP72" s="199">
        <f>AE72*Constants!$D$4</f>
        <v>1.6036717062634989</v>
      </c>
      <c r="AQ72" s="199">
        <f>AF72*Constants!$D$5</f>
        <v>1.2166609919418909</v>
      </c>
      <c r="AR72" s="199">
        <f>AG72*Constants!$D$6</f>
        <v>99.030757008285079</v>
      </c>
      <c r="AS72" s="199">
        <f>AH72*Constants!$D$7</f>
        <v>1.321844707725448</v>
      </c>
      <c r="AT72" s="199">
        <f>AI72*Constants!$D$8</f>
        <v>1.4001762459610301</v>
      </c>
      <c r="AU72" s="199">
        <f>AJ72*Constants!$D$10</f>
        <v>3.1611570247933889</v>
      </c>
      <c r="AV72" s="199">
        <f>Z72*Constants!$E$12</f>
        <v>0</v>
      </c>
      <c r="AW72" s="199">
        <f>AA72*Constants!$E$11</f>
        <v>3.1362527587408526E-2</v>
      </c>
      <c r="AX72" s="199">
        <f>AB72*Constants!$E$13</f>
        <v>0.35968028419182951</v>
      </c>
      <c r="AY72" s="199">
        <f>AC72*Constants!$E$18</f>
        <v>0</v>
      </c>
      <c r="AZ72" s="199">
        <f>AD72*Constants!$E$3</f>
        <v>528.62614487926726</v>
      </c>
      <c r="BA72" s="199">
        <f>AE72*Constants!$E$4</f>
        <v>7.4838012958963276</v>
      </c>
      <c r="BB72" s="199">
        <f>AF72*Constants!$E$5</f>
        <v>6.0833049597094551</v>
      </c>
      <c r="BC72" s="199">
        <f>AG72*Constants!$E$6</f>
        <v>495.15378504142541</v>
      </c>
      <c r="BD72" s="199">
        <f>AH72*Constants!$E$7</f>
        <v>6.8735924801723298</v>
      </c>
      <c r="BE72" s="199">
        <f>AI72*Constants!$E$8</f>
        <v>7.2809164789973568</v>
      </c>
      <c r="BF72" s="199">
        <f>AJ72*Constants!$E$10</f>
        <v>16.859504132231407</v>
      </c>
    </row>
    <row r="73" spans="1:58">
      <c r="A73" s="199">
        <f>'Influent Concentration'!A73</f>
        <v>152.88333333333867</v>
      </c>
      <c r="B73" s="201">
        <v>5</v>
      </c>
      <c r="C73" s="201" t="s">
        <v>202</v>
      </c>
      <c r="D73" s="201">
        <v>0.02</v>
      </c>
      <c r="E73" s="201">
        <v>0.49</v>
      </c>
      <c r="F73" s="201" t="s">
        <v>202</v>
      </c>
      <c r="G73" s="201">
        <v>20</v>
      </c>
      <c r="H73" s="201">
        <v>192.98</v>
      </c>
      <c r="I73" s="201">
        <v>1.95</v>
      </c>
      <c r="J73" s="201">
        <v>1.37</v>
      </c>
      <c r="K73" s="201">
        <v>104.39</v>
      </c>
      <c r="L73" s="201">
        <v>1.19</v>
      </c>
      <c r="M73" s="200">
        <v>1.53</v>
      </c>
      <c r="N73" s="201">
        <v>3.29</v>
      </c>
      <c r="O73" s="200">
        <f t="shared" si="11"/>
        <v>0</v>
      </c>
      <c r="P73" s="200">
        <f t="shared" si="12"/>
        <v>0.1</v>
      </c>
      <c r="Q73" s="200">
        <f t="shared" si="13"/>
        <v>2.4500000000000002</v>
      </c>
      <c r="R73" s="200">
        <f t="shared" si="14"/>
        <v>0</v>
      </c>
      <c r="S73" s="200">
        <f t="shared" si="15"/>
        <v>3859.6</v>
      </c>
      <c r="T73" s="200">
        <f t="shared" si="16"/>
        <v>39</v>
      </c>
      <c r="U73" s="200">
        <f t="shared" si="17"/>
        <v>27.400000000000002</v>
      </c>
      <c r="V73" s="200">
        <f t="shared" si="18"/>
        <v>2087.8000000000002</v>
      </c>
      <c r="W73" s="200">
        <f t="shared" si="19"/>
        <v>23.799999999999997</v>
      </c>
      <c r="X73" s="200">
        <f t="shared" si="20"/>
        <v>30.6</v>
      </c>
      <c r="Y73" s="200">
        <f t="shared" si="21"/>
        <v>65.8</v>
      </c>
      <c r="Z73" s="216">
        <f>O73/Constants!$C$12</f>
        <v>0</v>
      </c>
      <c r="AA73" s="216">
        <f>P73/Constants!$C$11</f>
        <v>1.1615750958299455E-3</v>
      </c>
      <c r="AB73" s="216">
        <f>Q73/Constants!$C$13</f>
        <v>2.7198046181172292E-2</v>
      </c>
      <c r="AC73" s="216">
        <f>R73/Constants!$C$18</f>
        <v>0</v>
      </c>
      <c r="AD73" s="216">
        <f>S73/Constants!$C$3</f>
        <v>64.27310574521232</v>
      </c>
      <c r="AE73" s="216">
        <f>T73/Constants!$C$4</f>
        <v>0.52645788336933041</v>
      </c>
      <c r="AF73" s="216">
        <f>U73/Constants!$C$5</f>
        <v>0.31097491771649077</v>
      </c>
      <c r="AG73" s="216">
        <f>V73/Constants!$C$6</f>
        <v>23.695380774032461</v>
      </c>
      <c r="AH73" s="216">
        <f>W73/Constants!$C$7</f>
        <v>0.23303632625085674</v>
      </c>
      <c r="AI73" s="216">
        <f>X73/Constants!$C$8</f>
        <v>0.29961813375110158</v>
      </c>
      <c r="AJ73" s="216">
        <f>Y73/Constants!$C$10</f>
        <v>0.56646005509641872</v>
      </c>
      <c r="AK73" s="199">
        <f>Z73*Constants!$D$12</f>
        <v>0</v>
      </c>
      <c r="AL73" s="199">
        <f>AA73*Constants!$D$11</f>
        <v>4.6463003833197821E-3</v>
      </c>
      <c r="AM73" s="199">
        <f>AB73*Constants!$D$13</f>
        <v>8.1594138543516881E-2</v>
      </c>
      <c r="AN73" s="199">
        <f>AC73*Constants!$D$18</f>
        <v>0</v>
      </c>
      <c r="AO73" s="199">
        <f>AD73*Constants!$D$3</f>
        <v>128.54621149042464</v>
      </c>
      <c r="AP73" s="199">
        <f>AE73*Constants!$D$4</f>
        <v>1.5793736501079914</v>
      </c>
      <c r="AQ73" s="199">
        <f>AF73*Constants!$D$5</f>
        <v>1.2438996708659631</v>
      </c>
      <c r="AR73" s="199">
        <f>AG73*Constants!$D$6</f>
        <v>94.781523096129845</v>
      </c>
      <c r="AS73" s="199">
        <f>AH73*Constants!$D$7</f>
        <v>1.1651816312542838</v>
      </c>
      <c r="AT73" s="199">
        <f>AI73*Constants!$D$8</f>
        <v>1.4980906687555078</v>
      </c>
      <c r="AU73" s="199">
        <f>AJ73*Constants!$D$10</f>
        <v>3.3987603305785123</v>
      </c>
      <c r="AV73" s="199">
        <f>Z73*Constants!$E$12</f>
        <v>0</v>
      </c>
      <c r="AW73" s="199">
        <f>AA73*Constants!$E$11</f>
        <v>2.0908351724939021E-2</v>
      </c>
      <c r="AX73" s="199">
        <f>AB73*Constants!$E$13</f>
        <v>0.32637655417406752</v>
      </c>
      <c r="AY73" s="199">
        <f>AC73*Constants!$E$18</f>
        <v>0</v>
      </c>
      <c r="AZ73" s="199">
        <f>AD73*Constants!$E$3</f>
        <v>514.18484596169856</v>
      </c>
      <c r="BA73" s="199">
        <f>AE73*Constants!$E$4</f>
        <v>7.370410367170626</v>
      </c>
      <c r="BB73" s="199">
        <f>AF73*Constants!$E$5</f>
        <v>6.219498354329815</v>
      </c>
      <c r="BC73" s="199">
        <f>AG73*Constants!$E$6</f>
        <v>473.90761548064921</v>
      </c>
      <c r="BD73" s="199">
        <f>AH73*Constants!$E$7</f>
        <v>6.0589444825222749</v>
      </c>
      <c r="BE73" s="199">
        <f>AI73*Constants!$E$8</f>
        <v>7.7900714775286408</v>
      </c>
      <c r="BF73" s="199">
        <f>AJ73*Constants!$E$10</f>
        <v>18.126721763085399</v>
      </c>
    </row>
    <row r="74" spans="1:58">
      <c r="A74" s="199">
        <f>'Influent Concentration'!A74</f>
        <v>155.00763888889196</v>
      </c>
      <c r="B74" s="201">
        <v>5</v>
      </c>
      <c r="C74" s="201" t="s">
        <v>202</v>
      </c>
      <c r="D74" s="201">
        <v>0.02</v>
      </c>
      <c r="E74" s="201">
        <v>0.53</v>
      </c>
      <c r="F74" s="201" t="s">
        <v>202</v>
      </c>
      <c r="G74" s="201">
        <v>20</v>
      </c>
      <c r="H74" s="201">
        <v>186.47</v>
      </c>
      <c r="I74" s="201">
        <v>1.82</v>
      </c>
      <c r="J74" s="201">
        <v>1.4</v>
      </c>
      <c r="K74" s="201">
        <v>99.07</v>
      </c>
      <c r="L74" s="201">
        <v>1.21</v>
      </c>
      <c r="M74" s="200">
        <v>1.18</v>
      </c>
      <c r="N74" s="201">
        <v>3.78</v>
      </c>
      <c r="O74" s="200">
        <f t="shared" si="11"/>
        <v>0</v>
      </c>
      <c r="P74" s="200">
        <f t="shared" si="12"/>
        <v>0.1</v>
      </c>
      <c r="Q74" s="200">
        <f t="shared" si="13"/>
        <v>2.6500000000000004</v>
      </c>
      <c r="R74" s="200">
        <f t="shared" si="14"/>
        <v>0</v>
      </c>
      <c r="S74" s="200">
        <f t="shared" si="15"/>
        <v>3729.4</v>
      </c>
      <c r="T74" s="200">
        <f t="shared" si="16"/>
        <v>36.4</v>
      </c>
      <c r="U74" s="200">
        <f t="shared" si="17"/>
        <v>28</v>
      </c>
      <c r="V74" s="200">
        <f t="shared" si="18"/>
        <v>1981.3999999999999</v>
      </c>
      <c r="W74" s="200">
        <f t="shared" si="19"/>
        <v>24.2</v>
      </c>
      <c r="X74" s="200">
        <f t="shared" si="20"/>
        <v>23.599999999999998</v>
      </c>
      <c r="Y74" s="200">
        <f t="shared" si="21"/>
        <v>75.599999999999994</v>
      </c>
      <c r="Z74" s="216">
        <f>O74/Constants!$C$12</f>
        <v>0</v>
      </c>
      <c r="AA74" s="216">
        <f>P74/Constants!$C$11</f>
        <v>1.1615750958299455E-3</v>
      </c>
      <c r="AB74" s="216">
        <f>Q74/Constants!$C$13</f>
        <v>2.9418294849023096E-2</v>
      </c>
      <c r="AC74" s="216">
        <f>R74/Constants!$C$18</f>
        <v>0</v>
      </c>
      <c r="AD74" s="216">
        <f>S74/Constants!$C$3</f>
        <v>62.104912572855959</v>
      </c>
      <c r="AE74" s="216">
        <f>T74/Constants!$C$4</f>
        <v>0.49136069114470843</v>
      </c>
      <c r="AF74" s="216">
        <f>U74/Constants!$C$5</f>
        <v>0.31778458744750882</v>
      </c>
      <c r="AG74" s="216">
        <f>V74/Constants!$C$6</f>
        <v>22.487799341731925</v>
      </c>
      <c r="AH74" s="216">
        <f>W74/Constants!$C$7</f>
        <v>0.23695290316263587</v>
      </c>
      <c r="AI74" s="216">
        <f>X74/Constants!$C$8</f>
        <v>0.23107803779496719</v>
      </c>
      <c r="AJ74" s="216">
        <f>Y74/Constants!$C$10</f>
        <v>0.65082644628099173</v>
      </c>
      <c r="AK74" s="199">
        <f>Z74*Constants!$D$12</f>
        <v>0</v>
      </c>
      <c r="AL74" s="199">
        <f>AA74*Constants!$D$11</f>
        <v>4.6463003833197821E-3</v>
      </c>
      <c r="AM74" s="199">
        <f>AB74*Constants!$D$13</f>
        <v>8.8254884547069284E-2</v>
      </c>
      <c r="AN74" s="199">
        <f>AC74*Constants!$D$18</f>
        <v>0</v>
      </c>
      <c r="AO74" s="199">
        <f>AD74*Constants!$D$3</f>
        <v>124.20982514571192</v>
      </c>
      <c r="AP74" s="199">
        <f>AE74*Constants!$D$4</f>
        <v>1.4740820734341253</v>
      </c>
      <c r="AQ74" s="199">
        <f>AF74*Constants!$D$5</f>
        <v>1.2711383497900353</v>
      </c>
      <c r="AR74" s="199">
        <f>AG74*Constants!$D$6</f>
        <v>89.951197366927701</v>
      </c>
      <c r="AS74" s="199">
        <f>AH74*Constants!$D$7</f>
        <v>1.1847645158131794</v>
      </c>
      <c r="AT74" s="199">
        <f>AI74*Constants!$D$8</f>
        <v>1.1553901889748359</v>
      </c>
      <c r="AU74" s="199">
        <f>AJ74*Constants!$D$10</f>
        <v>3.9049586776859506</v>
      </c>
      <c r="AV74" s="199">
        <f>Z74*Constants!$E$12</f>
        <v>0</v>
      </c>
      <c r="AW74" s="199">
        <f>AA74*Constants!$E$11</f>
        <v>2.0908351724939021E-2</v>
      </c>
      <c r="AX74" s="199">
        <f>AB74*Constants!$E$13</f>
        <v>0.35301953818827714</v>
      </c>
      <c r="AY74" s="199">
        <f>AC74*Constants!$E$18</f>
        <v>0</v>
      </c>
      <c r="AZ74" s="199">
        <f>AD74*Constants!$E$3</f>
        <v>496.83930058284767</v>
      </c>
      <c r="BA74" s="199">
        <f>AE74*Constants!$E$4</f>
        <v>6.8790496760259181</v>
      </c>
      <c r="BB74" s="199">
        <f>AF74*Constants!$E$5</f>
        <v>6.3556917489501767</v>
      </c>
      <c r="BC74" s="199">
        <f>AG74*Constants!$E$6</f>
        <v>449.75598683463852</v>
      </c>
      <c r="BD74" s="199">
        <f>AH74*Constants!$E$7</f>
        <v>6.1607754822285328</v>
      </c>
      <c r="BE74" s="199">
        <f>AI74*Constants!$E$8</f>
        <v>6.0080289826691473</v>
      </c>
      <c r="BF74" s="199">
        <f>AJ74*Constants!$E$10</f>
        <v>20.826446280991735</v>
      </c>
    </row>
    <row r="75" spans="1:58">
      <c r="A75" s="199">
        <f>'Influent Concentration'!A75</f>
        <v>157.87638888889342</v>
      </c>
      <c r="B75" s="201">
        <v>5</v>
      </c>
      <c r="C75" s="201" t="s">
        <v>202</v>
      </c>
      <c r="D75" s="201">
        <v>0.04</v>
      </c>
      <c r="E75" s="201">
        <v>0.44</v>
      </c>
      <c r="F75" s="201" t="s">
        <v>202</v>
      </c>
      <c r="G75" s="201">
        <v>20</v>
      </c>
      <c r="H75" s="201">
        <v>185.11</v>
      </c>
      <c r="I75" s="201">
        <v>1.42</v>
      </c>
      <c r="J75" s="200">
        <v>1.43</v>
      </c>
      <c r="K75" s="201">
        <v>94.45</v>
      </c>
      <c r="L75" s="201">
        <v>1.32</v>
      </c>
      <c r="M75" s="200">
        <v>1.1499999999999999</v>
      </c>
      <c r="N75" s="201">
        <v>4.6500000000000004</v>
      </c>
      <c r="O75" s="200">
        <f t="shared" si="11"/>
        <v>0</v>
      </c>
      <c r="P75" s="200">
        <f t="shared" si="12"/>
        <v>0.2</v>
      </c>
      <c r="Q75" s="200">
        <f t="shared" si="13"/>
        <v>2.2000000000000002</v>
      </c>
      <c r="R75" s="200">
        <f t="shared" si="14"/>
        <v>0</v>
      </c>
      <c r="S75" s="200">
        <f t="shared" si="15"/>
        <v>3702.2000000000003</v>
      </c>
      <c r="T75" s="200">
        <f t="shared" si="16"/>
        <v>28.4</v>
      </c>
      <c r="U75" s="200">
        <f t="shared" si="17"/>
        <v>28.599999999999998</v>
      </c>
      <c r="V75" s="200">
        <f t="shared" si="18"/>
        <v>1889</v>
      </c>
      <c r="W75" s="200">
        <f t="shared" si="19"/>
        <v>26.400000000000002</v>
      </c>
      <c r="X75" s="200">
        <f t="shared" si="20"/>
        <v>23</v>
      </c>
      <c r="Y75" s="200">
        <f t="shared" si="21"/>
        <v>93</v>
      </c>
      <c r="Z75" s="216">
        <f>O75/Constants!$C$12</f>
        <v>0</v>
      </c>
      <c r="AA75" s="216">
        <f>P75/Constants!$C$11</f>
        <v>2.323150191659891E-3</v>
      </c>
      <c r="AB75" s="216">
        <f>Q75/Constants!$C$13</f>
        <v>2.4422735346358793E-2</v>
      </c>
      <c r="AC75" s="216">
        <f>R75/Constants!$C$18</f>
        <v>0</v>
      </c>
      <c r="AD75" s="216">
        <f>S75/Constants!$C$3</f>
        <v>61.651956702747718</v>
      </c>
      <c r="AE75" s="216">
        <f>T75/Constants!$C$4</f>
        <v>0.38336933045356369</v>
      </c>
      <c r="AF75" s="216">
        <f>U75/Constants!$C$5</f>
        <v>0.3245942571785268</v>
      </c>
      <c r="AG75" s="216">
        <f>V75/Constants!$C$6</f>
        <v>21.439110203155145</v>
      </c>
      <c r="AH75" s="216">
        <f>W75/Constants!$C$7</f>
        <v>0.25849407617742098</v>
      </c>
      <c r="AI75" s="216">
        <f>X75/Constants!$C$8</f>
        <v>0.22520317242729856</v>
      </c>
      <c r="AJ75" s="216">
        <f>Y75/Constants!$C$10</f>
        <v>0.80061983471074383</v>
      </c>
      <c r="AK75" s="199">
        <f>Z75*Constants!$D$12</f>
        <v>0</v>
      </c>
      <c r="AL75" s="199">
        <f>AA75*Constants!$D$11</f>
        <v>9.2926007666395641E-3</v>
      </c>
      <c r="AM75" s="199">
        <f>AB75*Constants!$D$13</f>
        <v>7.3268206039076383E-2</v>
      </c>
      <c r="AN75" s="199">
        <f>AC75*Constants!$D$18</f>
        <v>0</v>
      </c>
      <c r="AO75" s="199">
        <f>AD75*Constants!$D$3</f>
        <v>123.30391340549544</v>
      </c>
      <c r="AP75" s="199">
        <f>AE75*Constants!$D$4</f>
        <v>1.1501079913606911</v>
      </c>
      <c r="AQ75" s="199">
        <f>AF75*Constants!$D$5</f>
        <v>1.2983770287141072</v>
      </c>
      <c r="AR75" s="199">
        <f>AG75*Constants!$D$6</f>
        <v>85.756440812620582</v>
      </c>
      <c r="AS75" s="199">
        <f>AH75*Constants!$D$7</f>
        <v>1.292470380887105</v>
      </c>
      <c r="AT75" s="199">
        <f>AI75*Constants!$D$8</f>
        <v>1.1260158621364929</v>
      </c>
      <c r="AU75" s="199">
        <f>AJ75*Constants!$D$10</f>
        <v>4.803719008264463</v>
      </c>
      <c r="AV75" s="199">
        <f>Z75*Constants!$E$12</f>
        <v>0</v>
      </c>
      <c r="AW75" s="199">
        <f>AA75*Constants!$E$11</f>
        <v>4.1816703449878041E-2</v>
      </c>
      <c r="AX75" s="199">
        <f>AB75*Constants!$E$13</f>
        <v>0.29307282415630553</v>
      </c>
      <c r="AY75" s="199">
        <f>AC75*Constants!$E$18</f>
        <v>0</v>
      </c>
      <c r="AZ75" s="199">
        <f>AD75*Constants!$E$3</f>
        <v>493.21565362198174</v>
      </c>
      <c r="BA75" s="199">
        <f>AE75*Constants!$E$4</f>
        <v>5.3671706263498917</v>
      </c>
      <c r="BB75" s="199">
        <f>AF75*Constants!$E$5</f>
        <v>6.4918851435705358</v>
      </c>
      <c r="BC75" s="199">
        <f>AG75*Constants!$E$6</f>
        <v>428.78220406310288</v>
      </c>
      <c r="BD75" s="199">
        <f>AH75*Constants!$E$7</f>
        <v>6.7208459806129452</v>
      </c>
      <c r="BE75" s="199">
        <f>AI75*Constants!$E$8</f>
        <v>5.8552824831097627</v>
      </c>
      <c r="BF75" s="199">
        <f>AJ75*Constants!$E$10</f>
        <v>25.619834710743802</v>
      </c>
    </row>
    <row r="76" spans="1:58">
      <c r="A76" s="199">
        <f>'Influent Concentration'!A76</f>
        <v>159.9152777777781</v>
      </c>
      <c r="B76" s="201">
        <v>5</v>
      </c>
      <c r="C76" s="201" t="s">
        <v>202</v>
      </c>
      <c r="D76" s="201">
        <v>0.04</v>
      </c>
      <c r="E76" s="201">
        <v>0.45</v>
      </c>
      <c r="F76" s="201" t="s">
        <v>202</v>
      </c>
      <c r="G76" s="201">
        <v>20</v>
      </c>
      <c r="H76" s="201">
        <v>181.98</v>
      </c>
      <c r="I76" s="201">
        <v>1.35</v>
      </c>
      <c r="J76" s="200">
        <v>1.33</v>
      </c>
      <c r="K76" s="201">
        <v>93.01</v>
      </c>
      <c r="L76" s="201">
        <v>1.18</v>
      </c>
      <c r="M76" s="200">
        <v>1.29</v>
      </c>
      <c r="N76" s="201">
        <v>5.29</v>
      </c>
      <c r="O76" s="200">
        <f t="shared" si="11"/>
        <v>0</v>
      </c>
      <c r="P76" s="200">
        <f t="shared" si="12"/>
        <v>0.2</v>
      </c>
      <c r="Q76" s="200">
        <f t="shared" si="13"/>
        <v>2.25</v>
      </c>
      <c r="R76" s="200">
        <f t="shared" si="14"/>
        <v>0</v>
      </c>
      <c r="S76" s="200">
        <f t="shared" si="15"/>
        <v>3639.6</v>
      </c>
      <c r="T76" s="200">
        <f t="shared" si="16"/>
        <v>27</v>
      </c>
      <c r="U76" s="200">
        <f t="shared" si="17"/>
        <v>26.6</v>
      </c>
      <c r="V76" s="200">
        <f t="shared" si="18"/>
        <v>1860.2</v>
      </c>
      <c r="W76" s="200">
        <f t="shared" si="19"/>
        <v>23.599999999999998</v>
      </c>
      <c r="X76" s="200">
        <f t="shared" si="20"/>
        <v>25.8</v>
      </c>
      <c r="Y76" s="200">
        <f t="shared" si="21"/>
        <v>105.8</v>
      </c>
      <c r="Z76" s="216">
        <f>O76/Constants!$C$12</f>
        <v>0</v>
      </c>
      <c r="AA76" s="216">
        <f>P76/Constants!$C$11</f>
        <v>2.323150191659891E-3</v>
      </c>
      <c r="AB76" s="216">
        <f>Q76/Constants!$C$13</f>
        <v>2.4977797513321492E-2</v>
      </c>
      <c r="AC76" s="216">
        <f>R76/Constants!$C$18</f>
        <v>0</v>
      </c>
      <c r="AD76" s="216">
        <f>S76/Constants!$C$3</f>
        <v>60.609492089925062</v>
      </c>
      <c r="AE76" s="216">
        <f>T76/Constants!$C$4</f>
        <v>0.3644708423326134</v>
      </c>
      <c r="AF76" s="216">
        <f>U76/Constants!$C$5</f>
        <v>0.30189535807513335</v>
      </c>
      <c r="AG76" s="216">
        <f>V76/Constants!$C$6</f>
        <v>21.112246056066283</v>
      </c>
      <c r="AH76" s="216">
        <f>W76/Constants!$C$7</f>
        <v>0.23107803779496719</v>
      </c>
      <c r="AI76" s="216">
        <f>X76/Constants!$C$8</f>
        <v>0.2526192108097523</v>
      </c>
      <c r="AJ76" s="216">
        <f>Y76/Constants!$C$10</f>
        <v>0.91081267217630857</v>
      </c>
      <c r="AK76" s="199">
        <f>Z76*Constants!$D$12</f>
        <v>0</v>
      </c>
      <c r="AL76" s="199">
        <f>AA76*Constants!$D$11</f>
        <v>9.2926007666395641E-3</v>
      </c>
      <c r="AM76" s="199">
        <f>AB76*Constants!$D$13</f>
        <v>7.4933392539964477E-2</v>
      </c>
      <c r="AN76" s="199">
        <f>AC76*Constants!$D$18</f>
        <v>0</v>
      </c>
      <c r="AO76" s="199">
        <f>AD76*Constants!$D$3</f>
        <v>121.21898417985012</v>
      </c>
      <c r="AP76" s="199">
        <f>AE76*Constants!$D$4</f>
        <v>1.0934125269978403</v>
      </c>
      <c r="AQ76" s="199">
        <f>AF76*Constants!$D$5</f>
        <v>1.2075814323005334</v>
      </c>
      <c r="AR76" s="199">
        <f>AG76*Constants!$D$6</f>
        <v>84.448984224265132</v>
      </c>
      <c r="AS76" s="199">
        <f>AH76*Constants!$D$7</f>
        <v>1.1553901889748359</v>
      </c>
      <c r="AT76" s="199">
        <f>AI76*Constants!$D$8</f>
        <v>1.2630960540487615</v>
      </c>
      <c r="AU76" s="199">
        <f>AJ76*Constants!$D$10</f>
        <v>5.4648760330578519</v>
      </c>
      <c r="AV76" s="199">
        <f>Z76*Constants!$E$12</f>
        <v>0</v>
      </c>
      <c r="AW76" s="199">
        <f>AA76*Constants!$E$11</f>
        <v>4.1816703449878041E-2</v>
      </c>
      <c r="AX76" s="199">
        <f>AB76*Constants!$E$13</f>
        <v>0.29973357015985791</v>
      </c>
      <c r="AY76" s="199">
        <f>AC76*Constants!$E$18</f>
        <v>0</v>
      </c>
      <c r="AZ76" s="199">
        <f>AD76*Constants!$E$3</f>
        <v>484.8759367194005</v>
      </c>
      <c r="BA76" s="199">
        <f>AE76*Constants!$E$4</f>
        <v>5.1025917926565878</v>
      </c>
      <c r="BB76" s="199">
        <f>AF76*Constants!$E$5</f>
        <v>6.0379071615026669</v>
      </c>
      <c r="BC76" s="199">
        <f>AG76*Constants!$E$6</f>
        <v>422.24492112132566</v>
      </c>
      <c r="BD76" s="199">
        <f>AH76*Constants!$E$7</f>
        <v>6.0080289826691473</v>
      </c>
      <c r="BE76" s="199">
        <f>AI76*Constants!$E$8</f>
        <v>6.5680994810535598</v>
      </c>
      <c r="BF76" s="199">
        <f>AJ76*Constants!$E$10</f>
        <v>29.146005509641874</v>
      </c>
    </row>
    <row r="77" spans="1:58">
      <c r="A77" s="199">
        <f>'Influent Concentration'!A77</f>
        <v>161.89444444444962</v>
      </c>
      <c r="B77" s="201">
        <v>5</v>
      </c>
      <c r="C77" s="201" t="s">
        <v>202</v>
      </c>
      <c r="D77" s="201">
        <v>0.04</v>
      </c>
      <c r="E77" s="201">
        <v>0.41</v>
      </c>
      <c r="F77" s="201" t="s">
        <v>202</v>
      </c>
      <c r="G77" s="201">
        <v>20</v>
      </c>
      <c r="H77" s="201">
        <v>175.72</v>
      </c>
      <c r="I77" s="201">
        <v>1.65</v>
      </c>
      <c r="J77" s="200">
        <v>1.21</v>
      </c>
      <c r="K77" s="201">
        <v>88.04</v>
      </c>
      <c r="L77" s="201">
        <v>1.21</v>
      </c>
      <c r="M77" s="200">
        <v>1.03</v>
      </c>
      <c r="N77" s="201">
        <v>5.47</v>
      </c>
      <c r="O77" s="200">
        <f t="shared" si="11"/>
        <v>0</v>
      </c>
      <c r="P77" s="200">
        <f t="shared" si="12"/>
        <v>0.2</v>
      </c>
      <c r="Q77" s="200">
        <f t="shared" si="13"/>
        <v>2.0499999999999998</v>
      </c>
      <c r="R77" s="200">
        <f t="shared" si="14"/>
        <v>0</v>
      </c>
      <c r="S77" s="200">
        <f t="shared" si="15"/>
        <v>3514.4</v>
      </c>
      <c r="T77" s="200">
        <f t="shared" si="16"/>
        <v>33</v>
      </c>
      <c r="U77" s="200">
        <f t="shared" si="17"/>
        <v>24.2</v>
      </c>
      <c r="V77" s="200">
        <f t="shared" si="18"/>
        <v>1760.8000000000002</v>
      </c>
      <c r="W77" s="200">
        <f t="shared" si="19"/>
        <v>24.2</v>
      </c>
      <c r="X77" s="200">
        <f t="shared" si="20"/>
        <v>20.6</v>
      </c>
      <c r="Y77" s="200">
        <f t="shared" si="21"/>
        <v>109.39999999999999</v>
      </c>
      <c r="Z77" s="216">
        <f>O77/Constants!$C$12</f>
        <v>0</v>
      </c>
      <c r="AA77" s="216">
        <f>P77/Constants!$C$11</f>
        <v>2.323150191659891E-3</v>
      </c>
      <c r="AB77" s="216">
        <f>Q77/Constants!$C$13</f>
        <v>2.2757548845470692E-2</v>
      </c>
      <c r="AC77" s="216">
        <f>R77/Constants!$C$18</f>
        <v>0</v>
      </c>
      <c r="AD77" s="216">
        <f>S77/Constants!$C$3</f>
        <v>58.524562864279773</v>
      </c>
      <c r="AE77" s="216">
        <f>T77/Constants!$C$4</f>
        <v>0.44546436285097191</v>
      </c>
      <c r="AF77" s="216">
        <f>U77/Constants!$C$5</f>
        <v>0.27465667915106118</v>
      </c>
      <c r="AG77" s="216">
        <f>V77/Constants!$C$6</f>
        <v>19.984110770627627</v>
      </c>
      <c r="AH77" s="216">
        <f>W77/Constants!$C$7</f>
        <v>0.23695290316263587</v>
      </c>
      <c r="AI77" s="216">
        <f>X77/Constants!$C$8</f>
        <v>0.20170371095662393</v>
      </c>
      <c r="AJ77" s="216">
        <f>Y77/Constants!$C$10</f>
        <v>0.9418044077134986</v>
      </c>
      <c r="AK77" s="199">
        <f>Z77*Constants!$D$12</f>
        <v>0</v>
      </c>
      <c r="AL77" s="199">
        <f>AA77*Constants!$D$11</f>
        <v>9.2926007666395641E-3</v>
      </c>
      <c r="AM77" s="199">
        <f>AB77*Constants!$D$13</f>
        <v>6.8272646536412074E-2</v>
      </c>
      <c r="AN77" s="199">
        <f>AC77*Constants!$D$18</f>
        <v>0</v>
      </c>
      <c r="AO77" s="199">
        <f>AD77*Constants!$D$3</f>
        <v>117.04912572855955</v>
      </c>
      <c r="AP77" s="199">
        <f>AE77*Constants!$D$4</f>
        <v>1.3363930885529158</v>
      </c>
      <c r="AQ77" s="199">
        <f>AF77*Constants!$D$5</f>
        <v>1.0986267166042447</v>
      </c>
      <c r="AR77" s="199">
        <f>AG77*Constants!$D$6</f>
        <v>79.936443082510507</v>
      </c>
      <c r="AS77" s="199">
        <f>AH77*Constants!$D$7</f>
        <v>1.1847645158131794</v>
      </c>
      <c r="AT77" s="199">
        <f>AI77*Constants!$D$8</f>
        <v>1.0085185547831197</v>
      </c>
      <c r="AU77" s="199">
        <f>AJ77*Constants!$D$10</f>
        <v>5.6508264462809912</v>
      </c>
      <c r="AV77" s="199">
        <f>Z77*Constants!$E$12</f>
        <v>0</v>
      </c>
      <c r="AW77" s="199">
        <f>AA77*Constants!$E$11</f>
        <v>4.1816703449878041E-2</v>
      </c>
      <c r="AX77" s="199">
        <f>AB77*Constants!$E$13</f>
        <v>0.2730905861456483</v>
      </c>
      <c r="AY77" s="199">
        <f>AC77*Constants!$E$18</f>
        <v>0</v>
      </c>
      <c r="AZ77" s="199">
        <f>AD77*Constants!$E$3</f>
        <v>468.19650291423818</v>
      </c>
      <c r="BA77" s="199">
        <f>AE77*Constants!$E$4</f>
        <v>6.2365010799136069</v>
      </c>
      <c r="BB77" s="199">
        <f>AF77*Constants!$E$5</f>
        <v>5.4931335830212236</v>
      </c>
      <c r="BC77" s="199">
        <f>AG77*Constants!$E$6</f>
        <v>399.68221541255252</v>
      </c>
      <c r="BD77" s="199">
        <f>AH77*Constants!$E$7</f>
        <v>6.1607754822285328</v>
      </c>
      <c r="BE77" s="199">
        <f>AI77*Constants!$E$8</f>
        <v>5.2442964848722218</v>
      </c>
      <c r="BF77" s="199">
        <f>AJ77*Constants!$E$10</f>
        <v>30.137741046831955</v>
      </c>
    </row>
    <row r="78" spans="1:58">
      <c r="A78" s="199">
        <f>'Influent Concentration'!A78</f>
        <v>164.87708333333285</v>
      </c>
      <c r="B78" s="201">
        <v>5</v>
      </c>
      <c r="C78" s="201" t="s">
        <v>202</v>
      </c>
      <c r="D78" s="201">
        <v>0.04</v>
      </c>
      <c r="E78" s="201" t="s">
        <v>202</v>
      </c>
      <c r="F78" s="201" t="s">
        <v>202</v>
      </c>
      <c r="G78" s="201">
        <v>20</v>
      </c>
      <c r="H78" s="201">
        <v>178.55</v>
      </c>
      <c r="I78" s="201">
        <v>1.25</v>
      </c>
      <c r="J78" s="200">
        <v>1.34</v>
      </c>
      <c r="K78" s="201">
        <v>84.85</v>
      </c>
      <c r="L78" s="201">
        <v>1.0900000000000001</v>
      </c>
      <c r="M78" s="200">
        <v>1.1399999999999999</v>
      </c>
      <c r="N78" s="201">
        <v>6.23</v>
      </c>
      <c r="O78" s="200">
        <f t="shared" si="11"/>
        <v>0</v>
      </c>
      <c r="P78" s="200">
        <f t="shared" si="12"/>
        <v>0.2</v>
      </c>
      <c r="Q78" s="200">
        <f t="shared" si="13"/>
        <v>0</v>
      </c>
      <c r="R78" s="200">
        <f t="shared" si="14"/>
        <v>0</v>
      </c>
      <c r="S78" s="200">
        <f t="shared" si="15"/>
        <v>3571</v>
      </c>
      <c r="T78" s="200">
        <f t="shared" si="16"/>
        <v>25</v>
      </c>
      <c r="U78" s="200">
        <f t="shared" si="17"/>
        <v>26.8</v>
      </c>
      <c r="V78" s="200">
        <f t="shared" si="18"/>
        <v>1697</v>
      </c>
      <c r="W78" s="200">
        <f t="shared" si="19"/>
        <v>21.8</v>
      </c>
      <c r="X78" s="200">
        <f t="shared" si="20"/>
        <v>22.799999999999997</v>
      </c>
      <c r="Y78" s="200">
        <f t="shared" si="21"/>
        <v>124.60000000000001</v>
      </c>
      <c r="Z78" s="216">
        <f>O78/Constants!$C$12</f>
        <v>0</v>
      </c>
      <c r="AA78" s="216">
        <f>P78/Constants!$C$11</f>
        <v>2.323150191659891E-3</v>
      </c>
      <c r="AB78" s="216">
        <f>Q78/Constants!$C$13</f>
        <v>0</v>
      </c>
      <c r="AC78" s="216">
        <f>R78/Constants!$C$18</f>
        <v>0</v>
      </c>
      <c r="AD78" s="216">
        <f>S78/Constants!$C$3</f>
        <v>59.467110741049126</v>
      </c>
      <c r="AE78" s="216">
        <f>T78/Constants!$C$4</f>
        <v>0.33747300215982723</v>
      </c>
      <c r="AF78" s="216">
        <f>U78/Constants!$C$5</f>
        <v>0.30416524798547273</v>
      </c>
      <c r="AG78" s="216">
        <f>V78/Constants!$C$6</f>
        <v>19.260015889229372</v>
      </c>
      <c r="AH78" s="216">
        <f>W78/Constants!$C$7</f>
        <v>0.21345344169196123</v>
      </c>
      <c r="AI78" s="216">
        <f>X78/Constants!$C$8</f>
        <v>0.22324488397140896</v>
      </c>
      <c r="AJ78" s="216">
        <f>Y78/Constants!$C$10</f>
        <v>1.0726584022038568</v>
      </c>
      <c r="AK78" s="199">
        <f>Z78*Constants!$D$12</f>
        <v>0</v>
      </c>
      <c r="AL78" s="199">
        <f>AA78*Constants!$D$11</f>
        <v>9.2926007666395641E-3</v>
      </c>
      <c r="AM78" s="199">
        <f>AB78*Constants!$D$13</f>
        <v>0</v>
      </c>
      <c r="AN78" s="199">
        <f>AC78*Constants!$D$18</f>
        <v>0</v>
      </c>
      <c r="AO78" s="199">
        <f>AD78*Constants!$D$3</f>
        <v>118.93422148209825</v>
      </c>
      <c r="AP78" s="199">
        <f>AE78*Constants!$D$4</f>
        <v>1.0124190064794818</v>
      </c>
      <c r="AQ78" s="199">
        <f>AF78*Constants!$D$5</f>
        <v>1.2166609919418909</v>
      </c>
      <c r="AR78" s="199">
        <f>AG78*Constants!$D$6</f>
        <v>77.040063556917488</v>
      </c>
      <c r="AS78" s="199">
        <f>AH78*Constants!$D$7</f>
        <v>1.067267208459806</v>
      </c>
      <c r="AT78" s="199">
        <f>AI78*Constants!$D$8</f>
        <v>1.1162244198570448</v>
      </c>
      <c r="AU78" s="199">
        <f>AJ78*Constants!$D$10</f>
        <v>6.4359504132231411</v>
      </c>
      <c r="AV78" s="199">
        <f>Z78*Constants!$E$12</f>
        <v>0</v>
      </c>
      <c r="AW78" s="199">
        <f>AA78*Constants!$E$11</f>
        <v>4.1816703449878041E-2</v>
      </c>
      <c r="AX78" s="199">
        <f>AB78*Constants!$E$13</f>
        <v>0</v>
      </c>
      <c r="AY78" s="199">
        <f>AC78*Constants!$E$18</f>
        <v>0</v>
      </c>
      <c r="AZ78" s="199">
        <f>AD78*Constants!$E$3</f>
        <v>475.73688592839301</v>
      </c>
      <c r="BA78" s="199">
        <f>AE78*Constants!$E$4</f>
        <v>4.7246220302375814</v>
      </c>
      <c r="BB78" s="199">
        <f>AF78*Constants!$E$5</f>
        <v>6.0833049597094551</v>
      </c>
      <c r="BC78" s="199">
        <f>AG78*Constants!$E$6</f>
        <v>385.20031778458747</v>
      </c>
      <c r="BD78" s="199">
        <f>AH78*Constants!$E$7</f>
        <v>5.5497894839909918</v>
      </c>
      <c r="BE78" s="199">
        <f>AI78*Constants!$E$8</f>
        <v>5.8043669832566334</v>
      </c>
      <c r="BF78" s="199">
        <f>AJ78*Constants!$E$10</f>
        <v>34.325068870523417</v>
      </c>
    </row>
    <row r="79" spans="1:58">
      <c r="A79" s="199">
        <f>'Influent Concentration'!A79</f>
        <v>166.88680555555766</v>
      </c>
      <c r="B79" s="201">
        <v>5</v>
      </c>
      <c r="C79" s="201" t="s">
        <v>202</v>
      </c>
      <c r="D79" s="201">
        <v>0.04</v>
      </c>
      <c r="E79" s="201" t="s">
        <v>202</v>
      </c>
      <c r="F79" s="201" t="s">
        <v>202</v>
      </c>
      <c r="G79" s="201">
        <v>20</v>
      </c>
      <c r="H79" s="201">
        <v>176.96</v>
      </c>
      <c r="I79" s="201">
        <v>1.33</v>
      </c>
      <c r="J79" s="200">
        <v>1.1100000000000001</v>
      </c>
      <c r="K79" s="201">
        <v>82.63</v>
      </c>
      <c r="L79" s="201">
        <v>1.22</v>
      </c>
      <c r="M79" s="200">
        <v>1</v>
      </c>
      <c r="N79" s="201">
        <v>6.61</v>
      </c>
      <c r="O79" s="200">
        <f t="shared" si="11"/>
        <v>0</v>
      </c>
      <c r="P79" s="200">
        <f t="shared" si="12"/>
        <v>0.2</v>
      </c>
      <c r="Q79" s="200">
        <f t="shared" si="13"/>
        <v>0</v>
      </c>
      <c r="R79" s="200">
        <f t="shared" si="14"/>
        <v>0</v>
      </c>
      <c r="S79" s="200">
        <f t="shared" si="15"/>
        <v>3539.2000000000003</v>
      </c>
      <c r="T79" s="200">
        <f t="shared" si="16"/>
        <v>26.6</v>
      </c>
      <c r="U79" s="200">
        <f t="shared" si="17"/>
        <v>22.200000000000003</v>
      </c>
      <c r="V79" s="200">
        <f t="shared" si="18"/>
        <v>1652.6</v>
      </c>
      <c r="W79" s="200">
        <f t="shared" si="19"/>
        <v>24.4</v>
      </c>
      <c r="X79" s="200">
        <f t="shared" si="20"/>
        <v>20</v>
      </c>
      <c r="Y79" s="200">
        <f t="shared" si="21"/>
        <v>132.20000000000002</v>
      </c>
      <c r="Z79" s="216">
        <f>O79/Constants!$C$12</f>
        <v>0</v>
      </c>
      <c r="AA79" s="216">
        <f>P79/Constants!$C$11</f>
        <v>2.323150191659891E-3</v>
      </c>
      <c r="AB79" s="216">
        <f>Q79/Constants!$C$13</f>
        <v>0</v>
      </c>
      <c r="AC79" s="216">
        <f>R79/Constants!$C$18</f>
        <v>0</v>
      </c>
      <c r="AD79" s="216">
        <f>S79/Constants!$C$3</f>
        <v>58.937552039966704</v>
      </c>
      <c r="AE79" s="216">
        <f>T79/Constants!$C$4</f>
        <v>0.35907127429805619</v>
      </c>
      <c r="AF79" s="216">
        <f>U79/Constants!$C$5</f>
        <v>0.25195778004766772</v>
      </c>
      <c r="AG79" s="216">
        <f>V79/Constants!$C$6</f>
        <v>18.756100329134036</v>
      </c>
      <c r="AH79" s="216">
        <f>W79/Constants!$C$7</f>
        <v>0.23891119161852539</v>
      </c>
      <c r="AI79" s="216">
        <f>X79/Constants!$C$8</f>
        <v>0.19582884558895527</v>
      </c>
      <c r="AJ79" s="216">
        <f>Y79/Constants!$C$10</f>
        <v>1.1380853994490361</v>
      </c>
      <c r="AK79" s="199">
        <f>Z79*Constants!$D$12</f>
        <v>0</v>
      </c>
      <c r="AL79" s="199">
        <f>AA79*Constants!$D$11</f>
        <v>9.2926007666395641E-3</v>
      </c>
      <c r="AM79" s="199">
        <f>AB79*Constants!$D$13</f>
        <v>0</v>
      </c>
      <c r="AN79" s="199">
        <f>AC79*Constants!$D$18</f>
        <v>0</v>
      </c>
      <c r="AO79" s="199">
        <f>AD79*Constants!$D$3</f>
        <v>117.87510407993341</v>
      </c>
      <c r="AP79" s="199">
        <f>AE79*Constants!$D$4</f>
        <v>1.0772138228941686</v>
      </c>
      <c r="AQ79" s="199">
        <f>AF79*Constants!$D$5</f>
        <v>1.0078311201906709</v>
      </c>
      <c r="AR79" s="199">
        <f>AG79*Constants!$D$6</f>
        <v>75.024401316536142</v>
      </c>
      <c r="AS79" s="199">
        <f>AH79*Constants!$D$7</f>
        <v>1.194555958092627</v>
      </c>
      <c r="AT79" s="199">
        <f>AI79*Constants!$D$8</f>
        <v>0.9791442279447764</v>
      </c>
      <c r="AU79" s="199">
        <f>AJ79*Constants!$D$10</f>
        <v>6.8285123966942169</v>
      </c>
      <c r="AV79" s="199">
        <f>Z79*Constants!$E$12</f>
        <v>0</v>
      </c>
      <c r="AW79" s="199">
        <f>AA79*Constants!$E$11</f>
        <v>4.1816703449878041E-2</v>
      </c>
      <c r="AX79" s="199">
        <f>AB79*Constants!$E$13</f>
        <v>0</v>
      </c>
      <c r="AY79" s="199">
        <f>AC79*Constants!$E$18</f>
        <v>0</v>
      </c>
      <c r="AZ79" s="199">
        <f>AD79*Constants!$E$3</f>
        <v>471.50041631973363</v>
      </c>
      <c r="BA79" s="199">
        <f>AE79*Constants!$E$4</f>
        <v>5.0269978401727862</v>
      </c>
      <c r="BB79" s="199">
        <f>AF79*Constants!$E$5</f>
        <v>5.0391556009533547</v>
      </c>
      <c r="BC79" s="199">
        <f>AG79*Constants!$E$6</f>
        <v>375.12200658268068</v>
      </c>
      <c r="BD79" s="199">
        <f>AH79*Constants!$E$7</f>
        <v>6.2116909820816604</v>
      </c>
      <c r="BE79" s="199">
        <f>AI79*Constants!$E$8</f>
        <v>5.0915499853128372</v>
      </c>
      <c r="BF79" s="199">
        <f>AJ79*Constants!$E$10</f>
        <v>36.418732782369155</v>
      </c>
    </row>
    <row r="80" spans="1:58">
      <c r="A80" s="199">
        <f>'Influent Concentration'!A80</f>
        <v>168.87638888889342</v>
      </c>
      <c r="B80" s="201">
        <v>5</v>
      </c>
      <c r="C80" s="201" t="s">
        <v>202</v>
      </c>
      <c r="D80" s="201">
        <v>0.04</v>
      </c>
      <c r="E80" s="201" t="s">
        <v>202</v>
      </c>
      <c r="F80" s="201" t="s">
        <v>202</v>
      </c>
      <c r="G80" s="201">
        <v>20</v>
      </c>
      <c r="H80" s="201">
        <v>168.65</v>
      </c>
      <c r="I80" s="201">
        <v>1.18</v>
      </c>
      <c r="J80" s="200">
        <v>1.19</v>
      </c>
      <c r="K80" s="201">
        <v>79.010000000000005</v>
      </c>
      <c r="L80" s="201">
        <v>1.1599999999999999</v>
      </c>
      <c r="M80" s="200">
        <v>0.87</v>
      </c>
      <c r="N80" s="201">
        <v>6.9</v>
      </c>
      <c r="O80" s="200">
        <f t="shared" si="11"/>
        <v>0</v>
      </c>
      <c r="P80" s="200">
        <f t="shared" si="12"/>
        <v>0.2</v>
      </c>
      <c r="Q80" s="200">
        <f t="shared" si="13"/>
        <v>0</v>
      </c>
      <c r="R80" s="200">
        <f t="shared" si="14"/>
        <v>0</v>
      </c>
      <c r="S80" s="200">
        <f t="shared" si="15"/>
        <v>3373</v>
      </c>
      <c r="T80" s="200">
        <f t="shared" si="16"/>
        <v>23.599999999999998</v>
      </c>
      <c r="U80" s="200">
        <f t="shared" si="17"/>
        <v>23.799999999999997</v>
      </c>
      <c r="V80" s="200">
        <f t="shared" si="18"/>
        <v>1580.2</v>
      </c>
      <c r="W80" s="200">
        <f t="shared" si="19"/>
        <v>23.2</v>
      </c>
      <c r="X80" s="200">
        <f t="shared" si="20"/>
        <v>17.399999999999999</v>
      </c>
      <c r="Y80" s="200">
        <f t="shared" si="21"/>
        <v>138</v>
      </c>
      <c r="Z80" s="216">
        <f>O80/Constants!$C$12</f>
        <v>0</v>
      </c>
      <c r="AA80" s="216">
        <f>P80/Constants!$C$11</f>
        <v>2.323150191659891E-3</v>
      </c>
      <c r="AB80" s="216">
        <f>Q80/Constants!$C$13</f>
        <v>0</v>
      </c>
      <c r="AC80" s="216">
        <f>R80/Constants!$C$18</f>
        <v>0</v>
      </c>
      <c r="AD80" s="216">
        <f>S80/Constants!$C$3</f>
        <v>56.169858451290594</v>
      </c>
      <c r="AE80" s="216">
        <f>T80/Constants!$C$4</f>
        <v>0.31857451403887688</v>
      </c>
      <c r="AF80" s="216">
        <f>U80/Constants!$C$5</f>
        <v>0.27011689933038247</v>
      </c>
      <c r="AG80" s="216">
        <f>V80/Constants!$C$6</f>
        <v>17.934400181591194</v>
      </c>
      <c r="AH80" s="216">
        <f>W80/Constants!$C$7</f>
        <v>0.22716146088318809</v>
      </c>
      <c r="AI80" s="216">
        <f>X80/Constants!$C$8</f>
        <v>0.17037109566239106</v>
      </c>
      <c r="AJ80" s="216">
        <f>Y80/Constants!$C$10</f>
        <v>1.1880165289256199</v>
      </c>
      <c r="AK80" s="199">
        <f>Z80*Constants!$D$12</f>
        <v>0</v>
      </c>
      <c r="AL80" s="199">
        <f>AA80*Constants!$D$11</f>
        <v>9.2926007666395641E-3</v>
      </c>
      <c r="AM80" s="199">
        <f>AB80*Constants!$D$13</f>
        <v>0</v>
      </c>
      <c r="AN80" s="199">
        <f>AC80*Constants!$D$18</f>
        <v>0</v>
      </c>
      <c r="AO80" s="199">
        <f>AD80*Constants!$D$3</f>
        <v>112.33971690258119</v>
      </c>
      <c r="AP80" s="199">
        <f>AE80*Constants!$D$4</f>
        <v>0.95572354211663058</v>
      </c>
      <c r="AQ80" s="199">
        <f>AF80*Constants!$D$5</f>
        <v>1.0804675973215299</v>
      </c>
      <c r="AR80" s="199">
        <f>AG80*Constants!$D$6</f>
        <v>71.737600726364775</v>
      </c>
      <c r="AS80" s="199">
        <f>AH80*Constants!$D$7</f>
        <v>1.1358073044159405</v>
      </c>
      <c r="AT80" s="199">
        <f>AI80*Constants!$D$8</f>
        <v>0.85185547831195529</v>
      </c>
      <c r="AU80" s="199">
        <f>AJ80*Constants!$D$10</f>
        <v>7.1280991735537196</v>
      </c>
      <c r="AV80" s="199">
        <f>Z80*Constants!$E$12</f>
        <v>0</v>
      </c>
      <c r="AW80" s="199">
        <f>AA80*Constants!$E$11</f>
        <v>4.1816703449878041E-2</v>
      </c>
      <c r="AX80" s="199">
        <f>AB80*Constants!$E$13</f>
        <v>0</v>
      </c>
      <c r="AY80" s="199">
        <f>AC80*Constants!$E$18</f>
        <v>0</v>
      </c>
      <c r="AZ80" s="199">
        <f>AD80*Constants!$E$3</f>
        <v>449.35886761032475</v>
      </c>
      <c r="BA80" s="199">
        <f>AE80*Constants!$E$4</f>
        <v>4.4600431965442766</v>
      </c>
      <c r="BB80" s="199">
        <f>AF80*Constants!$E$5</f>
        <v>5.4023379866076491</v>
      </c>
      <c r="BC80" s="199">
        <f>AG80*Constants!$E$6</f>
        <v>358.6880036318239</v>
      </c>
      <c r="BD80" s="199">
        <f>AH80*Constants!$E$7</f>
        <v>5.9061979829628903</v>
      </c>
      <c r="BE80" s="199">
        <f>AI80*Constants!$E$8</f>
        <v>4.4296484872221678</v>
      </c>
      <c r="BF80" s="199">
        <f>AJ80*Constants!$E$10</f>
        <v>38.016528925619838</v>
      </c>
    </row>
    <row r="81" spans="1:58">
      <c r="A81" s="199">
        <f>'Influent Concentration'!A81</f>
        <v>171.86458333333576</v>
      </c>
      <c r="B81" s="201">
        <v>5</v>
      </c>
      <c r="C81" s="201" t="s">
        <v>202</v>
      </c>
      <c r="D81" s="201">
        <v>0.04</v>
      </c>
      <c r="E81" s="201">
        <v>0.35</v>
      </c>
      <c r="F81" s="201" t="s">
        <v>202</v>
      </c>
      <c r="G81" s="201">
        <v>20</v>
      </c>
      <c r="H81" s="201">
        <v>163.91</v>
      </c>
      <c r="I81" s="201">
        <v>1.25</v>
      </c>
      <c r="J81" s="200">
        <v>1.06</v>
      </c>
      <c r="K81" s="201">
        <v>75.02</v>
      </c>
      <c r="L81" s="201">
        <v>0.99</v>
      </c>
      <c r="M81" s="200">
        <v>1.1499999999999999</v>
      </c>
      <c r="N81" s="201">
        <v>6.7</v>
      </c>
      <c r="O81" s="200">
        <f t="shared" si="11"/>
        <v>0</v>
      </c>
      <c r="P81" s="200">
        <f t="shared" si="12"/>
        <v>0.2</v>
      </c>
      <c r="Q81" s="200">
        <f t="shared" si="13"/>
        <v>1.75</v>
      </c>
      <c r="R81" s="200">
        <f t="shared" si="14"/>
        <v>0</v>
      </c>
      <c r="S81" s="200">
        <f t="shared" si="15"/>
        <v>3278.2</v>
      </c>
      <c r="T81" s="200">
        <f t="shared" si="16"/>
        <v>25</v>
      </c>
      <c r="U81" s="200">
        <f t="shared" si="17"/>
        <v>21.200000000000003</v>
      </c>
      <c r="V81" s="200">
        <f t="shared" si="18"/>
        <v>1500.3999999999999</v>
      </c>
      <c r="W81" s="200">
        <f t="shared" si="19"/>
        <v>19.8</v>
      </c>
      <c r="X81" s="200">
        <f t="shared" si="20"/>
        <v>23</v>
      </c>
      <c r="Y81" s="200">
        <f t="shared" si="21"/>
        <v>134</v>
      </c>
      <c r="Z81" s="216">
        <f>O81/Constants!$C$12</f>
        <v>0</v>
      </c>
      <c r="AA81" s="216">
        <f>P81/Constants!$C$11</f>
        <v>2.323150191659891E-3</v>
      </c>
      <c r="AB81" s="216">
        <f>Q81/Constants!$C$13</f>
        <v>1.9427175843694494E-2</v>
      </c>
      <c r="AC81" s="216">
        <f>R81/Constants!$C$18</f>
        <v>0</v>
      </c>
      <c r="AD81" s="216">
        <f>S81/Constants!$C$3</f>
        <v>54.591174021648627</v>
      </c>
      <c r="AE81" s="216">
        <f>T81/Constants!$C$4</f>
        <v>0.33747300215982723</v>
      </c>
      <c r="AF81" s="216">
        <f>U81/Constants!$C$5</f>
        <v>0.24060833049597097</v>
      </c>
      <c r="AG81" s="216">
        <f>V81/Constants!$C$6</f>
        <v>17.02871410736579</v>
      </c>
      <c r="AH81" s="216">
        <f>W81/Constants!$C$7</f>
        <v>0.19387055713306572</v>
      </c>
      <c r="AI81" s="216">
        <f>X81/Constants!$C$8</f>
        <v>0.22520317242729856</v>
      </c>
      <c r="AJ81" s="216">
        <f>Y81/Constants!$C$10</f>
        <v>1.1535812672176309</v>
      </c>
      <c r="AK81" s="199">
        <f>Z81*Constants!$D$12</f>
        <v>0</v>
      </c>
      <c r="AL81" s="199">
        <f>AA81*Constants!$D$11</f>
        <v>9.2926007666395641E-3</v>
      </c>
      <c r="AM81" s="199">
        <f>AB81*Constants!$D$13</f>
        <v>5.8281527531083482E-2</v>
      </c>
      <c r="AN81" s="199">
        <f>AC81*Constants!$D$18</f>
        <v>0</v>
      </c>
      <c r="AO81" s="199">
        <f>AD81*Constants!$D$3</f>
        <v>109.18234804329725</v>
      </c>
      <c r="AP81" s="199">
        <f>AE81*Constants!$D$4</f>
        <v>1.0124190064794818</v>
      </c>
      <c r="AQ81" s="199">
        <f>AF81*Constants!$D$5</f>
        <v>0.96243332198388387</v>
      </c>
      <c r="AR81" s="199">
        <f>AG81*Constants!$D$6</f>
        <v>68.11485642946316</v>
      </c>
      <c r="AS81" s="199">
        <f>AH81*Constants!$D$7</f>
        <v>0.96935278566532856</v>
      </c>
      <c r="AT81" s="199">
        <f>AI81*Constants!$D$8</f>
        <v>1.1260158621364929</v>
      </c>
      <c r="AU81" s="199">
        <f>AJ81*Constants!$D$10</f>
        <v>6.9214876033057848</v>
      </c>
      <c r="AV81" s="199">
        <f>Z81*Constants!$E$12</f>
        <v>0</v>
      </c>
      <c r="AW81" s="199">
        <f>AA81*Constants!$E$11</f>
        <v>4.1816703449878041E-2</v>
      </c>
      <c r="AX81" s="199">
        <f>AB81*Constants!$E$13</f>
        <v>0.23312611012433393</v>
      </c>
      <c r="AY81" s="199">
        <f>AC81*Constants!$E$18</f>
        <v>0</v>
      </c>
      <c r="AZ81" s="199">
        <f>AD81*Constants!$E$3</f>
        <v>436.72939217318901</v>
      </c>
      <c r="BA81" s="199">
        <f>AE81*Constants!$E$4</f>
        <v>4.7246220302375814</v>
      </c>
      <c r="BB81" s="199">
        <f>AF81*Constants!$E$5</f>
        <v>4.8121666099194194</v>
      </c>
      <c r="BC81" s="199">
        <f>AG81*Constants!$E$6</f>
        <v>340.57428214731578</v>
      </c>
      <c r="BD81" s="199">
        <f>AH81*Constants!$E$7</f>
        <v>5.0406344854597087</v>
      </c>
      <c r="BE81" s="199">
        <f>AI81*Constants!$E$8</f>
        <v>5.8552824831097627</v>
      </c>
      <c r="BF81" s="199">
        <f>AJ81*Constants!$E$10</f>
        <v>36.914600550964188</v>
      </c>
    </row>
    <row r="82" spans="1:58">
      <c r="A82" s="199">
        <f>'Influent Concentration'!A82</f>
        <v>173.86805555555475</v>
      </c>
      <c r="B82" s="201">
        <v>5</v>
      </c>
      <c r="C82" s="201" t="s">
        <v>202</v>
      </c>
      <c r="D82" s="201">
        <v>0.04</v>
      </c>
      <c r="E82" s="201" t="s">
        <v>202</v>
      </c>
      <c r="F82" s="201" t="s">
        <v>202</v>
      </c>
      <c r="G82" s="201">
        <v>20</v>
      </c>
      <c r="H82" s="201">
        <v>154.66</v>
      </c>
      <c r="I82" s="201">
        <v>1.1299999999999999</v>
      </c>
      <c r="J82" s="200">
        <v>1.1200000000000001</v>
      </c>
      <c r="K82" s="201">
        <v>71.099999999999994</v>
      </c>
      <c r="L82" s="201">
        <v>0.89</v>
      </c>
      <c r="M82" s="200">
        <v>0.8</v>
      </c>
      <c r="N82" s="201">
        <v>6.41</v>
      </c>
      <c r="O82" s="200">
        <f t="shared" si="11"/>
        <v>0</v>
      </c>
      <c r="P82" s="200">
        <f t="shared" si="12"/>
        <v>0.2</v>
      </c>
      <c r="Q82" s="200">
        <f t="shared" si="13"/>
        <v>0</v>
      </c>
      <c r="R82" s="200">
        <f t="shared" si="14"/>
        <v>0</v>
      </c>
      <c r="S82" s="200">
        <f t="shared" si="15"/>
        <v>3093.2</v>
      </c>
      <c r="T82" s="200">
        <f t="shared" si="16"/>
        <v>22.599999999999998</v>
      </c>
      <c r="U82" s="200">
        <f t="shared" si="17"/>
        <v>22.400000000000002</v>
      </c>
      <c r="V82" s="200">
        <f t="shared" si="18"/>
        <v>1422</v>
      </c>
      <c r="W82" s="200">
        <f t="shared" si="19"/>
        <v>17.8</v>
      </c>
      <c r="X82" s="200">
        <f t="shared" si="20"/>
        <v>16</v>
      </c>
      <c r="Y82" s="200">
        <f t="shared" si="21"/>
        <v>128.19999999999999</v>
      </c>
      <c r="Z82" s="216">
        <f>O82/Constants!$C$12</f>
        <v>0</v>
      </c>
      <c r="AA82" s="216">
        <f>P82/Constants!$C$11</f>
        <v>2.323150191659891E-3</v>
      </c>
      <c r="AB82" s="216">
        <f>Q82/Constants!$C$13</f>
        <v>0</v>
      </c>
      <c r="AC82" s="216">
        <f>R82/Constants!$C$18</f>
        <v>0</v>
      </c>
      <c r="AD82" s="216">
        <f>S82/Constants!$C$3</f>
        <v>51.51040799333888</v>
      </c>
      <c r="AE82" s="216">
        <f>T82/Constants!$C$4</f>
        <v>0.30507559395248379</v>
      </c>
      <c r="AF82" s="216">
        <f>U82/Constants!$C$5</f>
        <v>0.25422766995800705</v>
      </c>
      <c r="AG82" s="216">
        <f>V82/Constants!$C$6</f>
        <v>16.13891726251277</v>
      </c>
      <c r="AH82" s="216">
        <f>W82/Constants!$C$7</f>
        <v>0.17428767257417019</v>
      </c>
      <c r="AI82" s="216">
        <f>X82/Constants!$C$8</f>
        <v>0.1566630764711642</v>
      </c>
      <c r="AJ82" s="216">
        <f>Y82/Constants!$C$10</f>
        <v>1.1036501377410468</v>
      </c>
      <c r="AK82" s="199">
        <f>Z82*Constants!$D$12</f>
        <v>0</v>
      </c>
      <c r="AL82" s="199">
        <f>AA82*Constants!$D$11</f>
        <v>9.2926007666395641E-3</v>
      </c>
      <c r="AM82" s="199">
        <f>AB82*Constants!$D$13</f>
        <v>0</v>
      </c>
      <c r="AN82" s="199">
        <f>AC82*Constants!$D$18</f>
        <v>0</v>
      </c>
      <c r="AO82" s="199">
        <f>AD82*Constants!$D$3</f>
        <v>103.02081598667776</v>
      </c>
      <c r="AP82" s="199">
        <f>AE82*Constants!$D$4</f>
        <v>0.91522678185745132</v>
      </c>
      <c r="AQ82" s="199">
        <f>AF82*Constants!$D$5</f>
        <v>1.0169106798320282</v>
      </c>
      <c r="AR82" s="199">
        <f>AG82*Constants!$D$6</f>
        <v>64.55566905005108</v>
      </c>
      <c r="AS82" s="199">
        <f>AH82*Constants!$D$7</f>
        <v>0.87143836287085097</v>
      </c>
      <c r="AT82" s="199">
        <f>AI82*Constants!$D$8</f>
        <v>0.78331538235582099</v>
      </c>
      <c r="AU82" s="199">
        <f>AJ82*Constants!$D$10</f>
        <v>6.6219008264462804</v>
      </c>
      <c r="AV82" s="199">
        <f>Z82*Constants!$E$12</f>
        <v>0</v>
      </c>
      <c r="AW82" s="199">
        <f>AA82*Constants!$E$11</f>
        <v>4.1816703449878041E-2</v>
      </c>
      <c r="AX82" s="199">
        <f>AB82*Constants!$E$13</f>
        <v>0</v>
      </c>
      <c r="AY82" s="199">
        <f>AC82*Constants!$E$18</f>
        <v>0</v>
      </c>
      <c r="AZ82" s="199">
        <f>AD82*Constants!$E$3</f>
        <v>412.08326394671104</v>
      </c>
      <c r="BA82" s="199">
        <f>AE82*Constants!$E$4</f>
        <v>4.2710583153347734</v>
      </c>
      <c r="BB82" s="199">
        <f>AF82*Constants!$E$5</f>
        <v>5.084553399160141</v>
      </c>
      <c r="BC82" s="199">
        <f>AG82*Constants!$E$6</f>
        <v>322.77834525025537</v>
      </c>
      <c r="BD82" s="199">
        <f>AH82*Constants!$E$7</f>
        <v>4.5314794869284247</v>
      </c>
      <c r="BE82" s="199">
        <f>AI82*Constants!$E$8</f>
        <v>4.0732399882502692</v>
      </c>
      <c r="BF82" s="199">
        <f>AJ82*Constants!$E$10</f>
        <v>35.316804407713498</v>
      </c>
    </row>
    <row r="83" spans="1:58">
      <c r="A83" s="199">
        <f>'Influent Concentration'!A83</f>
        <v>175.80694444444816</v>
      </c>
      <c r="B83" s="201">
        <v>5</v>
      </c>
      <c r="C83" s="201" t="s">
        <v>202</v>
      </c>
      <c r="D83" s="201">
        <v>0.04</v>
      </c>
      <c r="E83" s="201" t="s">
        <v>202</v>
      </c>
      <c r="F83" s="201" t="s">
        <v>202</v>
      </c>
      <c r="G83" s="201">
        <v>20</v>
      </c>
      <c r="H83" s="201">
        <v>154.26</v>
      </c>
      <c r="I83" s="201">
        <v>0.93</v>
      </c>
      <c r="J83" s="200">
        <v>0.84</v>
      </c>
      <c r="K83" s="201">
        <v>69.5</v>
      </c>
      <c r="L83" s="201">
        <v>0.92</v>
      </c>
      <c r="M83" s="200">
        <v>0.83</v>
      </c>
      <c r="N83" s="201">
        <v>6.43</v>
      </c>
      <c r="O83" s="200">
        <f t="shared" si="11"/>
        <v>0</v>
      </c>
      <c r="P83" s="200">
        <f t="shared" si="12"/>
        <v>0.2</v>
      </c>
      <c r="Q83" s="200">
        <f t="shared" si="13"/>
        <v>0</v>
      </c>
      <c r="R83" s="200">
        <f t="shared" si="14"/>
        <v>0</v>
      </c>
      <c r="S83" s="200">
        <f t="shared" si="15"/>
        <v>3085.2</v>
      </c>
      <c r="T83" s="200">
        <f t="shared" si="16"/>
        <v>18.600000000000001</v>
      </c>
      <c r="U83" s="200">
        <f t="shared" si="17"/>
        <v>16.8</v>
      </c>
      <c r="V83" s="200">
        <f t="shared" si="18"/>
        <v>1390</v>
      </c>
      <c r="W83" s="200">
        <f t="shared" si="19"/>
        <v>18.400000000000002</v>
      </c>
      <c r="X83" s="200">
        <f t="shared" si="20"/>
        <v>16.599999999999998</v>
      </c>
      <c r="Y83" s="200">
        <f t="shared" si="21"/>
        <v>128.6</v>
      </c>
      <c r="Z83" s="216">
        <f>O83/Constants!$C$12</f>
        <v>0</v>
      </c>
      <c r="AA83" s="216">
        <f>P83/Constants!$C$11</f>
        <v>2.323150191659891E-3</v>
      </c>
      <c r="AB83" s="216">
        <f>Q83/Constants!$C$13</f>
        <v>0</v>
      </c>
      <c r="AC83" s="216">
        <f>R83/Constants!$C$18</f>
        <v>0</v>
      </c>
      <c r="AD83" s="216">
        <f>S83/Constants!$C$3</f>
        <v>51.377185678601165</v>
      </c>
      <c r="AE83" s="216">
        <f>T83/Constants!$C$4</f>
        <v>0.25107991360691145</v>
      </c>
      <c r="AF83" s="216">
        <f>U83/Constants!$C$5</f>
        <v>0.19067075246850529</v>
      </c>
      <c r="AG83" s="216">
        <f>V83/Constants!$C$6</f>
        <v>15.775734876858472</v>
      </c>
      <c r="AH83" s="216">
        <f>W83/Constants!$C$7</f>
        <v>0.18016253794183887</v>
      </c>
      <c r="AI83" s="216">
        <f>X83/Constants!$C$8</f>
        <v>0.16253794183883286</v>
      </c>
      <c r="AJ83" s="216">
        <f>Y83/Constants!$C$10</f>
        <v>1.1070936639118456</v>
      </c>
      <c r="AK83" s="199">
        <f>Z83*Constants!$D$12</f>
        <v>0</v>
      </c>
      <c r="AL83" s="199">
        <f>AA83*Constants!$D$11</f>
        <v>9.2926007666395641E-3</v>
      </c>
      <c r="AM83" s="199">
        <f>AB83*Constants!$D$13</f>
        <v>0</v>
      </c>
      <c r="AN83" s="199">
        <f>AC83*Constants!$D$18</f>
        <v>0</v>
      </c>
      <c r="AO83" s="199">
        <f>AD83*Constants!$D$3</f>
        <v>102.75437135720233</v>
      </c>
      <c r="AP83" s="199">
        <f>AE83*Constants!$D$4</f>
        <v>0.7532397408207343</v>
      </c>
      <c r="AQ83" s="199">
        <f>AF83*Constants!$D$5</f>
        <v>0.76268300987402116</v>
      </c>
      <c r="AR83" s="199">
        <f>AG83*Constants!$D$6</f>
        <v>63.102939507433888</v>
      </c>
      <c r="AS83" s="199">
        <f>AH83*Constants!$D$7</f>
        <v>0.90081268970919437</v>
      </c>
      <c r="AT83" s="199">
        <f>AI83*Constants!$D$8</f>
        <v>0.81268970919416428</v>
      </c>
      <c r="AU83" s="199">
        <f>AJ83*Constants!$D$10</f>
        <v>6.6425619834710741</v>
      </c>
      <c r="AV83" s="199">
        <f>Z83*Constants!$E$12</f>
        <v>0</v>
      </c>
      <c r="AW83" s="199">
        <f>AA83*Constants!$E$11</f>
        <v>4.1816703449878041E-2</v>
      </c>
      <c r="AX83" s="199">
        <f>AB83*Constants!$E$13</f>
        <v>0</v>
      </c>
      <c r="AY83" s="199">
        <f>AC83*Constants!$E$18</f>
        <v>0</v>
      </c>
      <c r="AZ83" s="199">
        <f>AD83*Constants!$E$3</f>
        <v>411.01748542880932</v>
      </c>
      <c r="BA83" s="199">
        <f>AE83*Constants!$E$4</f>
        <v>3.5151187904967602</v>
      </c>
      <c r="BB83" s="199">
        <f>AF83*Constants!$E$5</f>
        <v>3.8134150493701058</v>
      </c>
      <c r="BC83" s="199">
        <f>AG83*Constants!$E$6</f>
        <v>315.51469753716947</v>
      </c>
      <c r="BD83" s="199">
        <f>AH83*Constants!$E$7</f>
        <v>4.6842259864878102</v>
      </c>
      <c r="BE83" s="199">
        <f>AI83*Constants!$E$8</f>
        <v>4.2259864878096547</v>
      </c>
      <c r="BF83" s="199">
        <f>AJ83*Constants!$E$10</f>
        <v>35.426997245179059</v>
      </c>
    </row>
    <row r="84" spans="1:58">
      <c r="A84" s="199">
        <f>'Influent Concentration'!A84</f>
        <v>179.02430555555475</v>
      </c>
      <c r="B84" s="201">
        <v>5</v>
      </c>
      <c r="C84" s="201" t="s">
        <v>202</v>
      </c>
      <c r="D84" s="201">
        <v>0.04</v>
      </c>
      <c r="E84" s="201" t="s">
        <v>202</v>
      </c>
      <c r="F84" s="201" t="s">
        <v>202</v>
      </c>
      <c r="G84" s="201">
        <v>10</v>
      </c>
      <c r="H84" s="201">
        <v>305.99</v>
      </c>
      <c r="I84" s="201">
        <v>2.0499999999999998</v>
      </c>
      <c r="J84" s="201">
        <v>1.98</v>
      </c>
      <c r="K84" s="201">
        <v>135.66</v>
      </c>
      <c r="L84" s="201">
        <v>2.12</v>
      </c>
      <c r="M84" s="200">
        <v>1.66</v>
      </c>
      <c r="N84" s="201">
        <v>13.6</v>
      </c>
      <c r="O84" s="200">
        <f t="shared" si="11"/>
        <v>0</v>
      </c>
      <c r="P84" s="200">
        <f t="shared" si="12"/>
        <v>0.2</v>
      </c>
      <c r="Q84" s="200">
        <f t="shared" si="13"/>
        <v>0</v>
      </c>
      <c r="R84" s="200">
        <f t="shared" si="14"/>
        <v>0</v>
      </c>
      <c r="S84" s="200">
        <f t="shared" si="15"/>
        <v>3059.9</v>
      </c>
      <c r="T84" s="200">
        <f t="shared" si="16"/>
        <v>20.5</v>
      </c>
      <c r="U84" s="200">
        <f t="shared" si="17"/>
        <v>19.8</v>
      </c>
      <c r="V84" s="200">
        <f t="shared" si="18"/>
        <v>1356.6</v>
      </c>
      <c r="W84" s="200">
        <f t="shared" si="19"/>
        <v>21.200000000000003</v>
      </c>
      <c r="X84" s="200">
        <f t="shared" si="20"/>
        <v>16.599999999999998</v>
      </c>
      <c r="Y84" s="200">
        <f t="shared" si="21"/>
        <v>136</v>
      </c>
      <c r="Z84" s="216">
        <f>O84/Constants!$C$12</f>
        <v>0</v>
      </c>
      <c r="AA84" s="216">
        <f>P84/Constants!$C$11</f>
        <v>2.323150191659891E-3</v>
      </c>
      <c r="AB84" s="216">
        <f>Q84/Constants!$C$13</f>
        <v>0</v>
      </c>
      <c r="AC84" s="216">
        <f>R84/Constants!$C$18</f>
        <v>0</v>
      </c>
      <c r="AD84" s="216">
        <f>S84/Constants!$C$3</f>
        <v>50.955870108243133</v>
      </c>
      <c r="AE84" s="216">
        <f>T84/Constants!$C$4</f>
        <v>0.27672786177105835</v>
      </c>
      <c r="AF84" s="216">
        <f>U84/Constants!$C$5</f>
        <v>0.22471910112359553</v>
      </c>
      <c r="AG84" s="216">
        <f>V84/Constants!$C$6</f>
        <v>15.396663261831801</v>
      </c>
      <c r="AH84" s="216">
        <f>W84/Constants!$C$7</f>
        <v>0.20757857632429261</v>
      </c>
      <c r="AI84" s="216">
        <f>X84/Constants!$C$8</f>
        <v>0.16253794183883286</v>
      </c>
      <c r="AJ84" s="216">
        <f>Y84/Constants!$C$10</f>
        <v>1.1707988980716253</v>
      </c>
      <c r="AK84" s="199">
        <f>Z84*Constants!$D$12</f>
        <v>0</v>
      </c>
      <c r="AL84" s="199">
        <f>AA84*Constants!$D$11</f>
        <v>9.2926007666395641E-3</v>
      </c>
      <c r="AM84" s="199">
        <f>AB84*Constants!$D$13</f>
        <v>0</v>
      </c>
      <c r="AN84" s="199">
        <f>AC84*Constants!$D$18</f>
        <v>0</v>
      </c>
      <c r="AO84" s="199">
        <f>AD84*Constants!$D$3</f>
        <v>101.91174021648627</v>
      </c>
      <c r="AP84" s="199">
        <f>AE84*Constants!$D$4</f>
        <v>0.83018358531317504</v>
      </c>
      <c r="AQ84" s="199">
        <f>AF84*Constants!$D$5</f>
        <v>0.89887640449438211</v>
      </c>
      <c r="AR84" s="199">
        <f>AG84*Constants!$D$6</f>
        <v>61.586653047327204</v>
      </c>
      <c r="AS84" s="199">
        <f>AH84*Constants!$D$7</f>
        <v>1.037892881621463</v>
      </c>
      <c r="AT84" s="199">
        <f>AI84*Constants!$D$8</f>
        <v>0.81268970919416428</v>
      </c>
      <c r="AU84" s="199">
        <f>AJ84*Constants!$D$10</f>
        <v>7.0247933884297513</v>
      </c>
      <c r="AV84" s="199">
        <f>Z84*Constants!$E$12</f>
        <v>0</v>
      </c>
      <c r="AW84" s="199">
        <f>AA84*Constants!$E$11</f>
        <v>4.1816703449878041E-2</v>
      </c>
      <c r="AX84" s="199">
        <f>AB84*Constants!$E$13</f>
        <v>0</v>
      </c>
      <c r="AY84" s="199">
        <f>AC84*Constants!$E$18</f>
        <v>0</v>
      </c>
      <c r="AZ84" s="199">
        <f>AD84*Constants!$E$3</f>
        <v>407.64696086594506</v>
      </c>
      <c r="BA84" s="199">
        <f>AE84*Constants!$E$4</f>
        <v>3.8741900647948171</v>
      </c>
      <c r="BB84" s="199">
        <f>AF84*Constants!$E$5</f>
        <v>4.4943820224719104</v>
      </c>
      <c r="BC84" s="199">
        <f>AG84*Constants!$E$6</f>
        <v>307.93326523663603</v>
      </c>
      <c r="BD84" s="199">
        <f>AH84*Constants!$E$7</f>
        <v>5.3970429844316081</v>
      </c>
      <c r="BE84" s="199">
        <f>AI84*Constants!$E$8</f>
        <v>4.2259864878096547</v>
      </c>
      <c r="BF84" s="199">
        <f>AJ84*Constants!$E$10</f>
        <v>37.465564738292009</v>
      </c>
    </row>
    <row r="85" spans="1:58">
      <c r="A85" s="199">
        <f>'Influent Concentration'!A85</f>
        <v>180.88125000000582</v>
      </c>
      <c r="B85" s="201">
        <v>5</v>
      </c>
      <c r="C85" s="201" t="s">
        <v>202</v>
      </c>
      <c r="D85" s="201">
        <v>0.04</v>
      </c>
      <c r="E85" s="201" t="s">
        <v>202</v>
      </c>
      <c r="F85" s="201" t="s">
        <v>202</v>
      </c>
      <c r="G85" s="201">
        <v>10</v>
      </c>
      <c r="H85" s="201">
        <v>298.39</v>
      </c>
      <c r="I85" s="201">
        <v>1.92</v>
      </c>
      <c r="J85" s="201">
        <v>1.86</v>
      </c>
      <c r="K85" s="201">
        <v>133.13</v>
      </c>
      <c r="L85" s="201">
        <v>2.0299999999999998</v>
      </c>
      <c r="M85" s="200">
        <v>1.74</v>
      </c>
      <c r="N85" s="201">
        <v>13.02</v>
      </c>
      <c r="O85" s="200">
        <f t="shared" si="11"/>
        <v>0</v>
      </c>
      <c r="P85" s="200">
        <f t="shared" si="12"/>
        <v>0.2</v>
      </c>
      <c r="Q85" s="200">
        <f t="shared" si="13"/>
        <v>0</v>
      </c>
      <c r="R85" s="200">
        <f t="shared" si="14"/>
        <v>0</v>
      </c>
      <c r="S85" s="200">
        <f t="shared" si="15"/>
        <v>2983.8999999999996</v>
      </c>
      <c r="T85" s="200">
        <f t="shared" si="16"/>
        <v>19.2</v>
      </c>
      <c r="U85" s="200">
        <f t="shared" si="17"/>
        <v>18.600000000000001</v>
      </c>
      <c r="V85" s="200">
        <f t="shared" si="18"/>
        <v>1331.3</v>
      </c>
      <c r="W85" s="200">
        <f t="shared" si="19"/>
        <v>20.299999999999997</v>
      </c>
      <c r="X85" s="200">
        <f t="shared" si="20"/>
        <v>17.399999999999999</v>
      </c>
      <c r="Y85" s="200">
        <f t="shared" si="21"/>
        <v>130.19999999999999</v>
      </c>
      <c r="Z85" s="216">
        <f>O85/Constants!$C$12</f>
        <v>0</v>
      </c>
      <c r="AA85" s="216">
        <f>P85/Constants!$C$11</f>
        <v>2.323150191659891E-3</v>
      </c>
      <c r="AB85" s="216">
        <f>Q85/Constants!$C$13</f>
        <v>0</v>
      </c>
      <c r="AC85" s="216">
        <f>R85/Constants!$C$18</f>
        <v>0</v>
      </c>
      <c r="AD85" s="216">
        <f>S85/Constants!$C$3</f>
        <v>49.690258118234802</v>
      </c>
      <c r="AE85" s="216">
        <f>T85/Constants!$C$4</f>
        <v>0.25917926565874727</v>
      </c>
      <c r="AF85" s="216">
        <f>U85/Constants!$C$5</f>
        <v>0.21109976166155944</v>
      </c>
      <c r="AG85" s="216">
        <f>V85/Constants!$C$6</f>
        <v>15.109522188173873</v>
      </c>
      <c r="AH85" s="216">
        <f>W85/Constants!$C$7</f>
        <v>0.19876627827278956</v>
      </c>
      <c r="AI85" s="216">
        <f>X85/Constants!$C$8</f>
        <v>0.17037109566239106</v>
      </c>
      <c r="AJ85" s="216">
        <f>Y85/Constants!$C$10</f>
        <v>1.1208677685950412</v>
      </c>
      <c r="AK85" s="199">
        <f>Z85*Constants!$D$12</f>
        <v>0</v>
      </c>
      <c r="AL85" s="199">
        <f>AA85*Constants!$D$11</f>
        <v>9.2926007666395641E-3</v>
      </c>
      <c r="AM85" s="199">
        <f>AB85*Constants!$D$13</f>
        <v>0</v>
      </c>
      <c r="AN85" s="199">
        <f>AC85*Constants!$D$18</f>
        <v>0</v>
      </c>
      <c r="AO85" s="199">
        <f>AD85*Constants!$D$3</f>
        <v>99.380516236469603</v>
      </c>
      <c r="AP85" s="199">
        <f>AE85*Constants!$D$4</f>
        <v>0.77753779697624181</v>
      </c>
      <c r="AQ85" s="199">
        <f>AF85*Constants!$D$5</f>
        <v>0.84439904664623777</v>
      </c>
      <c r="AR85" s="199">
        <f>AG85*Constants!$D$6</f>
        <v>60.438088752695492</v>
      </c>
      <c r="AS85" s="199">
        <f>AH85*Constants!$D$7</f>
        <v>0.99383139136394782</v>
      </c>
      <c r="AT85" s="199">
        <f>AI85*Constants!$D$8</f>
        <v>0.85185547831195529</v>
      </c>
      <c r="AU85" s="199">
        <f>AJ85*Constants!$D$10</f>
        <v>6.7252066115702469</v>
      </c>
      <c r="AV85" s="199">
        <f>Z85*Constants!$E$12</f>
        <v>0</v>
      </c>
      <c r="AW85" s="199">
        <f>AA85*Constants!$E$11</f>
        <v>4.1816703449878041E-2</v>
      </c>
      <c r="AX85" s="199">
        <f>AB85*Constants!$E$13</f>
        <v>0</v>
      </c>
      <c r="AY85" s="199">
        <f>AC85*Constants!$E$18</f>
        <v>0</v>
      </c>
      <c r="AZ85" s="199">
        <f>AD85*Constants!$E$3</f>
        <v>397.52206494587841</v>
      </c>
      <c r="BA85" s="199">
        <f>AE85*Constants!$E$4</f>
        <v>3.6285097192224618</v>
      </c>
      <c r="BB85" s="199">
        <f>AF85*Constants!$E$5</f>
        <v>4.2219952332311887</v>
      </c>
      <c r="BC85" s="199">
        <f>AG85*Constants!$E$6</f>
        <v>302.19044376347745</v>
      </c>
      <c r="BD85" s="199">
        <f>AH85*Constants!$E$7</f>
        <v>5.1679232350925286</v>
      </c>
      <c r="BE85" s="199">
        <f>AI85*Constants!$E$8</f>
        <v>4.4296484872221678</v>
      </c>
      <c r="BF85" s="199">
        <f>AJ85*Constants!$E$10</f>
        <v>35.867768595041319</v>
      </c>
    </row>
    <row r="86" spans="1:58">
      <c r="A86" s="199">
        <f>'Influent Concentration'!A86</f>
        <v>183.0048611111124</v>
      </c>
      <c r="B86" s="201">
        <v>5</v>
      </c>
      <c r="C86" s="201" t="s">
        <v>202</v>
      </c>
      <c r="D86" s="201">
        <v>0.04</v>
      </c>
      <c r="E86" s="201">
        <v>0.44</v>
      </c>
      <c r="F86" s="201" t="s">
        <v>202</v>
      </c>
      <c r="G86" s="201">
        <v>10</v>
      </c>
      <c r="H86" s="201">
        <v>291.95</v>
      </c>
      <c r="I86" s="201">
        <v>2.1800000000000002</v>
      </c>
      <c r="J86" s="201">
        <v>1.88</v>
      </c>
      <c r="K86" s="201">
        <v>128.61000000000001</v>
      </c>
      <c r="L86" s="201">
        <v>2</v>
      </c>
      <c r="M86" s="200">
        <v>1.63</v>
      </c>
      <c r="N86" s="201">
        <v>12.78</v>
      </c>
      <c r="O86" s="200">
        <f t="shared" si="11"/>
        <v>0</v>
      </c>
      <c r="P86" s="200">
        <f t="shared" si="12"/>
        <v>0.2</v>
      </c>
      <c r="Q86" s="200">
        <f t="shared" si="13"/>
        <v>2.2000000000000002</v>
      </c>
      <c r="R86" s="200">
        <f t="shared" si="14"/>
        <v>0</v>
      </c>
      <c r="S86" s="200">
        <f t="shared" si="15"/>
        <v>2919.5</v>
      </c>
      <c r="T86" s="200">
        <f t="shared" si="16"/>
        <v>21.8</v>
      </c>
      <c r="U86" s="200">
        <f t="shared" si="17"/>
        <v>18.799999999999997</v>
      </c>
      <c r="V86" s="200">
        <f t="shared" si="18"/>
        <v>1286.1000000000001</v>
      </c>
      <c r="W86" s="200">
        <f t="shared" si="19"/>
        <v>20</v>
      </c>
      <c r="X86" s="200">
        <f t="shared" si="20"/>
        <v>16.299999999999997</v>
      </c>
      <c r="Y86" s="200">
        <f t="shared" si="21"/>
        <v>127.8</v>
      </c>
      <c r="Z86" s="216">
        <f>O86/Constants!$C$12</f>
        <v>0</v>
      </c>
      <c r="AA86" s="216">
        <f>P86/Constants!$C$11</f>
        <v>2.323150191659891E-3</v>
      </c>
      <c r="AB86" s="216">
        <f>Q86/Constants!$C$13</f>
        <v>2.4422735346358793E-2</v>
      </c>
      <c r="AC86" s="216">
        <f>R86/Constants!$C$18</f>
        <v>0</v>
      </c>
      <c r="AD86" s="216">
        <f>S86/Constants!$C$3</f>
        <v>48.617818484596171</v>
      </c>
      <c r="AE86" s="216">
        <f>T86/Constants!$C$4</f>
        <v>0.29427645788336937</v>
      </c>
      <c r="AF86" s="216">
        <f>U86/Constants!$C$5</f>
        <v>0.21336965157189874</v>
      </c>
      <c r="AG86" s="216">
        <f>V86/Constants!$C$6</f>
        <v>14.596527068437183</v>
      </c>
      <c r="AH86" s="216">
        <f>W86/Constants!$C$7</f>
        <v>0.19582884558895527</v>
      </c>
      <c r="AI86" s="216">
        <f>X86/Constants!$C$8</f>
        <v>0.15960050915499852</v>
      </c>
      <c r="AJ86" s="216">
        <f>Y86/Constants!$C$10</f>
        <v>1.100206611570248</v>
      </c>
      <c r="AK86" s="199">
        <f>Z86*Constants!$D$12</f>
        <v>0</v>
      </c>
      <c r="AL86" s="199">
        <f>AA86*Constants!$D$11</f>
        <v>9.2926007666395641E-3</v>
      </c>
      <c r="AM86" s="199">
        <f>AB86*Constants!$D$13</f>
        <v>7.3268206039076383E-2</v>
      </c>
      <c r="AN86" s="199">
        <f>AC86*Constants!$D$18</f>
        <v>0</v>
      </c>
      <c r="AO86" s="199">
        <f>AD86*Constants!$D$3</f>
        <v>97.235636969192342</v>
      </c>
      <c r="AP86" s="199">
        <f>AE86*Constants!$D$4</f>
        <v>0.88282937365010805</v>
      </c>
      <c r="AQ86" s="199">
        <f>AF86*Constants!$D$5</f>
        <v>0.85347860628759498</v>
      </c>
      <c r="AR86" s="199">
        <f>AG86*Constants!$D$6</f>
        <v>58.386108273748732</v>
      </c>
      <c r="AS86" s="199">
        <f>AH86*Constants!$D$7</f>
        <v>0.9791442279447764</v>
      </c>
      <c r="AT86" s="199">
        <f>AI86*Constants!$D$8</f>
        <v>0.79800254577499263</v>
      </c>
      <c r="AU86" s="199">
        <f>AJ86*Constants!$D$10</f>
        <v>6.6012396694214885</v>
      </c>
      <c r="AV86" s="199">
        <f>Z86*Constants!$E$12</f>
        <v>0</v>
      </c>
      <c r="AW86" s="199">
        <f>AA86*Constants!$E$11</f>
        <v>4.1816703449878041E-2</v>
      </c>
      <c r="AX86" s="199">
        <f>AB86*Constants!$E$13</f>
        <v>0.29307282415630553</v>
      </c>
      <c r="AY86" s="199">
        <f>AC86*Constants!$E$18</f>
        <v>0</v>
      </c>
      <c r="AZ86" s="199">
        <f>AD86*Constants!$E$3</f>
        <v>388.94254787676937</v>
      </c>
      <c r="BA86" s="199">
        <f>AE86*Constants!$E$4</f>
        <v>4.1198704103671711</v>
      </c>
      <c r="BB86" s="199">
        <f>AF86*Constants!$E$5</f>
        <v>4.2673930314379751</v>
      </c>
      <c r="BC86" s="199">
        <f>AG86*Constants!$E$6</f>
        <v>291.93054136874366</v>
      </c>
      <c r="BD86" s="199">
        <f>AH86*Constants!$E$7</f>
        <v>5.0915499853128372</v>
      </c>
      <c r="BE86" s="199">
        <f>AI86*Constants!$E$8</f>
        <v>4.1496132380299615</v>
      </c>
      <c r="BF86" s="199">
        <f>AJ86*Constants!$E$10</f>
        <v>35.206611570247937</v>
      </c>
    </row>
    <row r="87" spans="1:58">
      <c r="A87" s="199">
        <f>'Influent Concentration'!A87</f>
        <v>186.01666666667006</v>
      </c>
      <c r="B87" s="201">
        <v>5</v>
      </c>
      <c r="C87" s="201" t="s">
        <v>202</v>
      </c>
      <c r="D87" s="201">
        <v>0.04</v>
      </c>
      <c r="E87" s="201" t="s">
        <v>202</v>
      </c>
      <c r="F87" s="201" t="s">
        <v>202</v>
      </c>
      <c r="G87" s="201">
        <v>10</v>
      </c>
      <c r="H87" s="201">
        <v>289.39999999999998</v>
      </c>
      <c r="I87" s="201">
        <v>1.72</v>
      </c>
      <c r="J87" s="201">
        <v>1.78</v>
      </c>
      <c r="K87" s="201">
        <v>125.49</v>
      </c>
      <c r="L87" s="201">
        <v>1.83</v>
      </c>
      <c r="M87" s="200">
        <v>1.42</v>
      </c>
      <c r="N87" s="201">
        <v>12.14</v>
      </c>
      <c r="O87" s="200">
        <f t="shared" si="11"/>
        <v>0</v>
      </c>
      <c r="P87" s="200">
        <f t="shared" si="12"/>
        <v>0.2</v>
      </c>
      <c r="Q87" s="200">
        <f t="shared" si="13"/>
        <v>0</v>
      </c>
      <c r="R87" s="200">
        <f t="shared" si="14"/>
        <v>0</v>
      </c>
      <c r="S87" s="200">
        <f t="shared" si="15"/>
        <v>2894</v>
      </c>
      <c r="T87" s="200">
        <f t="shared" si="16"/>
        <v>17.2</v>
      </c>
      <c r="U87" s="200">
        <f t="shared" si="17"/>
        <v>17.8</v>
      </c>
      <c r="V87" s="200">
        <f t="shared" si="18"/>
        <v>1254.8999999999999</v>
      </c>
      <c r="W87" s="200">
        <f t="shared" si="19"/>
        <v>18.3</v>
      </c>
      <c r="X87" s="200">
        <f t="shared" si="20"/>
        <v>14.2</v>
      </c>
      <c r="Y87" s="200">
        <f t="shared" si="21"/>
        <v>121.4</v>
      </c>
      <c r="Z87" s="216">
        <f>O87/Constants!$C$12</f>
        <v>0</v>
      </c>
      <c r="AA87" s="216">
        <f>P87/Constants!$C$11</f>
        <v>2.323150191659891E-3</v>
      </c>
      <c r="AB87" s="216">
        <f>Q87/Constants!$C$13</f>
        <v>0</v>
      </c>
      <c r="AC87" s="216">
        <f>R87/Constants!$C$18</f>
        <v>0</v>
      </c>
      <c r="AD87" s="216">
        <f>S87/Constants!$C$3</f>
        <v>48.193172356369693</v>
      </c>
      <c r="AE87" s="216">
        <f>T87/Constants!$C$4</f>
        <v>0.23218142548596113</v>
      </c>
      <c r="AF87" s="216">
        <f>U87/Constants!$C$5</f>
        <v>0.20202020202020202</v>
      </c>
      <c r="AG87" s="216">
        <f>V87/Constants!$C$6</f>
        <v>14.24242424242424</v>
      </c>
      <c r="AH87" s="216">
        <f>W87/Constants!$C$7</f>
        <v>0.17918339371389408</v>
      </c>
      <c r="AI87" s="216">
        <f>X87/Constants!$C$8</f>
        <v>0.13903848036815822</v>
      </c>
      <c r="AJ87" s="216">
        <f>Y87/Constants!$C$10</f>
        <v>1.0451101928374655</v>
      </c>
      <c r="AK87" s="199">
        <f>Z87*Constants!$D$12</f>
        <v>0</v>
      </c>
      <c r="AL87" s="199">
        <f>AA87*Constants!$D$11</f>
        <v>9.2926007666395641E-3</v>
      </c>
      <c r="AM87" s="199">
        <f>AB87*Constants!$D$13</f>
        <v>0</v>
      </c>
      <c r="AN87" s="199">
        <f>AC87*Constants!$D$18</f>
        <v>0</v>
      </c>
      <c r="AO87" s="199">
        <f>AD87*Constants!$D$3</f>
        <v>96.386344712739387</v>
      </c>
      <c r="AP87" s="199">
        <f>AE87*Constants!$D$4</f>
        <v>0.69654427645788342</v>
      </c>
      <c r="AQ87" s="199">
        <f>AF87*Constants!$D$5</f>
        <v>0.80808080808080807</v>
      </c>
      <c r="AR87" s="199">
        <f>AG87*Constants!$D$6</f>
        <v>56.969696969696962</v>
      </c>
      <c r="AS87" s="199">
        <f>AH87*Constants!$D$7</f>
        <v>0.89591696856947034</v>
      </c>
      <c r="AT87" s="199">
        <f>AI87*Constants!$D$8</f>
        <v>0.69519240184079112</v>
      </c>
      <c r="AU87" s="199">
        <f>AJ87*Constants!$D$10</f>
        <v>6.2706611570247937</v>
      </c>
      <c r="AV87" s="199">
        <f>Z87*Constants!$E$12</f>
        <v>0</v>
      </c>
      <c r="AW87" s="199">
        <f>AA87*Constants!$E$11</f>
        <v>4.1816703449878041E-2</v>
      </c>
      <c r="AX87" s="199">
        <f>AB87*Constants!$E$13</f>
        <v>0</v>
      </c>
      <c r="AY87" s="199">
        <f>AC87*Constants!$E$18</f>
        <v>0</v>
      </c>
      <c r="AZ87" s="199">
        <f>AD87*Constants!$E$3</f>
        <v>385.54537885095755</v>
      </c>
      <c r="BA87" s="199">
        <f>AE87*Constants!$E$4</f>
        <v>3.2505399568034559</v>
      </c>
      <c r="BB87" s="199">
        <f>AF87*Constants!$E$5</f>
        <v>4.0404040404040407</v>
      </c>
      <c r="BC87" s="199">
        <f>AG87*Constants!$E$6</f>
        <v>284.84848484848482</v>
      </c>
      <c r="BD87" s="199">
        <f>AH87*Constants!$E$7</f>
        <v>4.6587682365612464</v>
      </c>
      <c r="BE87" s="199">
        <f>AI87*Constants!$E$8</f>
        <v>3.6150004895721137</v>
      </c>
      <c r="BF87" s="199">
        <f>AJ87*Constants!$E$10</f>
        <v>33.443526170798897</v>
      </c>
    </row>
    <row r="88" spans="1:58">
      <c r="A88" s="199">
        <f>'Influent Concentration'!A88</f>
        <v>187.90763888889342</v>
      </c>
      <c r="B88" s="201">
        <v>5</v>
      </c>
      <c r="C88" s="201" t="s">
        <v>202</v>
      </c>
      <c r="D88" s="201">
        <v>0.04</v>
      </c>
      <c r="E88" s="201" t="s">
        <v>202</v>
      </c>
      <c r="F88" s="201" t="s">
        <v>202</v>
      </c>
      <c r="G88" s="201">
        <v>10</v>
      </c>
      <c r="H88" s="201">
        <v>289.83</v>
      </c>
      <c r="I88" s="201">
        <v>1.75</v>
      </c>
      <c r="J88" s="201">
        <v>1.88</v>
      </c>
      <c r="K88" s="201">
        <v>124.08</v>
      </c>
      <c r="L88" s="201">
        <v>1.94</v>
      </c>
      <c r="M88" s="200">
        <v>1.71</v>
      </c>
      <c r="N88" s="201">
        <v>12.27</v>
      </c>
      <c r="O88" s="200">
        <f t="shared" si="11"/>
        <v>0</v>
      </c>
      <c r="P88" s="200">
        <f t="shared" si="12"/>
        <v>0.2</v>
      </c>
      <c r="Q88" s="200">
        <f t="shared" si="13"/>
        <v>0</v>
      </c>
      <c r="R88" s="200">
        <f t="shared" si="14"/>
        <v>0</v>
      </c>
      <c r="S88" s="200">
        <f t="shared" si="15"/>
        <v>2898.2999999999997</v>
      </c>
      <c r="T88" s="200">
        <f t="shared" si="16"/>
        <v>17.5</v>
      </c>
      <c r="U88" s="200">
        <f t="shared" si="17"/>
        <v>18.799999999999997</v>
      </c>
      <c r="V88" s="200">
        <f t="shared" si="18"/>
        <v>1240.8</v>
      </c>
      <c r="W88" s="200">
        <f t="shared" si="19"/>
        <v>19.399999999999999</v>
      </c>
      <c r="X88" s="200">
        <f t="shared" si="20"/>
        <v>17.100000000000001</v>
      </c>
      <c r="Y88" s="200">
        <f t="shared" si="21"/>
        <v>122.69999999999999</v>
      </c>
      <c r="Z88" s="216">
        <f>O88/Constants!$C$12</f>
        <v>0</v>
      </c>
      <c r="AA88" s="216">
        <f>P88/Constants!$C$11</f>
        <v>2.323150191659891E-3</v>
      </c>
      <c r="AB88" s="216">
        <f>Q88/Constants!$C$13</f>
        <v>0</v>
      </c>
      <c r="AC88" s="216">
        <f>R88/Constants!$C$18</f>
        <v>0</v>
      </c>
      <c r="AD88" s="216">
        <f>S88/Constants!$C$3</f>
        <v>48.264779350541211</v>
      </c>
      <c r="AE88" s="216">
        <f>T88/Constants!$C$4</f>
        <v>0.23623110151187907</v>
      </c>
      <c r="AF88" s="216">
        <f>U88/Constants!$C$5</f>
        <v>0.21336965157189874</v>
      </c>
      <c r="AG88" s="216">
        <f>V88/Constants!$C$6</f>
        <v>14.082397003745317</v>
      </c>
      <c r="AH88" s="216">
        <f>W88/Constants!$C$7</f>
        <v>0.18995398022128659</v>
      </c>
      <c r="AI88" s="216">
        <f>X88/Constants!$C$8</f>
        <v>0.16743366297855677</v>
      </c>
      <c r="AJ88" s="216">
        <f>Y88/Constants!$C$10</f>
        <v>1.0563016528925619</v>
      </c>
      <c r="AK88" s="199">
        <f>Z88*Constants!$D$12</f>
        <v>0</v>
      </c>
      <c r="AL88" s="199">
        <f>AA88*Constants!$D$11</f>
        <v>9.2926007666395641E-3</v>
      </c>
      <c r="AM88" s="199">
        <f>AB88*Constants!$D$13</f>
        <v>0</v>
      </c>
      <c r="AN88" s="199">
        <f>AC88*Constants!$D$18</f>
        <v>0</v>
      </c>
      <c r="AO88" s="199">
        <f>AD88*Constants!$D$3</f>
        <v>96.529558701082422</v>
      </c>
      <c r="AP88" s="199">
        <f>AE88*Constants!$D$4</f>
        <v>0.70869330453563717</v>
      </c>
      <c r="AQ88" s="199">
        <f>AF88*Constants!$D$5</f>
        <v>0.85347860628759498</v>
      </c>
      <c r="AR88" s="199">
        <f>AG88*Constants!$D$6</f>
        <v>56.329588014981269</v>
      </c>
      <c r="AS88" s="199">
        <f>AH88*Constants!$D$7</f>
        <v>0.949769901106433</v>
      </c>
      <c r="AT88" s="199">
        <f>AI88*Constants!$D$8</f>
        <v>0.83716831489278387</v>
      </c>
      <c r="AU88" s="199">
        <f>AJ88*Constants!$D$10</f>
        <v>6.3378099173553721</v>
      </c>
      <c r="AV88" s="199">
        <f>Z88*Constants!$E$12</f>
        <v>0</v>
      </c>
      <c r="AW88" s="199">
        <f>AA88*Constants!$E$11</f>
        <v>4.1816703449878041E-2</v>
      </c>
      <c r="AX88" s="199">
        <f>AB88*Constants!$E$13</f>
        <v>0</v>
      </c>
      <c r="AY88" s="199">
        <f>AC88*Constants!$E$18</f>
        <v>0</v>
      </c>
      <c r="AZ88" s="199">
        <f>AD88*Constants!$E$3</f>
        <v>386.11823480432969</v>
      </c>
      <c r="BA88" s="199">
        <f>AE88*Constants!$E$4</f>
        <v>3.3072354211663071</v>
      </c>
      <c r="BB88" s="199">
        <f>AF88*Constants!$E$5</f>
        <v>4.2673930314379751</v>
      </c>
      <c r="BC88" s="199">
        <f>AG88*Constants!$E$6</f>
        <v>281.64794007490633</v>
      </c>
      <c r="BD88" s="199">
        <f>AH88*Constants!$E$7</f>
        <v>4.9388034857534517</v>
      </c>
      <c r="BE88" s="199">
        <f>AI88*Constants!$E$8</f>
        <v>4.3532752374424764</v>
      </c>
      <c r="BF88" s="199">
        <f>AJ88*Constants!$E$10</f>
        <v>33.801652892561982</v>
      </c>
    </row>
    <row r="89" spans="1:58">
      <c r="A89" s="199">
        <f>'Influent Concentration'!A89</f>
        <v>189.92916666666861</v>
      </c>
      <c r="B89" s="201">
        <v>5</v>
      </c>
      <c r="C89" s="201" t="s">
        <v>202</v>
      </c>
      <c r="D89" s="201">
        <v>0.04</v>
      </c>
      <c r="E89" s="201" t="s">
        <v>202</v>
      </c>
      <c r="F89" s="201" t="s">
        <v>202</v>
      </c>
      <c r="G89" s="201">
        <v>10</v>
      </c>
      <c r="H89" s="201">
        <v>286.27999999999997</v>
      </c>
      <c r="I89" s="201">
        <v>1.89</v>
      </c>
      <c r="J89" s="201">
        <v>1.82</v>
      </c>
      <c r="K89" s="201">
        <v>121.12</v>
      </c>
      <c r="L89" s="201">
        <v>1.78</v>
      </c>
      <c r="M89" s="201">
        <v>1.56</v>
      </c>
      <c r="N89" s="201">
        <v>12.23</v>
      </c>
      <c r="O89" s="200">
        <f t="shared" si="11"/>
        <v>0</v>
      </c>
      <c r="P89" s="200">
        <f t="shared" si="12"/>
        <v>0.2</v>
      </c>
      <c r="Q89" s="200">
        <f t="shared" si="13"/>
        <v>0</v>
      </c>
      <c r="R89" s="200">
        <f t="shared" si="14"/>
        <v>0</v>
      </c>
      <c r="S89" s="200">
        <f t="shared" si="15"/>
        <v>2862.7999999999997</v>
      </c>
      <c r="T89" s="200">
        <f t="shared" si="16"/>
        <v>18.899999999999999</v>
      </c>
      <c r="U89" s="200">
        <f t="shared" si="17"/>
        <v>18.2</v>
      </c>
      <c r="V89" s="200">
        <f t="shared" si="18"/>
        <v>1211.2</v>
      </c>
      <c r="W89" s="200">
        <f t="shared" si="19"/>
        <v>17.8</v>
      </c>
      <c r="X89" s="200">
        <f t="shared" si="20"/>
        <v>15.600000000000001</v>
      </c>
      <c r="Y89" s="200">
        <f t="shared" si="21"/>
        <v>122.30000000000001</v>
      </c>
      <c r="Z89" s="216">
        <f>O89/Constants!$C$12</f>
        <v>0</v>
      </c>
      <c r="AA89" s="216">
        <f>P89/Constants!$C$11</f>
        <v>2.323150191659891E-3</v>
      </c>
      <c r="AB89" s="216">
        <f>Q89/Constants!$C$13</f>
        <v>0</v>
      </c>
      <c r="AC89" s="216">
        <f>R89/Constants!$C$18</f>
        <v>0</v>
      </c>
      <c r="AD89" s="216">
        <f>S89/Constants!$C$3</f>
        <v>47.673605328892585</v>
      </c>
      <c r="AE89" s="216">
        <f>T89/Constants!$C$4</f>
        <v>0.25512958963282933</v>
      </c>
      <c r="AF89" s="216">
        <f>U89/Constants!$C$5</f>
        <v>0.2065599818408807</v>
      </c>
      <c r="AG89" s="216">
        <f>V89/Constants!$C$6</f>
        <v>13.746453297015096</v>
      </c>
      <c r="AH89" s="216">
        <f>W89/Constants!$C$7</f>
        <v>0.17428767257417019</v>
      </c>
      <c r="AI89" s="216">
        <f>X89/Constants!$C$8</f>
        <v>0.15274649955938513</v>
      </c>
      <c r="AJ89" s="216">
        <f>Y89/Constants!$C$10</f>
        <v>1.0528581267217632</v>
      </c>
      <c r="AK89" s="199">
        <f>Z89*Constants!$D$12</f>
        <v>0</v>
      </c>
      <c r="AL89" s="199">
        <f>AA89*Constants!$D$11</f>
        <v>9.2926007666395641E-3</v>
      </c>
      <c r="AM89" s="199">
        <f>AB89*Constants!$D$13</f>
        <v>0</v>
      </c>
      <c r="AN89" s="199">
        <f>AC89*Constants!$D$18</f>
        <v>0</v>
      </c>
      <c r="AO89" s="199">
        <f>AD89*Constants!$D$3</f>
        <v>95.347210657785169</v>
      </c>
      <c r="AP89" s="199">
        <f>AE89*Constants!$D$4</f>
        <v>0.76538876889848795</v>
      </c>
      <c r="AQ89" s="199">
        <f>AF89*Constants!$D$5</f>
        <v>0.82623992736352281</v>
      </c>
      <c r="AR89" s="199">
        <f>AG89*Constants!$D$6</f>
        <v>54.985813188060384</v>
      </c>
      <c r="AS89" s="199">
        <f>AH89*Constants!$D$7</f>
        <v>0.87143836287085097</v>
      </c>
      <c r="AT89" s="199">
        <f>AI89*Constants!$D$8</f>
        <v>0.76373249779692565</v>
      </c>
      <c r="AU89" s="199">
        <f>AJ89*Constants!$D$10</f>
        <v>6.3171487603305785</v>
      </c>
      <c r="AV89" s="199">
        <f>Z89*Constants!$E$12</f>
        <v>0</v>
      </c>
      <c r="AW89" s="199">
        <f>AA89*Constants!$E$11</f>
        <v>4.1816703449878041E-2</v>
      </c>
      <c r="AX89" s="199">
        <f>AB89*Constants!$E$13</f>
        <v>0</v>
      </c>
      <c r="AY89" s="199">
        <f>AC89*Constants!$E$18</f>
        <v>0</v>
      </c>
      <c r="AZ89" s="199">
        <f>AD89*Constants!$E$3</f>
        <v>381.38884263114068</v>
      </c>
      <c r="BA89" s="199">
        <f>AE89*Constants!$E$4</f>
        <v>3.5718142548596106</v>
      </c>
      <c r="BB89" s="199">
        <f>AF89*Constants!$E$5</f>
        <v>4.1311996368176143</v>
      </c>
      <c r="BC89" s="199">
        <f>AG89*Constants!$E$6</f>
        <v>274.92906594030194</v>
      </c>
      <c r="BD89" s="199">
        <f>AH89*Constants!$E$7</f>
        <v>4.5314794869284247</v>
      </c>
      <c r="BE89" s="199">
        <f>AI89*Constants!$E$8</f>
        <v>3.9714089885440131</v>
      </c>
      <c r="BF89" s="199">
        <f>AJ89*Constants!$E$10</f>
        <v>33.691460055096421</v>
      </c>
    </row>
    <row r="90" spans="1:58">
      <c r="A90" s="199">
        <f>'Influent Concentration'!A90</f>
        <v>192.90347222222772</v>
      </c>
      <c r="B90" s="201">
        <v>5</v>
      </c>
      <c r="C90" s="201" t="s">
        <v>202</v>
      </c>
      <c r="D90" s="201">
        <v>0.04</v>
      </c>
      <c r="E90" s="201" t="s">
        <v>202</v>
      </c>
      <c r="F90" s="201" t="s">
        <v>202</v>
      </c>
      <c r="G90" s="201">
        <v>10</v>
      </c>
      <c r="H90" s="201">
        <v>289.94</v>
      </c>
      <c r="I90" s="201">
        <v>1.72</v>
      </c>
      <c r="J90" s="201">
        <v>1.68</v>
      </c>
      <c r="K90" s="201">
        <v>120.97</v>
      </c>
      <c r="L90" s="201">
        <v>1.75</v>
      </c>
      <c r="M90" s="201">
        <v>1.43</v>
      </c>
      <c r="N90" s="201">
        <v>12.01</v>
      </c>
      <c r="O90" s="200">
        <f t="shared" si="11"/>
        <v>0</v>
      </c>
      <c r="P90" s="200">
        <f t="shared" si="12"/>
        <v>0.2</v>
      </c>
      <c r="Q90" s="200">
        <f t="shared" si="13"/>
        <v>0</v>
      </c>
      <c r="R90" s="200">
        <f t="shared" si="14"/>
        <v>0</v>
      </c>
      <c r="S90" s="200">
        <f t="shared" si="15"/>
        <v>2899.4</v>
      </c>
      <c r="T90" s="200">
        <f t="shared" si="16"/>
        <v>17.2</v>
      </c>
      <c r="U90" s="200">
        <f t="shared" si="17"/>
        <v>16.8</v>
      </c>
      <c r="V90" s="200">
        <f t="shared" si="18"/>
        <v>1209.7</v>
      </c>
      <c r="W90" s="200">
        <f t="shared" si="19"/>
        <v>17.5</v>
      </c>
      <c r="X90" s="200">
        <f t="shared" si="20"/>
        <v>14.299999999999999</v>
      </c>
      <c r="Y90" s="200">
        <f t="shared" si="21"/>
        <v>120.1</v>
      </c>
      <c r="Z90" s="216">
        <f>O90/Constants!$C$12</f>
        <v>0</v>
      </c>
      <c r="AA90" s="216">
        <f>P90/Constants!$C$11</f>
        <v>2.323150191659891E-3</v>
      </c>
      <c r="AB90" s="216">
        <f>Q90/Constants!$C$13</f>
        <v>0</v>
      </c>
      <c r="AC90" s="216">
        <f>R90/Constants!$C$18</f>
        <v>0</v>
      </c>
      <c r="AD90" s="216">
        <f>S90/Constants!$C$3</f>
        <v>48.283097418817654</v>
      </c>
      <c r="AE90" s="216">
        <f>T90/Constants!$C$4</f>
        <v>0.23218142548596113</v>
      </c>
      <c r="AF90" s="216">
        <f>U90/Constants!$C$5</f>
        <v>0.19067075246850529</v>
      </c>
      <c r="AG90" s="216">
        <f>V90/Constants!$C$6</f>
        <v>13.72942912268755</v>
      </c>
      <c r="AH90" s="216">
        <f>W90/Constants!$C$7</f>
        <v>0.17135023989033585</v>
      </c>
      <c r="AI90" s="216">
        <f>X90/Constants!$C$8</f>
        <v>0.14001762459610301</v>
      </c>
      <c r="AJ90" s="216">
        <f>Y90/Constants!$C$10</f>
        <v>1.0339187327823691</v>
      </c>
      <c r="AK90" s="199">
        <f>Z90*Constants!$D$12</f>
        <v>0</v>
      </c>
      <c r="AL90" s="199">
        <f>AA90*Constants!$D$11</f>
        <v>9.2926007666395641E-3</v>
      </c>
      <c r="AM90" s="199">
        <f>AB90*Constants!$D$13</f>
        <v>0</v>
      </c>
      <c r="AN90" s="199">
        <f>AC90*Constants!$D$18</f>
        <v>0</v>
      </c>
      <c r="AO90" s="199">
        <f>AD90*Constants!$D$3</f>
        <v>96.566194837635308</v>
      </c>
      <c r="AP90" s="199">
        <f>AE90*Constants!$D$4</f>
        <v>0.69654427645788342</v>
      </c>
      <c r="AQ90" s="199">
        <f>AF90*Constants!$D$5</f>
        <v>0.76268300987402116</v>
      </c>
      <c r="AR90" s="199">
        <f>AG90*Constants!$D$6</f>
        <v>54.917716490750202</v>
      </c>
      <c r="AS90" s="199">
        <f>AH90*Constants!$D$7</f>
        <v>0.85675119945167921</v>
      </c>
      <c r="AT90" s="199">
        <f>AI90*Constants!$D$8</f>
        <v>0.70008812298051504</v>
      </c>
      <c r="AU90" s="199">
        <f>AJ90*Constants!$D$10</f>
        <v>6.2035123966942152</v>
      </c>
      <c r="AV90" s="199">
        <f>Z90*Constants!$E$12</f>
        <v>0</v>
      </c>
      <c r="AW90" s="199">
        <f>AA90*Constants!$E$11</f>
        <v>4.1816703449878041E-2</v>
      </c>
      <c r="AX90" s="199">
        <f>AB90*Constants!$E$13</f>
        <v>0</v>
      </c>
      <c r="AY90" s="199">
        <f>AC90*Constants!$E$18</f>
        <v>0</v>
      </c>
      <c r="AZ90" s="199">
        <f>AD90*Constants!$E$3</f>
        <v>386.26477935054123</v>
      </c>
      <c r="BA90" s="199">
        <f>AE90*Constants!$E$4</f>
        <v>3.2505399568034559</v>
      </c>
      <c r="BB90" s="199">
        <f>AF90*Constants!$E$5</f>
        <v>3.8134150493701058</v>
      </c>
      <c r="BC90" s="199">
        <f>AG90*Constants!$E$6</f>
        <v>274.58858245375103</v>
      </c>
      <c r="BD90" s="199">
        <f>AH90*Constants!$E$7</f>
        <v>4.4551062371487324</v>
      </c>
      <c r="BE90" s="199">
        <f>AI90*Constants!$E$8</f>
        <v>3.6404582394986784</v>
      </c>
      <c r="BF90" s="199">
        <f>AJ90*Constants!$E$10</f>
        <v>33.085399449035812</v>
      </c>
    </row>
    <row r="91" spans="1:58">
      <c r="A91" s="199">
        <f>'Influent Concentration'!A91</f>
        <v>194.88958333333721</v>
      </c>
      <c r="B91" s="201">
        <v>5</v>
      </c>
      <c r="C91" s="201" t="s">
        <v>202</v>
      </c>
      <c r="D91" s="201">
        <v>0.04</v>
      </c>
      <c r="E91" s="201" t="s">
        <v>202</v>
      </c>
      <c r="F91" s="201" t="s">
        <v>202</v>
      </c>
      <c r="G91" s="201">
        <v>10</v>
      </c>
      <c r="H91" s="201">
        <v>290.66000000000003</v>
      </c>
      <c r="I91" s="201">
        <v>1.63</v>
      </c>
      <c r="J91" s="201">
        <v>1.77</v>
      </c>
      <c r="K91" s="201">
        <v>120.2</v>
      </c>
      <c r="L91" s="201">
        <v>1.67</v>
      </c>
      <c r="M91" s="201">
        <v>1.51</v>
      </c>
      <c r="N91" s="201">
        <v>11.88</v>
      </c>
      <c r="O91" s="200">
        <f t="shared" si="11"/>
        <v>0</v>
      </c>
      <c r="P91" s="200">
        <f t="shared" si="12"/>
        <v>0.2</v>
      </c>
      <c r="Q91" s="200">
        <f t="shared" si="13"/>
        <v>0</v>
      </c>
      <c r="R91" s="200">
        <f t="shared" si="14"/>
        <v>0</v>
      </c>
      <c r="S91" s="200">
        <f t="shared" si="15"/>
        <v>2906.6000000000004</v>
      </c>
      <c r="T91" s="200">
        <f t="shared" si="16"/>
        <v>16.299999999999997</v>
      </c>
      <c r="U91" s="200">
        <f t="shared" si="17"/>
        <v>17.7</v>
      </c>
      <c r="V91" s="200">
        <f t="shared" si="18"/>
        <v>1202</v>
      </c>
      <c r="W91" s="200">
        <f t="shared" si="19"/>
        <v>16.7</v>
      </c>
      <c r="X91" s="200">
        <f t="shared" si="20"/>
        <v>15.1</v>
      </c>
      <c r="Y91" s="200">
        <f t="shared" si="21"/>
        <v>118.80000000000001</v>
      </c>
      <c r="Z91" s="216">
        <f>O91/Constants!$C$12</f>
        <v>0</v>
      </c>
      <c r="AA91" s="216">
        <f>P91/Constants!$C$11</f>
        <v>2.323150191659891E-3</v>
      </c>
      <c r="AB91" s="216">
        <f>Q91/Constants!$C$13</f>
        <v>0</v>
      </c>
      <c r="AC91" s="216">
        <f>R91/Constants!$C$18</f>
        <v>0</v>
      </c>
      <c r="AD91" s="216">
        <f>S91/Constants!$C$3</f>
        <v>48.402997502081604</v>
      </c>
      <c r="AE91" s="216">
        <f>T91/Constants!$C$4</f>
        <v>0.22003239740820732</v>
      </c>
      <c r="AF91" s="216">
        <f>U91/Constants!$C$5</f>
        <v>0.20088525706503235</v>
      </c>
      <c r="AG91" s="216">
        <f>V91/Constants!$C$6</f>
        <v>13.642038361139484</v>
      </c>
      <c r="AH91" s="216">
        <f>W91/Constants!$C$7</f>
        <v>0.16351708606677764</v>
      </c>
      <c r="AI91" s="216">
        <f>X91/Constants!$C$8</f>
        <v>0.14785077841966121</v>
      </c>
      <c r="AJ91" s="216">
        <f>Y91/Constants!$C$10</f>
        <v>1.0227272727272729</v>
      </c>
      <c r="AK91" s="199">
        <f>Z91*Constants!$D$12</f>
        <v>0</v>
      </c>
      <c r="AL91" s="199">
        <f>AA91*Constants!$D$11</f>
        <v>9.2926007666395641E-3</v>
      </c>
      <c r="AM91" s="199">
        <f>AB91*Constants!$D$13</f>
        <v>0</v>
      </c>
      <c r="AN91" s="199">
        <f>AC91*Constants!$D$18</f>
        <v>0</v>
      </c>
      <c r="AO91" s="199">
        <f>AD91*Constants!$D$3</f>
        <v>96.805995004163208</v>
      </c>
      <c r="AP91" s="199">
        <f>AE91*Constants!$D$4</f>
        <v>0.66009719222462193</v>
      </c>
      <c r="AQ91" s="199">
        <f>AF91*Constants!$D$5</f>
        <v>0.80354102826012941</v>
      </c>
      <c r="AR91" s="199">
        <f>AG91*Constants!$D$6</f>
        <v>54.568153444557936</v>
      </c>
      <c r="AS91" s="199">
        <f>AH91*Constants!$D$7</f>
        <v>0.8175854303338882</v>
      </c>
      <c r="AT91" s="199">
        <f>AI91*Constants!$D$8</f>
        <v>0.73925389209830605</v>
      </c>
      <c r="AU91" s="199">
        <f>AJ91*Constants!$D$10</f>
        <v>6.1363636363636376</v>
      </c>
      <c r="AV91" s="199">
        <f>Z91*Constants!$E$12</f>
        <v>0</v>
      </c>
      <c r="AW91" s="199">
        <f>AA91*Constants!$E$11</f>
        <v>4.1816703449878041E-2</v>
      </c>
      <c r="AX91" s="199">
        <f>AB91*Constants!$E$13</f>
        <v>0</v>
      </c>
      <c r="AY91" s="199">
        <f>AC91*Constants!$E$18</f>
        <v>0</v>
      </c>
      <c r="AZ91" s="199">
        <f>AD91*Constants!$E$3</f>
        <v>387.22398001665283</v>
      </c>
      <c r="BA91" s="199">
        <f>AE91*Constants!$E$4</f>
        <v>3.0804535637149026</v>
      </c>
      <c r="BB91" s="199">
        <f>AF91*Constants!$E$5</f>
        <v>4.017705141300647</v>
      </c>
      <c r="BC91" s="199">
        <f>AG91*Constants!$E$6</f>
        <v>272.84076722278968</v>
      </c>
      <c r="BD91" s="199">
        <f>AH91*Constants!$E$7</f>
        <v>4.2514442377362185</v>
      </c>
      <c r="BE91" s="199">
        <f>AI91*Constants!$E$8</f>
        <v>3.8441202389111915</v>
      </c>
      <c r="BF91" s="199">
        <f>AJ91*Constants!$E$10</f>
        <v>32.727272727272734</v>
      </c>
    </row>
    <row r="92" spans="1:58">
      <c r="A92" s="199">
        <f>'Influent Concentration'!A92</f>
        <v>196.91250000000582</v>
      </c>
      <c r="B92" s="201">
        <v>5</v>
      </c>
      <c r="C92" s="201" t="s">
        <v>202</v>
      </c>
      <c r="D92" s="201">
        <v>0.04</v>
      </c>
      <c r="E92" s="201">
        <v>0.51</v>
      </c>
      <c r="F92" s="201" t="s">
        <v>202</v>
      </c>
      <c r="G92" s="201">
        <v>10</v>
      </c>
      <c r="H92">
        <v>260</v>
      </c>
      <c r="I92">
        <v>1.1499999999999999</v>
      </c>
      <c r="J92">
        <v>1.7</v>
      </c>
      <c r="K92">
        <v>107.86</v>
      </c>
      <c r="L92">
        <v>1.47</v>
      </c>
      <c r="M92">
        <v>1.34</v>
      </c>
      <c r="N92">
        <v>10.16</v>
      </c>
      <c r="O92" s="200">
        <f t="shared" si="11"/>
        <v>0</v>
      </c>
      <c r="P92" s="200">
        <f t="shared" si="12"/>
        <v>0.2</v>
      </c>
      <c r="Q92" s="200">
        <f t="shared" si="13"/>
        <v>2.5499999999999998</v>
      </c>
      <c r="R92" s="200">
        <f t="shared" si="14"/>
        <v>0</v>
      </c>
      <c r="S92" s="200">
        <f t="shared" si="15"/>
        <v>2600</v>
      </c>
      <c r="T92" s="200">
        <f t="shared" si="16"/>
        <v>11.5</v>
      </c>
      <c r="U92" s="200">
        <f t="shared" si="17"/>
        <v>17</v>
      </c>
      <c r="V92" s="200">
        <f t="shared" si="18"/>
        <v>1078.5999999999999</v>
      </c>
      <c r="W92" s="200">
        <f t="shared" si="19"/>
        <v>14.7</v>
      </c>
      <c r="X92" s="200">
        <f t="shared" si="20"/>
        <v>13.4</v>
      </c>
      <c r="Y92" s="200">
        <f t="shared" si="21"/>
        <v>101.6</v>
      </c>
      <c r="Z92" s="216">
        <f>O92/Constants!$C$12</f>
        <v>0</v>
      </c>
      <c r="AA92" s="216">
        <f>P92/Constants!$C$11</f>
        <v>2.323150191659891E-3</v>
      </c>
      <c r="AB92" s="216">
        <f>Q92/Constants!$C$13</f>
        <v>2.8308170515097691E-2</v>
      </c>
      <c r="AC92" s="216">
        <f>R92/Constants!$C$18</f>
        <v>0</v>
      </c>
      <c r="AD92" s="216">
        <f>S92/Constants!$C$3</f>
        <v>43.297252289758539</v>
      </c>
      <c r="AE92" s="216">
        <f>T92/Constants!$C$4</f>
        <v>0.15523758099352053</v>
      </c>
      <c r="AF92" s="216">
        <f>U92/Constants!$C$5</f>
        <v>0.19294064237884462</v>
      </c>
      <c r="AG92" s="216">
        <f>V92/Constants!$C$6</f>
        <v>12.241516286460106</v>
      </c>
      <c r="AH92" s="216">
        <f>W92/Constants!$C$7</f>
        <v>0.14393420150788211</v>
      </c>
      <c r="AI92" s="216">
        <f>X92/Constants!$C$8</f>
        <v>0.13120532654460004</v>
      </c>
      <c r="AJ92" s="216">
        <f>Y92/Constants!$C$10</f>
        <v>0.87465564738292012</v>
      </c>
      <c r="AK92" s="199">
        <f>Z92*Constants!$D$12</f>
        <v>0</v>
      </c>
      <c r="AL92" s="199">
        <f>AA92*Constants!$D$11</f>
        <v>9.2926007666395641E-3</v>
      </c>
      <c r="AM92" s="199">
        <f>AB92*Constants!$D$13</f>
        <v>8.4924511545293069E-2</v>
      </c>
      <c r="AN92" s="199">
        <f>AC92*Constants!$D$18</f>
        <v>0</v>
      </c>
      <c r="AO92" s="199">
        <f>AD92*Constants!$D$3</f>
        <v>86.594504579517078</v>
      </c>
      <c r="AP92" s="199">
        <f>AE92*Constants!$D$4</f>
        <v>0.46571274298056159</v>
      </c>
      <c r="AQ92" s="199">
        <f>AF92*Constants!$D$5</f>
        <v>0.77176256951537847</v>
      </c>
      <c r="AR92" s="199">
        <f>AG92*Constants!$D$6</f>
        <v>48.966065145840425</v>
      </c>
      <c r="AS92" s="199">
        <f>AH92*Constants!$D$7</f>
        <v>0.7196710075394106</v>
      </c>
      <c r="AT92" s="199">
        <f>AI92*Constants!$D$8</f>
        <v>0.65602663272300021</v>
      </c>
      <c r="AU92" s="199">
        <f>AJ92*Constants!$D$10</f>
        <v>5.2479338842975203</v>
      </c>
      <c r="AV92" s="199">
        <f>Z92*Constants!$E$12</f>
        <v>0</v>
      </c>
      <c r="AW92" s="199">
        <f>AA92*Constants!$E$11</f>
        <v>4.1816703449878041E-2</v>
      </c>
      <c r="AX92" s="199">
        <f>AB92*Constants!$E$13</f>
        <v>0.33969804618117228</v>
      </c>
      <c r="AY92" s="199">
        <f>AC92*Constants!$E$18</f>
        <v>0</v>
      </c>
      <c r="AZ92" s="199">
        <f>AD92*Constants!$E$3</f>
        <v>346.37801831806831</v>
      </c>
      <c r="BA92" s="199">
        <f>AE92*Constants!$E$4</f>
        <v>2.1733261339092875</v>
      </c>
      <c r="BB92" s="199">
        <f>AF92*Constants!$E$5</f>
        <v>3.8588128475768926</v>
      </c>
      <c r="BC92" s="199">
        <f>AG92*Constants!$E$6</f>
        <v>244.83032572920212</v>
      </c>
      <c r="BD92" s="199">
        <f>AH92*Constants!$E$7</f>
        <v>3.7422892392049349</v>
      </c>
      <c r="BE92" s="199">
        <f>AI92*Constants!$E$8</f>
        <v>3.4113384901596011</v>
      </c>
      <c r="BF92" s="199">
        <f>AJ92*Constants!$E$10</f>
        <v>27.988980716253444</v>
      </c>
    </row>
    <row r="93" spans="1:58">
      <c r="A93" s="199">
        <f>'Influent Concentration'!A93</f>
        <v>199.89861111111531</v>
      </c>
      <c r="B93" s="201">
        <v>5</v>
      </c>
      <c r="C93" s="201" t="s">
        <v>202</v>
      </c>
      <c r="D93" s="201">
        <v>0.04</v>
      </c>
      <c r="E93" s="201">
        <v>0.53</v>
      </c>
      <c r="F93" s="201" t="s">
        <v>202</v>
      </c>
      <c r="G93" s="201">
        <v>10</v>
      </c>
      <c r="H93">
        <v>228.69</v>
      </c>
      <c r="I93">
        <v>0.97</v>
      </c>
      <c r="J93">
        <v>1.37</v>
      </c>
      <c r="K93">
        <v>91.83</v>
      </c>
      <c r="L93">
        <v>1.21</v>
      </c>
      <c r="M93">
        <v>1.2</v>
      </c>
      <c r="N93">
        <v>8.86</v>
      </c>
      <c r="O93" s="200">
        <f t="shared" si="11"/>
        <v>0</v>
      </c>
      <c r="P93" s="200">
        <f t="shared" si="12"/>
        <v>0.2</v>
      </c>
      <c r="Q93" s="200">
        <f t="shared" si="13"/>
        <v>2.6500000000000004</v>
      </c>
      <c r="R93" s="200">
        <f t="shared" si="14"/>
        <v>0</v>
      </c>
      <c r="S93" s="200">
        <f t="shared" si="15"/>
        <v>2286.9</v>
      </c>
      <c r="T93" s="200">
        <f t="shared" si="16"/>
        <v>9.6999999999999993</v>
      </c>
      <c r="U93" s="200">
        <f t="shared" si="17"/>
        <v>13.700000000000001</v>
      </c>
      <c r="V93" s="200">
        <f t="shared" si="18"/>
        <v>918.3</v>
      </c>
      <c r="W93" s="200">
        <f t="shared" si="19"/>
        <v>12.1</v>
      </c>
      <c r="X93" s="200">
        <f t="shared" si="20"/>
        <v>12</v>
      </c>
      <c r="Y93" s="200">
        <f t="shared" si="21"/>
        <v>88.6</v>
      </c>
      <c r="Z93" s="216">
        <f>O93/Constants!$C$12</f>
        <v>0</v>
      </c>
      <c r="AA93" s="216">
        <f>P93/Constants!$C$11</f>
        <v>2.323150191659891E-3</v>
      </c>
      <c r="AB93" s="216">
        <f>Q93/Constants!$C$13</f>
        <v>2.9418294849023096E-2</v>
      </c>
      <c r="AC93" s="216">
        <f>R93/Constants!$C$18</f>
        <v>0</v>
      </c>
      <c r="AD93" s="216">
        <f>S93/Constants!$C$3</f>
        <v>38.083263946711078</v>
      </c>
      <c r="AE93" s="216">
        <f>T93/Constants!$C$4</f>
        <v>0.13093952483801297</v>
      </c>
      <c r="AF93" s="216">
        <f>U93/Constants!$C$5</f>
        <v>0.15548745885824539</v>
      </c>
      <c r="AG93" s="216">
        <f>V93/Constants!$C$6</f>
        <v>10.422199523323119</v>
      </c>
      <c r="AH93" s="216">
        <f>W93/Constants!$C$7</f>
        <v>0.11847645158131793</v>
      </c>
      <c r="AI93" s="216">
        <f>X93/Constants!$C$8</f>
        <v>0.11749730735337316</v>
      </c>
      <c r="AJ93" s="216">
        <f>Y93/Constants!$C$10</f>
        <v>0.76274104683195587</v>
      </c>
      <c r="AK93" s="199">
        <f>Z93*Constants!$D$12</f>
        <v>0</v>
      </c>
      <c r="AL93" s="199">
        <f>AA93*Constants!$D$11</f>
        <v>9.2926007666395641E-3</v>
      </c>
      <c r="AM93" s="199">
        <f>AB93*Constants!$D$13</f>
        <v>8.8254884547069284E-2</v>
      </c>
      <c r="AN93" s="199">
        <f>AC93*Constants!$D$18</f>
        <v>0</v>
      </c>
      <c r="AO93" s="199">
        <f>AD93*Constants!$D$3</f>
        <v>76.166527893422156</v>
      </c>
      <c r="AP93" s="199">
        <f>AE93*Constants!$D$4</f>
        <v>0.3928185745140389</v>
      </c>
      <c r="AQ93" s="199">
        <f>AF93*Constants!$D$5</f>
        <v>0.62194983543298155</v>
      </c>
      <c r="AR93" s="199">
        <f>AG93*Constants!$D$6</f>
        <v>41.688798093292476</v>
      </c>
      <c r="AS93" s="199">
        <f>AH93*Constants!$D$7</f>
        <v>0.59238225790658972</v>
      </c>
      <c r="AT93" s="199">
        <f>AI93*Constants!$D$8</f>
        <v>0.5874865367668658</v>
      </c>
      <c r="AU93" s="199">
        <f>AJ93*Constants!$D$10</f>
        <v>4.5764462809917354</v>
      </c>
      <c r="AV93" s="199">
        <f>Z93*Constants!$E$12</f>
        <v>0</v>
      </c>
      <c r="AW93" s="199">
        <f>AA93*Constants!$E$11</f>
        <v>4.1816703449878041E-2</v>
      </c>
      <c r="AX93" s="199">
        <f>AB93*Constants!$E$13</f>
        <v>0.35301953818827714</v>
      </c>
      <c r="AY93" s="199">
        <f>AC93*Constants!$E$18</f>
        <v>0</v>
      </c>
      <c r="AZ93" s="199">
        <f>AD93*Constants!$E$3</f>
        <v>304.66611157368862</v>
      </c>
      <c r="BA93" s="199">
        <f>AE93*Constants!$E$4</f>
        <v>1.8331533477321815</v>
      </c>
      <c r="BB93" s="199">
        <f>AF93*Constants!$E$5</f>
        <v>3.1097491771649075</v>
      </c>
      <c r="BC93" s="199">
        <f>AG93*Constants!$E$6</f>
        <v>208.44399046646237</v>
      </c>
      <c r="BD93" s="199">
        <f>AH93*Constants!$E$7</f>
        <v>3.0803877411142664</v>
      </c>
      <c r="BE93" s="199">
        <f>AI93*Constants!$E$8</f>
        <v>3.0549299911877021</v>
      </c>
      <c r="BF93" s="199">
        <f>AJ93*Constants!$E$10</f>
        <v>24.407713498622588</v>
      </c>
    </row>
    <row r="94" spans="1:58">
      <c r="A94" s="199">
        <f>'Influent Concentration'!A94</f>
        <v>202.90277777778101</v>
      </c>
      <c r="B94" s="201">
        <v>5</v>
      </c>
      <c r="C94" s="201" t="s">
        <v>202</v>
      </c>
      <c r="D94" s="201">
        <v>0.06</v>
      </c>
      <c r="E94" s="201">
        <v>0.56000000000000005</v>
      </c>
      <c r="F94" s="201" t="s">
        <v>202</v>
      </c>
      <c r="G94" s="201">
        <v>10</v>
      </c>
      <c r="H94">
        <v>279.97000000000003</v>
      </c>
      <c r="I94">
        <v>1.08</v>
      </c>
      <c r="J94">
        <v>1.84</v>
      </c>
      <c r="K94">
        <v>113.11</v>
      </c>
      <c r="L94">
        <v>1.63</v>
      </c>
      <c r="M94">
        <v>1.1599999999999999</v>
      </c>
      <c r="N94">
        <v>12.25</v>
      </c>
      <c r="O94" s="200">
        <f t="shared" si="11"/>
        <v>0</v>
      </c>
      <c r="P94" s="200">
        <f t="shared" si="12"/>
        <v>0.3</v>
      </c>
      <c r="Q94" s="200">
        <f t="shared" si="13"/>
        <v>2.8000000000000003</v>
      </c>
      <c r="R94" s="200">
        <f t="shared" si="14"/>
        <v>0</v>
      </c>
      <c r="S94" s="200">
        <f t="shared" si="15"/>
        <v>2799.7000000000003</v>
      </c>
      <c r="T94" s="200">
        <f t="shared" si="16"/>
        <v>10.8</v>
      </c>
      <c r="U94" s="200">
        <f t="shared" si="17"/>
        <v>18.400000000000002</v>
      </c>
      <c r="V94" s="200">
        <f t="shared" si="18"/>
        <v>1131.0999999999999</v>
      </c>
      <c r="W94" s="200">
        <f t="shared" si="19"/>
        <v>16.299999999999997</v>
      </c>
      <c r="X94" s="200">
        <f t="shared" si="20"/>
        <v>11.6</v>
      </c>
      <c r="Y94" s="200">
        <f t="shared" si="21"/>
        <v>122.5</v>
      </c>
      <c r="Z94" s="216">
        <f>O94/Constants!$C$12</f>
        <v>0</v>
      </c>
      <c r="AA94" s="216">
        <f>P94/Constants!$C$11</f>
        <v>3.4847252874898359E-3</v>
      </c>
      <c r="AB94" s="216">
        <f>Q94/Constants!$C$13</f>
        <v>3.1083481349911193E-2</v>
      </c>
      <c r="AC94" s="216">
        <f>R94/Constants!$C$18</f>
        <v>0</v>
      </c>
      <c r="AD94" s="216">
        <f>S94/Constants!$C$3</f>
        <v>46.622814321398842</v>
      </c>
      <c r="AE94" s="216">
        <f>T94/Constants!$C$4</f>
        <v>0.14578833693304538</v>
      </c>
      <c r="AF94" s="216">
        <f>U94/Constants!$C$5</f>
        <v>0.20882987175122009</v>
      </c>
      <c r="AG94" s="216">
        <f>V94/Constants!$C$6</f>
        <v>12.837362387924184</v>
      </c>
      <c r="AH94" s="216">
        <f>W94/Constants!$C$7</f>
        <v>0.15960050915499852</v>
      </c>
      <c r="AI94" s="216">
        <f>X94/Constants!$C$8</f>
        <v>0.11358073044159404</v>
      </c>
      <c r="AJ94" s="216">
        <f>Y94/Constants!$C$10</f>
        <v>1.0545798898071626</v>
      </c>
      <c r="AK94" s="199">
        <f>Z94*Constants!$D$12</f>
        <v>0</v>
      </c>
      <c r="AL94" s="199">
        <f>AA94*Constants!$D$11</f>
        <v>1.3938901149959344E-2</v>
      </c>
      <c r="AM94" s="199">
        <f>AB94*Constants!$D$13</f>
        <v>9.325044404973358E-2</v>
      </c>
      <c r="AN94" s="199">
        <f>AC94*Constants!$D$18</f>
        <v>0</v>
      </c>
      <c r="AO94" s="199">
        <f>AD94*Constants!$D$3</f>
        <v>93.245628642797683</v>
      </c>
      <c r="AP94" s="199">
        <f>AE94*Constants!$D$4</f>
        <v>0.43736501079913614</v>
      </c>
      <c r="AQ94" s="199">
        <f>AF94*Constants!$D$5</f>
        <v>0.83531948700488035</v>
      </c>
      <c r="AR94" s="199">
        <f>AG94*Constants!$D$6</f>
        <v>51.349449551696736</v>
      </c>
      <c r="AS94" s="199">
        <f>AH94*Constants!$D$7</f>
        <v>0.79800254577499263</v>
      </c>
      <c r="AT94" s="199">
        <f>AI94*Constants!$D$8</f>
        <v>0.56790365220797023</v>
      </c>
      <c r="AU94" s="199">
        <f>AJ94*Constants!$D$10</f>
        <v>6.3274793388429753</v>
      </c>
      <c r="AV94" s="199">
        <f>Z94*Constants!$E$12</f>
        <v>0</v>
      </c>
      <c r="AW94" s="199">
        <f>AA94*Constants!$E$11</f>
        <v>6.2725055174817052E-2</v>
      </c>
      <c r="AX94" s="199">
        <f>AB94*Constants!$E$13</f>
        <v>0.37300177619893432</v>
      </c>
      <c r="AY94" s="199">
        <f>AC94*Constants!$E$18</f>
        <v>0</v>
      </c>
      <c r="AZ94" s="199">
        <f>AD94*Constants!$E$3</f>
        <v>372.98251457119073</v>
      </c>
      <c r="BA94" s="199">
        <f>AE94*Constants!$E$4</f>
        <v>2.0410367170626351</v>
      </c>
      <c r="BB94" s="199">
        <f>AF94*Constants!$E$5</f>
        <v>4.1765974350244015</v>
      </c>
      <c r="BC94" s="199">
        <f>AG94*Constants!$E$6</f>
        <v>256.7472477584837</v>
      </c>
      <c r="BD94" s="199">
        <f>AH94*Constants!$E$7</f>
        <v>4.1496132380299615</v>
      </c>
      <c r="BE94" s="199">
        <f>AI94*Constants!$E$8</f>
        <v>2.9530989914814452</v>
      </c>
      <c r="BF94" s="199">
        <f>AJ94*Constants!$E$10</f>
        <v>33.746556473829202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052C6-7CCC-4553-B401-F382C7B58B80}">
  <dimension ref="A2:X93"/>
  <sheetViews>
    <sheetView zoomScale="57" zoomScaleNormal="57" workbookViewId="0">
      <pane xSplit="1" ySplit="3" topLeftCell="B4" activePane="bottomRight" state="frozen"/>
      <selection pane="topRight" activeCell="B1" sqref="B1"/>
      <selection pane="bottomLeft" activeCell="A4" sqref="A4"/>
      <selection pane="bottomRight" activeCell="T37" sqref="T37"/>
    </sheetView>
  </sheetViews>
  <sheetFormatPr defaultRowHeight="15"/>
  <cols>
    <col min="16" max="16" width="18" customWidth="1"/>
  </cols>
  <sheetData>
    <row r="2" spans="1:24">
      <c r="B2" t="s">
        <v>152</v>
      </c>
      <c r="C2" t="s">
        <v>152</v>
      </c>
      <c r="D2" t="s">
        <v>152</v>
      </c>
      <c r="E2" t="s">
        <v>152</v>
      </c>
      <c r="F2" t="s">
        <v>152</v>
      </c>
      <c r="G2" t="s">
        <v>152</v>
      </c>
      <c r="H2" t="s">
        <v>152</v>
      </c>
      <c r="I2" t="s">
        <v>152</v>
      </c>
      <c r="J2" t="s">
        <v>152</v>
      </c>
      <c r="K2" t="s">
        <v>152</v>
      </c>
      <c r="L2" t="s">
        <v>152</v>
      </c>
    </row>
    <row r="3" spans="1:24">
      <c r="A3" t="s">
        <v>141</v>
      </c>
      <c r="B3" t="s">
        <v>7</v>
      </c>
      <c r="C3" t="s">
        <v>9</v>
      </c>
      <c r="D3" t="s">
        <v>11</v>
      </c>
      <c r="E3" t="s">
        <v>13</v>
      </c>
      <c r="F3" t="s">
        <v>15</v>
      </c>
      <c r="G3" t="s">
        <v>17</v>
      </c>
      <c r="H3" t="s">
        <v>21</v>
      </c>
      <c r="I3" t="s">
        <v>248</v>
      </c>
      <c r="J3" t="s">
        <v>144</v>
      </c>
      <c r="K3" t="s">
        <v>198</v>
      </c>
      <c r="L3" t="s">
        <v>145</v>
      </c>
    </row>
    <row r="4" spans="1:24">
      <c r="A4" s="182">
        <f>'Effluent Concentration'!A4</f>
        <v>0</v>
      </c>
      <c r="B4" s="113">
        <f>'Effluent Concentration'!AD4-'Influent Concentration'!U4</f>
        <v>-45.305578684429641</v>
      </c>
      <c r="C4" s="113">
        <f>'Effluent Concentration'!AE4-'Influent Concentration'!V4</f>
        <v>-2.6356641468682507</v>
      </c>
      <c r="D4" s="113">
        <f>'Effluent Concentration'!AF4</f>
        <v>0</v>
      </c>
      <c r="E4" s="113">
        <f>'Effluent Concentration'!AG4-'Influent Concentration'!W4</f>
        <v>-1.3329928498467822</v>
      </c>
      <c r="F4" s="113">
        <f>'Effluent Concentration'!AH4</f>
        <v>0</v>
      </c>
      <c r="G4" s="113">
        <f>'Effluent Concentration'!AI4</f>
        <v>0</v>
      </c>
      <c r="H4" s="113">
        <f>'Effluent Concentration'!AJ4</f>
        <v>0</v>
      </c>
      <c r="I4" s="113">
        <f>'Effluent Concentration'!Z4-'Influent Concentration'!P4</f>
        <v>-42.418915608835349</v>
      </c>
      <c r="J4" s="113">
        <f>'Effluent Concentration'!AA4-'Influent Concentration'!Q4</f>
        <v>-1.3915669648042748</v>
      </c>
      <c r="K4" s="113">
        <f>'Effluent Concentration'!AC4-'Influent Concentration'!S4</f>
        <v>-1.6845847794802333</v>
      </c>
      <c r="L4" s="113">
        <f>'Effluent Concentration'!AB4-'Influent Concentration'!R4</f>
        <v>-9.7757548845470676</v>
      </c>
    </row>
    <row r="5" spans="1:24">
      <c r="A5" s="182">
        <f>'Effluent Concentration'!A5</f>
        <v>0.95138888889050577</v>
      </c>
      <c r="B5" s="113">
        <f>'Effluent Concentration'!AD5-'Influent Concentration'!U5</f>
        <v>6.6719400499583674</v>
      </c>
      <c r="C5" s="113">
        <f>'Effluent Concentration'!AE5-'Influent Concentration'!V5</f>
        <v>-1.0259179265658747</v>
      </c>
      <c r="D5" s="113">
        <f>'Effluent Concentration'!AF5</f>
        <v>1.2484394506866418E-2</v>
      </c>
      <c r="E5" s="113">
        <f>'Effluent Concentration'!AG5-'Influent Concentration'!W5</f>
        <v>2.9576665531721709</v>
      </c>
      <c r="F5" s="113">
        <f>'Effluent Concentration'!AH5</f>
        <v>0</v>
      </c>
      <c r="G5" s="113">
        <f>'Effluent Concentration'!AI5</f>
        <v>0.10085185547831196</v>
      </c>
      <c r="H5" s="113">
        <f>'Effluent Concentration'!AJ5</f>
        <v>3.3574380165289262E-2</v>
      </c>
      <c r="I5" s="113">
        <f>'Effluent Concentration'!Z5-'Influent Concentration'!P5</f>
        <v>-28.747652599071131</v>
      </c>
      <c r="J5" s="113">
        <f>'Effluent Concentration'!AA5-'Influent Concentration'!Q5</f>
        <v>-4.7880125450110347</v>
      </c>
      <c r="K5" s="113">
        <f>'Effluent Concentration'!AC5-'Influent Concentration'!S5</f>
        <v>-2.5744518750529091</v>
      </c>
      <c r="L5" s="113">
        <f>'Effluent Concentration'!AB5-'Influent Concentration'!R5</f>
        <v>-18.960923623445826</v>
      </c>
    </row>
    <row r="6" spans="1:24">
      <c r="A6" s="182">
        <f>'Effluent Concentration'!A6</f>
        <v>4.0208333333357587</v>
      </c>
      <c r="B6" s="113">
        <f>'Effluent Concentration'!AD6-'Influent Concentration'!U6</f>
        <v>3.8442964196502896</v>
      </c>
      <c r="C6" s="113">
        <f>'Effluent Concentration'!AE6-'Influent Concentration'!V6</f>
        <v>-0.63309935205183576</v>
      </c>
      <c r="D6" s="113">
        <f>'Effluent Concentration'!AF6</f>
        <v>1.9294064237884465E-2</v>
      </c>
      <c r="E6" s="113">
        <f>'Effluent Concentration'!AG6-'Influent Concentration'!W6</f>
        <v>15.640676427193281</v>
      </c>
      <c r="F6" s="113">
        <f>'Effluent Concentration'!AH6</f>
        <v>2.5457749926564185E-2</v>
      </c>
      <c r="G6" s="113">
        <f>'Effluent Concentration'!AI6</f>
        <v>0.1370801919122687</v>
      </c>
      <c r="H6" s="113">
        <f>'Effluent Concentration'!AJ6</f>
        <v>4.5626721763085409E-2</v>
      </c>
      <c r="I6" s="113">
        <f>'Effluent Concentration'!Z6-'Influent Concentration'!P6</f>
        <v>-39.851879601746326</v>
      </c>
      <c r="J6" s="113">
        <f>'Effluent Concentration'!AA6-'Influent Concentration'!Q6</f>
        <v>-4.7067022883029388</v>
      </c>
      <c r="K6" s="113">
        <f>'Effluent Concentration'!AC6-'Influent Concentration'!S6</f>
        <v>-5.3256581731990194</v>
      </c>
      <c r="L6" s="113">
        <f>'Effluent Concentration'!AB6-'Influent Concentration'!R6</f>
        <v>-18.960923623445826</v>
      </c>
    </row>
    <row r="7" spans="1:24" s="226" customFormat="1">
      <c r="A7" s="229">
        <f>'Effluent Concentration'!A7</f>
        <v>5.7222222222262644</v>
      </c>
      <c r="B7" s="225">
        <f>'Effluent Concentration'!AD7-'Influent Concentration'!U7</f>
        <v>33.45961698584513</v>
      </c>
      <c r="C7" s="225">
        <f>'Effluent Concentration'!AE7-'Influent Concentration'!V7</f>
        <v>-0.51565874730021599</v>
      </c>
      <c r="D7" s="225">
        <f>'Effluent Concentration'!AF7</f>
        <v>3.6318238565429581E-2</v>
      </c>
      <c r="E7" s="225">
        <f>'Effluent Concentration'!AG7-'Influent Concentration'!W7</f>
        <v>25.280898876404496</v>
      </c>
      <c r="F7" s="225">
        <f>'Effluent Concentration'!AH7</f>
        <v>4.2103201801625377E-2</v>
      </c>
      <c r="G7" s="225">
        <f>'Effluent Concentration'!AI7</f>
        <v>9.7914422794477637E-2</v>
      </c>
      <c r="H7" s="225">
        <f>'Effluent Concentration'!AJ7</f>
        <v>0.22469008264462809</v>
      </c>
      <c r="I7" s="225">
        <f>'Effluent Concentration'!Z7-'Influent Concentration'!P7</f>
        <v>-51.561267764601915</v>
      </c>
      <c r="J7" s="225">
        <f>'Effluent Concentration'!AA7-'Influent Concentration'!Q7</f>
        <v>-4.6718550354280399</v>
      </c>
      <c r="K7" s="225">
        <f>'Effluent Concentration'!AC7-'Influent Concentration'!S7</f>
        <v>-6.0028781850503696</v>
      </c>
      <c r="L7" s="225">
        <f>'Effluent Concentration'!AB7-'Influent Concentration'!R7</f>
        <v>-18.960923623445826</v>
      </c>
    </row>
    <row r="8" spans="1:24">
      <c r="A8" s="179">
        <f>'Effluent Concentration'!A8</f>
        <v>6.7687500000029104</v>
      </c>
      <c r="B8" s="113">
        <f>'Effluent Concentration'!AD8-'Influent Concentration'!U8</f>
        <v>52.035803497085759</v>
      </c>
      <c r="C8" s="113">
        <f>'Effluent Concentration'!AE8-'Influent Concentration'!V8</f>
        <v>-0.36244600431965435</v>
      </c>
      <c r="D8" s="113">
        <f>'Effluent Concentration'!AF8</f>
        <v>4.7667688117126322E-2</v>
      </c>
      <c r="E8" s="113">
        <f>'Effluent Concentration'!AG8-'Influent Concentration'!W8</f>
        <v>30.743388945636138</v>
      </c>
      <c r="F8" s="113">
        <f>'Effluent Concentration'!AH8</f>
        <v>6.070694213257613E-2</v>
      </c>
      <c r="G8" s="113">
        <f>'Effluent Concentration'!AI8</f>
        <v>0.1370801919122687</v>
      </c>
      <c r="H8" s="113">
        <f>'Effluent Concentration'!AJ8</f>
        <v>0.23243801652892562</v>
      </c>
      <c r="I8" s="113">
        <f>'Effluent Concentration'!Z8-'Influent Concentration'!P8</f>
        <v>-105.69379805868141</v>
      </c>
      <c r="J8" s="113">
        <f>'Effluent Concentration'!AA8-'Influent Concentration'!Q8</f>
        <v>-1.1987454988965036</v>
      </c>
      <c r="K8" s="113">
        <f>'Effluent Concentration'!AC8-'Influent Concentration'!S8</f>
        <v>-2.5573520697536609</v>
      </c>
      <c r="L8" s="113">
        <f>'Effluent Concentration'!AB8-'Influent Concentration'!R8</f>
        <v>-19.453818827708705</v>
      </c>
    </row>
    <row r="9" spans="1:24">
      <c r="A9" s="179">
        <f>'Effluent Concentration'!A9</f>
        <v>7.7881944444452529</v>
      </c>
      <c r="B9" s="113">
        <f>'Effluent Concentration'!AD9-'Influent Concentration'!U9</f>
        <v>81.049958368026651</v>
      </c>
      <c r="C9" s="113">
        <f>'Effluent Concentration'!AE9-'Influent Concentration'!V9</f>
        <v>-0.36379589632829368</v>
      </c>
      <c r="D9" s="113">
        <f>'Effluent Concentration'!AF9</f>
        <v>8.6255816592895246E-2</v>
      </c>
      <c r="E9" s="113">
        <f>'Effluent Concentration'!AG9-'Influent Concentration'!W9</f>
        <v>46.554307116104866</v>
      </c>
      <c r="F9" s="113">
        <f>'Effluent Concentration'!AH9</f>
        <v>5.6790365220797022E-2</v>
      </c>
      <c r="G9" s="113">
        <f>'Effluent Concentration'!AI9</f>
        <v>0.31332615294232841</v>
      </c>
      <c r="H9" s="113">
        <f>'Effluent Concentration'!AJ9</f>
        <v>0.44765840220385678</v>
      </c>
      <c r="I9" s="113">
        <f>'Effluent Concentration'!Z9-'Influent Concentration'!P9</f>
        <v>-100.53648017136626</v>
      </c>
      <c r="J9" s="113">
        <f>'Effluent Concentration'!AA9-'Influent Concentration'!Q9</f>
        <v>-1.2347543268672319</v>
      </c>
      <c r="K9" s="113">
        <f>'Effluent Concentration'!AC9-'Influent Concentration'!S9</f>
        <v>-0.48844493354778606</v>
      </c>
      <c r="L9" s="113">
        <f>'Effluent Concentration'!AB9-'Influent Concentration'!R9</f>
        <v>-19.453818827708705</v>
      </c>
    </row>
    <row r="10" spans="1:24">
      <c r="A10" s="179">
        <f>'Effluent Concentration'!A10</f>
        <v>10.788194444445253</v>
      </c>
      <c r="B10" s="113">
        <f>'Effluent Concentration'!AD10-'Influent Concentration'!U10</f>
        <v>93.949208992506229</v>
      </c>
      <c r="C10" s="113">
        <f>'Effluent Concentration'!AE10-'Influent Concentration'!V10</f>
        <v>0.67022138228941674</v>
      </c>
      <c r="D10" s="113">
        <f>'Effluent Concentration'!AF10</f>
        <v>5.9017137668823064E-2</v>
      </c>
      <c r="E10" s="113">
        <f>'Effluent Concentration'!AG10-'Influent Concentration'!W10</f>
        <v>57.756213823629551</v>
      </c>
      <c r="F10" s="113">
        <f>'Effluent Concentration'!AH10</f>
        <v>5.4832076764907478E-2</v>
      </c>
      <c r="G10" s="113">
        <f>'Effluent Concentration'!AI10</f>
        <v>0.46215607558993438</v>
      </c>
      <c r="H10" s="113">
        <f>'Effluent Concentration'!AJ10</f>
        <v>0.49414600550964194</v>
      </c>
      <c r="I10" s="113">
        <f>'Effluent Concentration'!Z10-'Influent Concentration'!P10</f>
        <v>-107.72252880519093</v>
      </c>
      <c r="J10" s="113">
        <f>'Effluent Concentration'!AA10-'Influent Concentration'!Q10</f>
        <v>-1.2661168544546404</v>
      </c>
      <c r="K10" s="113">
        <f>'Effluent Concentration'!AC10-'Influent Concentration'!S10</f>
        <v>-2.6733259967832046</v>
      </c>
      <c r="L10" s="113">
        <f>'Effluent Concentration'!AB10-'Influent Concentration'!R10</f>
        <v>-19.453818827708705</v>
      </c>
    </row>
    <row r="11" spans="1:24">
      <c r="A11" s="179">
        <f>'Effluent Concentration'!A11</f>
        <v>12.790972222224809</v>
      </c>
      <c r="B11" s="113">
        <f>'Effluent Concentration'!AD11-'Influent Concentration'!U11</f>
        <v>94.955037468776027</v>
      </c>
      <c r="C11" s="113">
        <f>'Effluent Concentration'!AE11-'Influent Concentration'!V11</f>
        <v>2.6572624190064795</v>
      </c>
      <c r="D11" s="113">
        <f>'Effluent Concentration'!AF11</f>
        <v>7.2636477130859162E-2</v>
      </c>
      <c r="E11" s="113">
        <f>'Effluent Concentration'!AG11-'Influent Concentration'!W11</f>
        <v>53.422993984791731</v>
      </c>
      <c r="F11" s="113">
        <f>'Effluent Concentration'!AH11</f>
        <v>4.8957211397238819E-2</v>
      </c>
      <c r="G11" s="113">
        <f>'Effluent Concentration'!AI11</f>
        <v>0.56202878684030166</v>
      </c>
      <c r="H11" s="113">
        <f>'Effluent Concentration'!AJ11</f>
        <v>0.46659779614325075</v>
      </c>
      <c r="I11" s="113">
        <f>'Effluent Concentration'!Z11-'Influent Concentration'!P11</f>
        <v>-103.57573399805003</v>
      </c>
      <c r="J11" s="113">
        <f>'Effluent Concentration'!AA11-'Influent Concentration'!Q11</f>
        <v>-1.2219770008131026</v>
      </c>
      <c r="K11" s="113">
        <f>'Effluent Concentration'!AC11-'Influent Concentration'!S11</f>
        <v>-2.5658173199018028</v>
      </c>
      <c r="L11" s="113">
        <f>'Effluent Concentration'!AB11-'Influent Concentration'!R11</f>
        <v>-19.453818827708705</v>
      </c>
    </row>
    <row r="12" spans="1:24">
      <c r="A12" s="179">
        <f>'Effluent Concentration'!A12</f>
        <v>14.790277777778101</v>
      </c>
      <c r="B12" s="113">
        <f>'Effluent Concentration'!AD12-'Influent Concentration'!U12</f>
        <v>99.834304746044964</v>
      </c>
      <c r="C12" s="113">
        <f>'Effluent Concentration'!AE12-'Influent Concentration'!V12</f>
        <v>3.497570194384449</v>
      </c>
      <c r="D12" s="113">
        <f>'Effluent Concentration'!AF12</f>
        <v>8.6255816592895246E-2</v>
      </c>
      <c r="E12" s="113">
        <f>'Effluent Concentration'!AG12-'Influent Concentration'!W12</f>
        <v>54.642492339121553</v>
      </c>
      <c r="F12" s="113">
        <f>'Effluent Concentration'!AH12</f>
        <v>4.6998922941349261E-2</v>
      </c>
      <c r="G12" s="113">
        <f>'Effluent Concentration'!AI12</f>
        <v>0.69127582492901207</v>
      </c>
      <c r="H12" s="113">
        <f>'Effluent Concentration'!AJ12</f>
        <v>0.28236914600550961</v>
      </c>
      <c r="I12" s="113">
        <f>'Effluent Concentration'!Z12-'Influent Concentration'!P12</f>
        <v>-81.747667007670159</v>
      </c>
      <c r="J12" s="113">
        <f>'Effluent Concentration'!AA12-'Influent Concentration'!Q12</f>
        <v>-2.5554652108258809E-2</v>
      </c>
      <c r="K12" s="113">
        <f>'Effluent Concentration'!AC12-'Influent Concentration'!S12</f>
        <v>-8.6870397020231955</v>
      </c>
      <c r="L12" s="113">
        <f>'Effluent Concentration'!AB12-'Influent Concentration'!R12</f>
        <v>-16.079040852575488</v>
      </c>
      <c r="P12" t="s">
        <v>249</v>
      </c>
      <c r="Q12" t="s">
        <v>250</v>
      </c>
      <c r="R12" t="s">
        <v>251</v>
      </c>
      <c r="S12" t="s">
        <v>252</v>
      </c>
      <c r="T12" t="s">
        <v>251</v>
      </c>
      <c r="U12" t="s">
        <v>253</v>
      </c>
      <c r="V12" t="s">
        <v>251</v>
      </c>
      <c r="W12" t="s">
        <v>254</v>
      </c>
      <c r="X12" t="s">
        <v>251</v>
      </c>
    </row>
    <row r="13" spans="1:24">
      <c r="A13" s="179">
        <f>'Effluent Concentration'!A13</f>
        <v>17.790277777778101</v>
      </c>
      <c r="B13" s="113">
        <f>'Effluent Concentration'!AD13-'Influent Concentration'!U13</f>
        <v>100.43380516236471</v>
      </c>
      <c r="C13" s="113">
        <f>'Effluent Concentration'!AE13-'Influent Concentration'!V13</f>
        <v>3.1546976241900646</v>
      </c>
      <c r="D13" s="113">
        <f>'Effluent Concentration'!AF13</f>
        <v>4.3127908296447623E-2</v>
      </c>
      <c r="E13" s="113">
        <f>'Effluent Concentration'!AG13-'Influent Concentration'!W13</f>
        <v>53.121666099194194</v>
      </c>
      <c r="F13" s="113">
        <f>'Effluent Concentration'!AH13</f>
        <v>2.937432683834329E-2</v>
      </c>
      <c r="G13" s="113">
        <f>'Effluent Concentration'!AI13</f>
        <v>0.85185547831195541</v>
      </c>
      <c r="H13" s="113">
        <f>'Effluent Concentration'!AJ13</f>
        <v>0.17045454545454547</v>
      </c>
      <c r="I13" s="113">
        <f>'Effluent Concentration'!Z13-'Influent Concentration'!P13</f>
        <v>-81.902319304160699</v>
      </c>
      <c r="J13" s="113">
        <f>'Effluent Concentration'!AA13-'Influent Concentration'!Q13</f>
        <v>0.13125798582878379</v>
      </c>
      <c r="K13" s="113">
        <f>'Effluent Concentration'!AC13-'Influent Concentration'!S13</f>
        <v>-8.6870397020231955</v>
      </c>
      <c r="L13" s="113">
        <f>'Effluent Concentration'!AB13-'Influent Concentration'!R13</f>
        <v>-16.079040852575488</v>
      </c>
      <c r="P13" t="s">
        <v>259</v>
      </c>
      <c r="Q13" s="265" t="s">
        <v>260</v>
      </c>
      <c r="R13" s="265"/>
      <c r="S13" s="265" t="s">
        <v>261</v>
      </c>
      <c r="T13" s="265"/>
      <c r="U13" s="265" t="s">
        <v>262</v>
      </c>
      <c r="V13" s="265"/>
      <c r="W13" s="265" t="s">
        <v>263</v>
      </c>
      <c r="X13" s="265"/>
    </row>
    <row r="14" spans="1:24">
      <c r="A14" s="179">
        <f>'Effluent Concentration'!A14</f>
        <v>19.788194444445253</v>
      </c>
      <c r="B14" s="113">
        <f>'Effluent Concentration'!AD14-'Influent Concentration'!U14</f>
        <v>100.36053288925895</v>
      </c>
      <c r="C14" s="113">
        <f>'Effluent Concentration'!AE14-'Influent Concentration'!V14</f>
        <v>2.5931425485961124</v>
      </c>
      <c r="D14" s="113">
        <f>'Effluent Concentration'!AF14</f>
        <v>2.2698899103393486E-2</v>
      </c>
      <c r="E14" s="113">
        <f>'Effluent Concentration'!AG14-'Influent Concentration'!W14</f>
        <v>52.992282374304857</v>
      </c>
      <c r="F14" s="113">
        <f>'Effluent Concentration'!AH14</f>
        <v>1.370801919122687E-2</v>
      </c>
      <c r="G14" s="113">
        <f>'Effluent Concentration'!AI14</f>
        <v>0.77352394007637326</v>
      </c>
      <c r="H14" s="113">
        <f>'Effluent Concentration'!AJ14</f>
        <v>0.16873278236914602</v>
      </c>
      <c r="I14" s="113">
        <f>'Effluent Concentration'!Z14-'Influent Concentration'!P14</f>
        <v>-82.244283388326139</v>
      </c>
      <c r="J14" s="113">
        <f>'Effluent Concentration'!AA14-'Influent Concentration'!Q14</f>
        <v>2.0908351724939003E-2</v>
      </c>
      <c r="K14" s="113">
        <f>'Effluent Concentration'!AC14-'Influent Concentration'!S14</f>
        <v>-8.6870397020231955</v>
      </c>
      <c r="L14" s="113">
        <f>'Effluent Concentration'!AB14-'Influent Concentration'!R14</f>
        <v>-16.079040852575488</v>
      </c>
      <c r="P14" t="s">
        <v>255</v>
      </c>
      <c r="Q14" s="233">
        <f>AVERAGE(B19:B23)</f>
        <v>99.700083263946723</v>
      </c>
      <c r="R14" s="233">
        <f>STDEVA(B19:B23)</f>
        <v>2.4329548840988764</v>
      </c>
      <c r="S14" s="233">
        <f>AVERAGE(B30:B46)</f>
        <v>113.88485085957782</v>
      </c>
      <c r="T14" s="233">
        <f>STDEVA(B30:B46)</f>
        <v>3.0271516170723194</v>
      </c>
      <c r="U14" s="233">
        <f>AVERAGE(B51:B55)</f>
        <v>20.317568692756033</v>
      </c>
      <c r="V14" s="233">
        <f>STDEVA(B51:B55)</f>
        <v>0.42996199248751821</v>
      </c>
      <c r="W14" s="233">
        <f>AVERAGE(B62:B93)</f>
        <v>54.065960657785169</v>
      </c>
      <c r="X14" s="233">
        <f>STDEVA(B62:B93)</f>
        <v>8.534455806933666</v>
      </c>
    </row>
    <row r="15" spans="1:24">
      <c r="A15" s="179">
        <f>'Effluent Concentration'!A15</f>
        <v>21.788194444445253</v>
      </c>
      <c r="B15" s="113">
        <f>'Effluent Concentration'!AD15-'Influent Concentration'!U15</f>
        <v>100.7202331390508</v>
      </c>
      <c r="C15" s="113">
        <f>'Effluent Concentration'!AE15-'Influent Concentration'!V15</f>
        <v>2.4527537796976242</v>
      </c>
      <c r="D15" s="113">
        <f>'Effluent Concentration'!AF15</f>
        <v>1.1349449551696743E-2</v>
      </c>
      <c r="E15" s="113">
        <f>'Effluent Concentration'!AG15-'Influent Concentration'!W15</f>
        <v>53.394052888434913</v>
      </c>
      <c r="F15" s="113">
        <f>'Effluent Concentration'!AH15</f>
        <v>4.3082346029570159E-2</v>
      </c>
      <c r="G15" s="113">
        <f>'Effluent Concentration'!AI15</f>
        <v>0.79898169000293739</v>
      </c>
      <c r="H15" s="113">
        <f>'Effluent Concentration'!AJ15</f>
        <v>0.18595041322314051</v>
      </c>
      <c r="I15" s="113">
        <f>'Effluent Concentration'!Z15-'Influent Concentration'!P15</f>
        <v>-82.225071922923576</v>
      </c>
      <c r="J15" s="113">
        <f>'Effluent Concentration'!AA15-'Influent Concentration'!Q15</f>
        <v>1.974677662910905E-2</v>
      </c>
      <c r="K15" s="113">
        <f>'Effluent Concentration'!AC15-'Influent Concentration'!S15</f>
        <v>-8.6870397020231955</v>
      </c>
      <c r="L15" s="113">
        <f>'Effluent Concentration'!AB15-'Influent Concentration'!R15</f>
        <v>-16.036856127886324</v>
      </c>
      <c r="P15" t="s">
        <v>256</v>
      </c>
      <c r="Q15" s="233">
        <f>AVERAGE(C19:C23)</f>
        <v>1.9607181425485962</v>
      </c>
      <c r="R15" s="233">
        <f>STDEVA(C19:C23)</f>
        <v>0.29118581814442968</v>
      </c>
      <c r="S15" s="233">
        <f>AVERAGE(C30:C46)</f>
        <v>0.74776076737390429</v>
      </c>
      <c r="T15" s="233">
        <f>STDEVA(C30:C46)</f>
        <v>9.8673170785822426E-2</v>
      </c>
      <c r="U15" s="233">
        <f>AVERAGE(C51:C55)</f>
        <v>7.316414686825054E-2</v>
      </c>
      <c r="V15" s="233">
        <f>STDEVA(C51:C55)</f>
        <v>6.6164678300718455E-2</v>
      </c>
      <c r="W15" s="233">
        <f>AVERAGE(C62:C93)</f>
        <v>0.34571999865010816</v>
      </c>
      <c r="X15" s="233">
        <f>STDEVA(C62:C93)</f>
        <v>0.11176982958171179</v>
      </c>
    </row>
    <row r="16" spans="1:24">
      <c r="A16" s="179">
        <f>'Effluent Concentration'!A16</f>
        <v>24.75</v>
      </c>
      <c r="B16" s="113">
        <f>'Effluent Concentration'!AD16-'Influent Concentration'!U16</f>
        <v>98.560366361365539</v>
      </c>
      <c r="C16" s="113">
        <f>'Effluent Concentration'!AE16-'Influent Concentration'!V16</f>
        <v>2.1901997840172784</v>
      </c>
      <c r="D16" s="113">
        <f>'Effluent Concentration'!AF16</f>
        <v>2.9508568834411532E-2</v>
      </c>
      <c r="E16" s="113">
        <f>'Effluent Concentration'!AG16-'Influent Concentration'!W16</f>
        <v>53.498467824310524</v>
      </c>
      <c r="F16" s="113">
        <f>'Effluent Concentration'!AH16</f>
        <v>4.3082346029570159E-2</v>
      </c>
      <c r="G16" s="113">
        <f>'Effluent Concentration'!AI16</f>
        <v>0.76960736316459422</v>
      </c>
      <c r="H16" s="113">
        <f>'Effluent Concentration'!AJ16</f>
        <v>0.2134986225895317</v>
      </c>
      <c r="I16" s="113">
        <f>'Effluent Concentration'!Z16-'Influent Concentration'!P16</f>
        <v>-81.504641970327896</v>
      </c>
      <c r="J16" s="113">
        <f>'Effluent Concentration'!AA16-'Influent Concentration'!Q16</f>
        <v>-1.0454175862469502E-2</v>
      </c>
      <c r="K16" s="113">
        <f>'Effluent Concentration'!AC16-'Influent Concentration'!S16</f>
        <v>-8.0910860915940059</v>
      </c>
      <c r="L16" s="113">
        <f>'Effluent Concentration'!AB16-'Influent Concentration'!R16</f>
        <v>-13.940941385435169</v>
      </c>
      <c r="P16" t="s">
        <v>203</v>
      </c>
      <c r="Q16" s="233">
        <f>AVERAGE(D19:D23)</f>
        <v>7.7630234933605727E-2</v>
      </c>
      <c r="R16" s="233">
        <f>STDEVA(D19:D23)</f>
        <v>3.089052472809713E-2</v>
      </c>
      <c r="S16" s="233">
        <f>AVERAGE(D30:D46)</f>
        <v>0.10668482578594939</v>
      </c>
      <c r="T16" s="233">
        <f>STDEVA(D30:D46)</f>
        <v>2.0507673362379596E-2</v>
      </c>
      <c r="U16" s="233">
        <f>AVERAGE(D51:D55)</f>
        <v>8.5688344115310414E-2</v>
      </c>
      <c r="V16" s="233">
        <f>STDEVA(D51:D55)</f>
        <v>2.6917583079403974E-3</v>
      </c>
      <c r="W16" s="233">
        <f>AVERAGE(D62:D93)</f>
        <v>0.24298462149585742</v>
      </c>
      <c r="X16" s="233">
        <f>STDEVA(D62:D93)</f>
        <v>5.7053303765664067E-2</v>
      </c>
    </row>
    <row r="17" spans="1:24">
      <c r="A17" s="179">
        <f>'Effluent Concentration'!A17</f>
        <v>26.75</v>
      </c>
      <c r="B17" s="113">
        <f>'Effluent Concentration'!AD17-'Influent Concentration'!U17</f>
        <v>97.917568692756035</v>
      </c>
      <c r="C17" s="113">
        <f>'Effluent Concentration'!AE17-'Influent Concentration'!V17</f>
        <v>1.9310205183585316</v>
      </c>
      <c r="D17" s="113">
        <f>'Effluent Concentration'!AF17</f>
        <v>6.3556917489501763E-2</v>
      </c>
      <c r="E17" s="113">
        <f>'Effluent Concentration'!AG17-'Influent Concentration'!W17</f>
        <v>53.457609805924413</v>
      </c>
      <c r="F17" s="113">
        <f>'Effluent Concentration'!AH17</f>
        <v>4.6998922941349261E-2</v>
      </c>
      <c r="G17" s="113">
        <f>'Effluent Concentration'!AI17</f>
        <v>0.6697346519142271</v>
      </c>
      <c r="H17" s="113">
        <f>'Effluent Concentration'!AJ17</f>
        <v>0.19111570247933887</v>
      </c>
      <c r="I17" s="113">
        <f>'Effluent Concentration'!Z17-'Influent Concentration'!P17</f>
        <v>-81.359595406538631</v>
      </c>
      <c r="J17" s="113">
        <f>'Effluent Concentration'!AA17-'Influent Concentration'!Q17</f>
        <v>1.1615750958299462E-3</v>
      </c>
      <c r="K17" s="113">
        <f>'Effluent Concentration'!AC17-'Influent Concentration'!S17</f>
        <v>-8.0910860915940059</v>
      </c>
      <c r="L17" s="113">
        <f>'Effluent Concentration'!AB17-'Influent Concentration'!R17</f>
        <v>-13.8898756660746</v>
      </c>
      <c r="P17" t="s">
        <v>149</v>
      </c>
      <c r="Q17" s="233">
        <f>AVERAGE(E19:E23)</f>
        <v>56.405969810464192</v>
      </c>
      <c r="R17" s="233">
        <f>STDEVA(E19:E23)</f>
        <v>0.23864413922532582</v>
      </c>
      <c r="S17" s="233">
        <f>AVERAGE(E30:E46)</f>
        <v>62.176757662547487</v>
      </c>
      <c r="T17" s="233">
        <f>STDEVA(E30:E46)</f>
        <v>1.3354334903391176</v>
      </c>
      <c r="U17" s="233">
        <f>AVERAGE(E51:E55)</f>
        <v>6.9960276926569067</v>
      </c>
      <c r="V17" s="233">
        <f>STDEVA(E51:E55)</f>
        <v>0.35584067477166248</v>
      </c>
      <c r="W17" s="233">
        <f>AVERAGE(E62:E93)</f>
        <v>18.790946685960726</v>
      </c>
      <c r="X17" s="233">
        <f>STDEVA(E62:E93)</f>
        <v>4.8246491718443369</v>
      </c>
    </row>
    <row r="18" spans="1:24">
      <c r="A18" s="179">
        <f>'Effluent Concentration'!A18</f>
        <v>28.75</v>
      </c>
      <c r="B18" s="113">
        <f>'Effluent Concentration'!AD18-'Influent Concentration'!U18</f>
        <v>99.855953372189845</v>
      </c>
      <c r="C18" s="113">
        <f>'Effluent Concentration'!AE18-'Influent Concentration'!V18</f>
        <v>1.6664416846652268</v>
      </c>
      <c r="D18" s="113">
        <f>'Effluent Concentration'!AF18</f>
        <v>4.9937578027465672E-2</v>
      </c>
      <c r="E18" s="113">
        <f>'Effluent Concentration'!AG18-'Influent Concentration'!W18</f>
        <v>54.440472137101352</v>
      </c>
      <c r="F18" s="113">
        <f>'Effluent Concentration'!AH18</f>
        <v>2.7416038382453739E-2</v>
      </c>
      <c r="G18" s="113">
        <f>'Effluent Concentration'!AI18</f>
        <v>0.68344267110545398</v>
      </c>
      <c r="H18" s="113">
        <f>'Effluent Concentration'!AJ18</f>
        <v>0.20488980716253441</v>
      </c>
      <c r="I18" s="113">
        <f>'Effluent Concentration'!Z18-'Influent Concentration'!P18</f>
        <v>-81.398978910613863</v>
      </c>
      <c r="J18" s="113">
        <f>'Effluent Concentration'!AA18-'Influent Concentration'!Q18</f>
        <v>3.4847252874898385E-3</v>
      </c>
      <c r="K18" s="113">
        <f>'Effluent Concentration'!AC18-'Influent Concentration'!S18</f>
        <v>-8.0910860915940059</v>
      </c>
      <c r="L18" s="113">
        <f>'Effluent Concentration'!AB18-'Influent Concentration'!R18</f>
        <v>-13.87544404973357</v>
      </c>
      <c r="P18" t="s">
        <v>204</v>
      </c>
      <c r="Q18" s="233">
        <f>AVERAGE(F19:F23)</f>
        <v>0.10143934201507883</v>
      </c>
      <c r="R18" s="233">
        <f>STDEVA(F19:F23)</f>
        <v>4.3335290853616058E-2</v>
      </c>
      <c r="S18" s="233">
        <f>AVERAGE(F30:F46)</f>
        <v>0.12913184465012872</v>
      </c>
      <c r="T18" s="233">
        <f>STDEVA(F30:F46)</f>
        <v>2.8793089063317172E-2</v>
      </c>
      <c r="U18" s="233">
        <f>AVERAGE(F51:F55)</f>
        <v>0.10065602663272302</v>
      </c>
      <c r="V18" s="233">
        <f>STDEVA(F51:F55)</f>
        <v>1.0497869166052937E-2</v>
      </c>
      <c r="W18" s="233">
        <f>AVERAGE(F62:F93)</f>
        <v>0.20454934886908843</v>
      </c>
      <c r="X18" s="233">
        <f>STDEVA(F62:F93)</f>
        <v>3.9569253402762655E-2</v>
      </c>
    </row>
    <row r="19" spans="1:24">
      <c r="A19" s="230">
        <f>'Effluent Concentration'!A19</f>
        <v>31.75</v>
      </c>
      <c r="B19" s="113">
        <f>'Effluent Concentration'!AD19-'Influent Concentration'!U19</f>
        <v>102.95004163197336</v>
      </c>
      <c r="C19" s="113">
        <f>'Effluent Concentration'!AE19-'Influent Concentration'!V19</f>
        <v>1.6421436285097195</v>
      </c>
      <c r="D19" s="113">
        <f>'Effluent Concentration'!AF19</f>
        <v>3.4048348655090231E-2</v>
      </c>
      <c r="E19" s="113">
        <f>'Effluent Concentration'!AG19-'Influent Concentration'!W19</f>
        <v>56.660424469413243</v>
      </c>
      <c r="F19" s="113">
        <f>'Effluent Concentration'!AH19</f>
        <v>4.1124057573680609E-2</v>
      </c>
      <c r="G19" s="113">
        <f>'Effluent Concentration'!AI19</f>
        <v>0.61881915206109861</v>
      </c>
      <c r="H19" s="113">
        <f>'Effluent Concentration'!AJ19</f>
        <v>0.18595041322314051</v>
      </c>
      <c r="I19" s="113">
        <f>'Effluent Concentration'!Z19-'Influent Concentration'!P19</f>
        <v>-81.504641970327896</v>
      </c>
      <c r="J19" s="113">
        <f>'Effluent Concentration'!AA19-'Influent Concentration'!Q19</f>
        <v>-6.969450574979677E-3</v>
      </c>
      <c r="K19" s="113">
        <f>'Effluent Concentration'!AC19-'Influent Concentration'!S19</f>
        <v>-8.0910860915940059</v>
      </c>
      <c r="L19" s="113">
        <f>'Effluent Concentration'!AB19-'Influent Concentration'!R19</f>
        <v>-13.940941385435169</v>
      </c>
      <c r="P19" t="s">
        <v>150</v>
      </c>
      <c r="Q19" s="233">
        <f>AVERAGE(G19:G23)</f>
        <v>0.65054342504650942</v>
      </c>
      <c r="R19" s="233">
        <f>STDEVA(G19:G23)</f>
        <v>2.3393147022842183E-2</v>
      </c>
      <c r="S19" s="233">
        <f>AVERAGE(G30:G46)</f>
        <v>0.605456713185617</v>
      </c>
      <c r="T19" s="233">
        <f>STDEVA(G30:G46)</f>
        <v>3.1608584177577378E-2</v>
      </c>
      <c r="U19" s="233">
        <f>AVERAGE(G51:G55)</f>
        <v>8.8318809360618838E-2</v>
      </c>
      <c r="V19" s="233">
        <f>STDEVA(G51:G55)</f>
        <v>4.3043385176409002E-3</v>
      </c>
      <c r="W19" s="233">
        <f>AVERAGE(G62:G93)</f>
        <v>0.20708900421032023</v>
      </c>
      <c r="X19" s="233">
        <f>STDEVA(G62:G93)</f>
        <v>5.7632432583856898E-2</v>
      </c>
    </row>
    <row r="20" spans="1:24">
      <c r="A20" s="230">
        <f>'Effluent Concentration'!A20</f>
        <v>33.761111111110949</v>
      </c>
      <c r="B20" s="113">
        <f>'Effluent Concentration'!AD20-'Influent Concentration'!U20</f>
        <v>96.965861781848446</v>
      </c>
      <c r="C20" s="113">
        <f>'Effluent Concentration'!AE20-'Influent Concentration'!V20</f>
        <v>1.6947894168466526</v>
      </c>
      <c r="D20" s="113">
        <f>'Effluent Concentration'!AF20</f>
        <v>5.6747247758483714E-2</v>
      </c>
      <c r="E20" s="113">
        <f>'Effluent Concentration'!AG20-'Influent Concentration'!W20</f>
        <v>56.208716377255698</v>
      </c>
      <c r="F20" s="113">
        <f>'Effluent Concentration'!AH20</f>
        <v>7.2456672867913449E-2</v>
      </c>
      <c r="G20" s="113">
        <f>'Effluent Concentration'!AI20</f>
        <v>0.65211005581122095</v>
      </c>
      <c r="H20" s="113">
        <f>'Effluent Concentration'!AJ20</f>
        <v>0.18767217630853997</v>
      </c>
      <c r="I20" s="113">
        <f>'Effluent Concentration'!Z20-'Influent Concentration'!P20</f>
        <v>-85.713874040027093</v>
      </c>
      <c r="J20" s="113">
        <f>'Effluent Concentration'!AA20-'Influent Concentration'!Q20</f>
        <v>-3.4847252874898316E-3</v>
      </c>
      <c r="K20" s="113">
        <f>'Effluent Concentration'!AC20-'Influent Concentration'!S20</f>
        <v>-7.1768390755946836</v>
      </c>
      <c r="L20" s="113">
        <f>'Effluent Concentration'!AB20-'Influent Concentration'!R20</f>
        <v>-15.844804618117228</v>
      </c>
      <c r="P20" t="s">
        <v>151</v>
      </c>
      <c r="Q20" s="233">
        <f>AVERAGE(H19:H23)</f>
        <v>0.20557851239669422</v>
      </c>
      <c r="R20" s="233">
        <f>STDEVA(H19:H23)</f>
        <v>2.2402777798655866E-2</v>
      </c>
      <c r="S20" s="233">
        <f>AVERAGE(H30:H46)</f>
        <v>0.97279614325068853</v>
      </c>
      <c r="T20" s="233">
        <f>STDEVA(H30:H46)</f>
        <v>0.4577231144621976</v>
      </c>
      <c r="U20" s="233">
        <f>AVERAGE(H51:H55)</f>
        <v>0.2262396694214876</v>
      </c>
      <c r="V20" s="233">
        <f>STDEVA(H51:H55)</f>
        <v>0.11543623812530764</v>
      </c>
      <c r="W20" s="233">
        <f>AVERAGE(H62:H93)</f>
        <v>0.74894003960055078</v>
      </c>
      <c r="X20" s="233">
        <f>STDEVA(H62:H93)</f>
        <v>0.37951643344565328</v>
      </c>
    </row>
    <row r="21" spans="1:24">
      <c r="A21" s="230">
        <f>'Effluent Concentration'!A21</f>
        <v>35.759722222224809</v>
      </c>
      <c r="B21" s="113">
        <f>'Effluent Concentration'!AD21-'Influent Concentration'!U21</f>
        <v>97.888426311407173</v>
      </c>
      <c r="C21" s="113">
        <f>'Effluent Concentration'!AE21-'Influent Concentration'!V21</f>
        <v>1.9836663066954643</v>
      </c>
      <c r="D21" s="113">
        <f>'Effluent Concentration'!AF21</f>
        <v>0.10668482578594937</v>
      </c>
      <c r="E21" s="113">
        <f>'Effluent Concentration'!AG21-'Influent Concentration'!W21</f>
        <v>56.149699239586873</v>
      </c>
      <c r="F21" s="113">
        <f>'Effluent Concentration'!AH21</f>
        <v>0.11553901889748359</v>
      </c>
      <c r="G21" s="113">
        <f>'Effluent Concentration'!AI21</f>
        <v>0.63644374816410465</v>
      </c>
      <c r="H21" s="113">
        <f>'Effluent Concentration'!AJ21</f>
        <v>0.23071625344352617</v>
      </c>
      <c r="I21" s="113">
        <f>'Effluent Concentration'!Z21-'Influent Concentration'!P21</f>
        <v>-85.713874040027093</v>
      </c>
      <c r="J21" s="113">
        <f>'Effluent Concentration'!AA21-'Influent Concentration'!Q21</f>
        <v>8.1310256708096093E-3</v>
      </c>
      <c r="K21" s="113">
        <f>'Effluent Concentration'!AC21-'Influent Concentration'!S21</f>
        <v>-7.1768390755946836</v>
      </c>
      <c r="L21" s="113">
        <f>'Effluent Concentration'!AB21-'Influent Concentration'!R21</f>
        <v>-15.851465364120781</v>
      </c>
      <c r="P21" t="s">
        <v>248</v>
      </c>
      <c r="Q21" s="233">
        <f>AVERAGE(I19:I23)</f>
        <v>-86.939181303401881</v>
      </c>
      <c r="R21" s="233">
        <f>STDEVA(I19:I23)</f>
        <v>5.4092248360803277</v>
      </c>
      <c r="S21" s="233">
        <f>AVERAGE(I30:I46)</f>
        <v>-89.992154376555447</v>
      </c>
      <c r="T21" s="233">
        <f>STDEVA(I30:I46)</f>
        <v>6.1252129183915383</v>
      </c>
      <c r="U21" s="233">
        <f>AVERAGE(I51:I55)</f>
        <v>0</v>
      </c>
      <c r="V21" s="233">
        <f>STDEVA(I51:I55)</f>
        <v>0</v>
      </c>
      <c r="W21" s="233">
        <f>AVERAGE(I62:I93)</f>
        <v>0</v>
      </c>
      <c r="X21" s="233">
        <f>STDEVA(I62:I93)</f>
        <v>0</v>
      </c>
    </row>
    <row r="22" spans="1:24">
      <c r="A22" s="230">
        <f>'Effluent Concentration'!A22</f>
        <v>38.75</v>
      </c>
      <c r="B22" s="113">
        <f>'Effluent Concentration'!AD22-'Influent Concentration'!U22</f>
        <v>99.477102414654468</v>
      </c>
      <c r="C22" s="113">
        <f>'Effluent Concentration'!AE22-'Influent Concentration'!V22</f>
        <v>2.307640388768899</v>
      </c>
      <c r="D22" s="113">
        <f>'Effluent Concentration'!AF22</f>
        <v>9.3065486323913288E-2</v>
      </c>
      <c r="E22" s="113">
        <f>'Effluent Concentration'!AG22-'Influent Concentration'!W22</f>
        <v>56.644535240040859</v>
      </c>
      <c r="F22" s="113">
        <f>'Effluent Concentration'!AH22</f>
        <v>0.1370801919122687</v>
      </c>
      <c r="G22" s="113">
        <f>'Effluent Concentration'!AI22</f>
        <v>0.67169294037011662</v>
      </c>
      <c r="H22" s="113">
        <f>'Effluent Concentration'!AJ22</f>
        <v>0.22899449035812675</v>
      </c>
      <c r="I22" s="113">
        <f>'Effluent Concentration'!Z22-'Influent Concentration'!P22</f>
        <v>-85.713874040027093</v>
      </c>
      <c r="J22" s="113">
        <f>'Effluent Concentration'!AA22-'Influent Concentration'!Q22</f>
        <v>-1.2777326054129401E-2</v>
      </c>
      <c r="K22" s="113">
        <f>'Effluent Concentration'!AC22-'Influent Concentration'!S22</f>
        <v>-7.1768390755946836</v>
      </c>
      <c r="L22" s="113">
        <f>'Effluent Concentration'!AB22-'Influent Concentration'!R22</f>
        <v>-15.847024866785079</v>
      </c>
      <c r="P22" t="s">
        <v>257</v>
      </c>
      <c r="Q22" s="233">
        <f>AVERAGE(J19:J23)</f>
        <v>-6.0401904983157159E-2</v>
      </c>
      <c r="R22" s="233">
        <f>STDEVA(J19:J23)</f>
        <v>0.12685123350991701</v>
      </c>
      <c r="S22" s="233">
        <f>AVERAGE(J30:J46)</f>
        <v>-2.2915143522852284</v>
      </c>
      <c r="T22" s="233">
        <f>STDEVA(J30:J46)</f>
        <v>1.5270305468768175</v>
      </c>
      <c r="U22" s="233">
        <f>AVERAGE(J51:J55)</f>
        <v>6.9694505749796725E-4</v>
      </c>
      <c r="V22" s="233">
        <f>STDEVA(J51:J55)</f>
        <v>2.5973608752465906E-4</v>
      </c>
      <c r="W22" s="233">
        <f>AVERAGE(J62:J93)</f>
        <v>1.8331106981066335E-3</v>
      </c>
      <c r="X22" s="233">
        <f>STDEVA(J62:J93)</f>
        <v>6.2777378823982062E-4</v>
      </c>
    </row>
    <row r="23" spans="1:24">
      <c r="A23" s="230">
        <f>'Effluent Concentration'!A23</f>
        <v>40.759722222224809</v>
      </c>
      <c r="B23" s="113">
        <f>'Effluent Concentration'!AD23-'Influent Concentration'!U23</f>
        <v>101.21898417985014</v>
      </c>
      <c r="C23" s="113">
        <f>'Effluent Concentration'!AE23-'Influent Concentration'!V23</f>
        <v>2.1753509719222466</v>
      </c>
      <c r="D23" s="113">
        <f>'Effluent Concentration'!AF23</f>
        <v>9.7605266144591987E-2</v>
      </c>
      <c r="E23" s="113">
        <f>'Effluent Concentration'!AG23-'Influent Concentration'!W23</f>
        <v>56.366473726024289</v>
      </c>
      <c r="F23" s="113">
        <f>'Effluent Concentration'!AH23</f>
        <v>0.14099676882404777</v>
      </c>
      <c r="G23" s="113">
        <f>'Effluent Concentration'!AI23</f>
        <v>0.67365122882600603</v>
      </c>
      <c r="H23" s="113">
        <f>'Effluent Concentration'!AJ23</f>
        <v>0.19455922865013772</v>
      </c>
      <c r="I23" s="113">
        <f>'Effluent Concentration'!Z23-'Influent Concentration'!P23</f>
        <v>-96.049642426600187</v>
      </c>
      <c r="J23" s="113">
        <f>'Effluent Concentration'!AA23-'Influent Concentration'!Q23</f>
        <v>-0.2869090486699965</v>
      </c>
      <c r="K23" s="113">
        <f>'Effluent Concentration'!AC23-'Influent Concentration'!S23</f>
        <v>-9.6690087192076533</v>
      </c>
      <c r="L23" s="113">
        <f>'Effluent Concentration'!AB23-'Influent Concentration'!R23</f>
        <v>-15.943605683836592</v>
      </c>
      <c r="P23" t="s">
        <v>198</v>
      </c>
      <c r="Q23" s="233">
        <f>AVERAGE(K19:K23)</f>
        <v>-7.8581224075171416</v>
      </c>
      <c r="R23" s="233">
        <f>STDEVA(K19:K23)</f>
        <v>1.0869708191843057</v>
      </c>
      <c r="S23" s="233">
        <f>AVERAGE(K30:K46)</f>
        <v>-7.1129513347707665</v>
      </c>
      <c r="T23" s="233">
        <f>STDEVA(K30:K46)</f>
        <v>0.47468339354067707</v>
      </c>
      <c r="U23" s="233">
        <f>AVERAGE(K51:K55)</f>
        <v>1.3459747735545586E-2</v>
      </c>
      <c r="V23" s="233">
        <f>STDEVA(K51:K55)</f>
        <v>1.843112614477899E-2</v>
      </c>
      <c r="W23" s="233">
        <f>AVERAGE(K62:K93)</f>
        <v>0</v>
      </c>
      <c r="X23" s="233">
        <f>STDEVA(K62:K93)</f>
        <v>0</v>
      </c>
    </row>
    <row r="24" spans="1:24" s="226" customFormat="1">
      <c r="A24" s="228">
        <f>'Effluent Concentration'!A24</f>
        <v>42.725694444445253</v>
      </c>
      <c r="B24" s="225">
        <f>'Effluent Concentration'!AD24-'Influent Concentration'!U24</f>
        <v>97.388842631140733</v>
      </c>
      <c r="C24" s="225">
        <f>'Effluent Concentration'!AE24-'Influent Concentration'!V24</f>
        <v>1.6137958963282937</v>
      </c>
      <c r="D24" s="225">
        <f>'Effluent Concentration'!AF24</f>
        <v>7.7176256951537861E-2</v>
      </c>
      <c r="E24" s="225">
        <f>'Effluent Concentration'!AG24-'Influent Concentration'!W24</f>
        <v>54.239586880036313</v>
      </c>
      <c r="F24" s="225">
        <f>'Effluent Concentration'!AH24</f>
        <v>0.1194555958092627</v>
      </c>
      <c r="G24" s="225">
        <f>'Effluent Concentration'!AI24</f>
        <v>0.58356995985508664</v>
      </c>
      <c r="H24" s="225">
        <f>'Effluent Concentration'!AJ24</f>
        <v>0.18422865013774106</v>
      </c>
      <c r="I24" s="225">
        <f>'Effluent Concentration'!Z24-'Influent Concentration'!P24</f>
        <v>-96.049642426600187</v>
      </c>
      <c r="J24" s="225">
        <f>'Effluent Concentration'!AA24-'Influent Concentration'!Q24</f>
        <v>-0.2996863747241259</v>
      </c>
      <c r="K24" s="225">
        <f>'Effluent Concentration'!AC24-'Influent Concentration'!S24</f>
        <v>-9.6690087192076533</v>
      </c>
      <c r="L24" s="225">
        <f>'Effluent Concentration'!AB24-'Influent Concentration'!R24</f>
        <v>-16.019094138543519</v>
      </c>
      <c r="P24" s="226" t="s">
        <v>258</v>
      </c>
      <c r="Q24" s="234">
        <f>AVERAGE(L19:L23)</f>
        <v>-15.485568383658968</v>
      </c>
      <c r="R24" s="234">
        <f>STDEVA(L19:L23)</f>
        <v>0.86447278639188385</v>
      </c>
      <c r="S24" s="234">
        <f>AVERAGE(L30:L46)</f>
        <v>-14.431485738167382</v>
      </c>
      <c r="T24" s="234">
        <f>STDEVA(L30:L46)</f>
        <v>6.7997128812847913</v>
      </c>
      <c r="U24" s="234">
        <f>AVERAGE(L51:L55)</f>
        <v>9.9911190053285949E-3</v>
      </c>
      <c r="V24" s="234">
        <f>STDEVA(L51:L55)</f>
        <v>1.3703404635466813E-2</v>
      </c>
      <c r="W24" s="234">
        <f>AVERAGE(L62:L93)</f>
        <v>1.3425566163410306E-2</v>
      </c>
      <c r="X24" s="234">
        <f>STDEVA(L62:L93)</f>
        <v>1.4950118848376022E-2</v>
      </c>
    </row>
    <row r="25" spans="1:24">
      <c r="A25" s="220">
        <f>'Effluent Concentration'!A25</f>
        <v>42.944444444445253</v>
      </c>
      <c r="B25" s="113">
        <f>'Effluent Concentration'!AD25-'Influent Concentration'!U25</f>
        <v>91.790174854288097</v>
      </c>
      <c r="C25" s="113">
        <f>'Effluent Concentration'!AE25-'Influent Concentration'!V25</f>
        <v>1.5786987041036717</v>
      </c>
      <c r="D25" s="113">
        <f>'Effluent Concentration'!AF25</f>
        <v>0.11349449551696743</v>
      </c>
      <c r="E25" s="113">
        <f>'Effluent Concentration'!AG25-'Influent Concentration'!W25</f>
        <v>52.183066621268878</v>
      </c>
      <c r="F25" s="113">
        <f>'Effluent Concentration'!AH25</f>
        <v>0.14099676882404777</v>
      </c>
      <c r="G25" s="113">
        <f>'Effluent Concentration'!AI25</f>
        <v>0.51894644081073149</v>
      </c>
      <c r="H25" s="113">
        <f>'Effluent Concentration'!AJ25</f>
        <v>0.1790633608815427</v>
      </c>
      <c r="I25" s="113">
        <f>'Effluent Concentration'!Z25-'Influent Concentration'!P25</f>
        <v>-89.721385722999486</v>
      </c>
      <c r="J25" s="113">
        <f>'Effluent Concentration'!AA25-'Influent Concentration'!Q25</f>
        <v>1.6262051341619177E-2</v>
      </c>
      <c r="K25" s="113">
        <f>'Effluent Concentration'!AC25-'Influent Concentration'!S25</f>
        <v>-9.6690087192076533</v>
      </c>
      <c r="L25" s="113">
        <f>'Effluent Concentration'!AB25-'Influent Concentration'!R25</f>
        <v>-16.019094138543519</v>
      </c>
    </row>
    <row r="26" spans="1:24">
      <c r="A26" s="220">
        <f>'Effluent Concentration'!A26</f>
        <v>45.740277777782467</v>
      </c>
      <c r="B26" s="113">
        <f>'Effluent Concentration'!AD26-'Influent Concentration'!U26</f>
        <v>101.04912572855955</v>
      </c>
      <c r="C26" s="113">
        <f>'Effluent Concentration'!AE26-'Influent Concentration'!V26</f>
        <v>1.1791306695464363</v>
      </c>
      <c r="D26" s="113">
        <f>'Effluent Concentration'!AF26</f>
        <v>9.3065486323913288E-2</v>
      </c>
      <c r="E26" s="113">
        <f>'Effluent Concentration'!AG26-'Influent Concentration'!W26</f>
        <v>56.371013505844971</v>
      </c>
      <c r="F26" s="113">
        <f>'Effluent Concentration'!AH26</f>
        <v>0.12728874963282091</v>
      </c>
      <c r="G26" s="113">
        <f>'Effluent Concentration'!AI26</f>
        <v>0.52873788309017922</v>
      </c>
      <c r="H26" s="113">
        <f>'Effluent Concentration'!AJ26</f>
        <v>0.18078512396694216</v>
      </c>
      <c r="I26" s="113">
        <f>'Effluent Concentration'!Z26-'Influent Concentration'!P26</f>
        <v>-96.049642426600187</v>
      </c>
      <c r="J26" s="113">
        <f>'Effluent Concentration'!AA26-'Influent Concentration'!Q26</f>
        <v>-0.30084794981995588</v>
      </c>
      <c r="K26" s="113">
        <f>'Effluent Concentration'!AC26-'Influent Concentration'!S26</f>
        <v>-9.6690087192076533</v>
      </c>
      <c r="L26" s="113">
        <f>'Effluent Concentration'!AB26-'Influent Concentration'!R26</f>
        <v>-16.019094138543519</v>
      </c>
    </row>
    <row r="27" spans="1:24">
      <c r="A27" s="220">
        <f>'Effluent Concentration'!A27</f>
        <v>47.751388888893416</v>
      </c>
      <c r="B27" s="113">
        <f>'Effluent Concentration'!AD27-'Influent Concentration'!U27</f>
        <v>108.12656119900085</v>
      </c>
      <c r="C27" s="113">
        <f>'Effluent Concentration'!AE27-'Influent Concentration'!V27</f>
        <v>0.8335583153347732</v>
      </c>
      <c r="D27" s="113">
        <f>'Effluent Concentration'!AF27</f>
        <v>0.10214504596527069</v>
      </c>
      <c r="E27" s="113">
        <f>'Effluent Concentration'!AG27-'Influent Concentration'!W27</f>
        <v>60.890364317330615</v>
      </c>
      <c r="F27" s="113">
        <f>'Effluent Concentration'!AH27</f>
        <v>0.12141388426515226</v>
      </c>
      <c r="G27" s="113">
        <f>'Effluent Concentration'!AI27</f>
        <v>0.62077744051698813</v>
      </c>
      <c r="H27" s="113">
        <f>'Effluent Concentration'!AJ27</f>
        <v>0.15323691460055097</v>
      </c>
      <c r="I27" s="113">
        <f>'Effluent Concentration'!Z27-'Influent Concentration'!P27</f>
        <v>-96.049642426600187</v>
      </c>
      <c r="J27" s="113">
        <f>'Effluent Concentration'!AA27-'Influent Concentration'!Q27</f>
        <v>-0.30549425020327564</v>
      </c>
      <c r="K27" s="113">
        <f>'Effluent Concentration'!AC27-'Influent Concentration'!S27</f>
        <v>-9.6690087192076533</v>
      </c>
      <c r="L27" s="113">
        <f>'Effluent Concentration'!AB27-'Influent Concentration'!R27</f>
        <v>-16.019094138543519</v>
      </c>
    </row>
    <row r="28" spans="1:24">
      <c r="A28" s="220">
        <f>'Effluent Concentration'!A28</f>
        <v>48.746527777781012</v>
      </c>
      <c r="B28" s="113">
        <f>'Effluent Concentration'!AD28-'Influent Concentration'!U28</f>
        <v>96.558701082431313</v>
      </c>
      <c r="C28" s="113">
        <f>'Effluent Concentration'!AE28-'Influent Concentration'!V28</f>
        <v>0.87203023758099363</v>
      </c>
      <c r="D28" s="113">
        <f>'Effluent Concentration'!AF28</f>
        <v>8.1716036772216546E-2</v>
      </c>
      <c r="E28" s="113">
        <f>'Effluent Concentration'!AG28-'Influent Concentration'!W28</f>
        <v>55.264442174554532</v>
      </c>
      <c r="F28" s="113">
        <f>'Effluent Concentration'!AH28</f>
        <v>0.13903848036815822</v>
      </c>
      <c r="G28" s="113">
        <f>'Effluent Concentration'!AI28</f>
        <v>0.49740526779594635</v>
      </c>
      <c r="H28" s="113">
        <f>'Effluent Concentration'!AJ28</f>
        <v>0.13085399449035812</v>
      </c>
      <c r="I28" s="113">
        <f>'Effluent Concentration'!Z28-'Influent Concentration'!P28</f>
        <v>-83.641917496361827</v>
      </c>
      <c r="J28" s="113">
        <f>'Effluent Concentration'!AA28-'Influent Concentration'!Q28</f>
        <v>-0.9211290509931469</v>
      </c>
      <c r="K28" s="113">
        <f>'Effluent Concentration'!AC28-'Influent Concentration'!S28</f>
        <v>-7.3444510285278932</v>
      </c>
      <c r="L28" s="113">
        <f>'Effluent Concentration'!AB28-'Influent Concentration'!R28</f>
        <v>-18.110568383658972</v>
      </c>
    </row>
    <row r="29" spans="1:24">
      <c r="A29" s="220">
        <f>'Effluent Concentration'!A29</f>
        <v>49.74861111111386</v>
      </c>
      <c r="B29" s="113">
        <f>'Effluent Concentration'!AD29-'Influent Concentration'!U29</f>
        <v>107.66944213155705</v>
      </c>
      <c r="C29" s="113">
        <f>'Effluent Concentration'!AE29-'Influent Concentration'!V29</f>
        <v>0.91252699784017288</v>
      </c>
      <c r="D29" s="113">
        <f>'Effluent Concentration'!AF29</f>
        <v>0.15435251390307572</v>
      </c>
      <c r="E29" s="113">
        <f>'Effluent Concentration'!AG29-'Influent Concentration'!W29</f>
        <v>60.968675519237323</v>
      </c>
      <c r="F29" s="113">
        <f>'Effluent Concentration'!AH29</f>
        <v>0.17232938411828064</v>
      </c>
      <c r="G29" s="113">
        <f>'Effluent Concentration'!AI29</f>
        <v>0.56202878684030166</v>
      </c>
      <c r="H29" s="113">
        <f>'Effluent Concentration'!AJ29</f>
        <v>0.18422865013774106</v>
      </c>
      <c r="I29" s="113">
        <f>'Effluent Concentration'!Z29-'Influent Concentration'!P29</f>
        <v>-89.827048782713518</v>
      </c>
      <c r="J29" s="113">
        <f>'Effluent Concentration'!AA29-'Influent Concentration'!Q29</f>
        <v>-1.2068765245673134</v>
      </c>
      <c r="K29" s="113">
        <f>'Effluent Concentration'!AC29-'Influent Concentration'!S29</f>
        <v>-7.2801151274020146</v>
      </c>
      <c r="L29" s="113">
        <f>'Effluent Concentration'!AB29-'Influent Concentration'!R29</f>
        <v>-18.361456483126112</v>
      </c>
    </row>
    <row r="30" spans="1:24">
      <c r="A30" s="231">
        <f>'Effluent Concentration'!A30</f>
        <v>52.738194444449618</v>
      </c>
      <c r="B30" s="113">
        <f>'Effluent Concentration'!AD30-'Influent Concentration'!U30</f>
        <v>112.24895920066612</v>
      </c>
      <c r="C30" s="113">
        <f>'Effluent Concentration'!AE30-'Influent Concentration'!V30</f>
        <v>0.91252699784017288</v>
      </c>
      <c r="D30" s="113">
        <f>'Effluent Concentration'!AF30</f>
        <v>9.3065486323913288E-2</v>
      </c>
      <c r="E30" s="113">
        <f>'Effluent Concentration'!AG30-'Influent Concentration'!W30</f>
        <v>62.124049483600039</v>
      </c>
      <c r="F30" s="113">
        <f>'Effluent Concentration'!AH30</f>
        <v>0.16253794183883286</v>
      </c>
      <c r="G30" s="113">
        <f>'Effluent Concentration'!AI30</f>
        <v>0.61686086360520909</v>
      </c>
      <c r="H30" s="113">
        <f>'Effluent Concentration'!AJ30</f>
        <v>0.25309917355371903</v>
      </c>
      <c r="I30" s="113">
        <f>'Effluent Concentration'!Z30-'Influent Concentration'!P30</f>
        <v>-89.827048782713518</v>
      </c>
      <c r="J30" s="113">
        <f>'Effluent Concentration'!AA30-'Influent Concentration'!Q30</f>
        <v>-1.2080380996631432</v>
      </c>
      <c r="K30" s="113">
        <f>'Effluent Concentration'!AC30-'Influent Concentration'!S30</f>
        <v>-7.3444510285278932</v>
      </c>
      <c r="L30" s="113">
        <f>'Effluent Concentration'!AB30-'Influent Concentration'!R30</f>
        <v>-18.321492007104798</v>
      </c>
    </row>
    <row r="31" spans="1:24">
      <c r="A31" s="231">
        <f>'Effluent Concentration'!A31</f>
        <v>54.743055555554747</v>
      </c>
      <c r="B31" s="113">
        <f>'Effluent Concentration'!AD31-'Influent Concentration'!U31</f>
        <v>109.39134054954206</v>
      </c>
      <c r="C31" s="113">
        <f>'Effluent Concentration'!AE31-'Influent Concentration'!V31</f>
        <v>0.6965442764578833</v>
      </c>
      <c r="D31" s="113">
        <f>'Effluent Concentration'!AF31</f>
        <v>9.3065486323913288E-2</v>
      </c>
      <c r="E31" s="113">
        <f>'Effluent Concentration'!AG31-'Influent Concentration'!W31</f>
        <v>61.34774713426399</v>
      </c>
      <c r="F31" s="113">
        <f>'Effluent Concentration'!AH31</f>
        <v>9.9872711250367174E-2</v>
      </c>
      <c r="G31" s="113">
        <f>'Effluent Concentration'!AI31</f>
        <v>0.5874865367668658</v>
      </c>
      <c r="H31" s="113">
        <f>'Effluent Concentration'!AJ31</f>
        <v>0.34779614325068869</v>
      </c>
      <c r="I31" s="113">
        <f>'Effluent Concentration'!Z31-'Influent Concentration'!P31</f>
        <v>-89.827048782713518</v>
      </c>
      <c r="J31" s="113">
        <f>'Effluent Concentration'!AA31-'Influent Concentration'!Q31</f>
        <v>-1.2103612498548033</v>
      </c>
      <c r="K31" s="113">
        <f>'Effluent Concentration'!AC31-'Influent Concentration'!S31</f>
        <v>-7.3444510285278932</v>
      </c>
      <c r="L31" s="113">
        <f>'Effluent Concentration'!AB31-'Influent Concentration'!R31</f>
        <v>-18.361456483126112</v>
      </c>
    </row>
    <row r="32" spans="1:24">
      <c r="A32" s="231">
        <f>'Effluent Concentration'!A32</f>
        <v>56.75</v>
      </c>
      <c r="B32" s="113">
        <f>'Effluent Concentration'!AD32-'Influent Concentration'!U32</f>
        <v>110.30391340549542</v>
      </c>
      <c r="C32" s="113">
        <f>'Effluent Concentration'!AE32-'Influent Concentration'!V32</f>
        <v>0.58315334773218153</v>
      </c>
      <c r="D32" s="113">
        <f>'Effluent Concentration'!AF32</f>
        <v>0.11122460560662809</v>
      </c>
      <c r="E32" s="113">
        <f>'Effluent Concentration'!AG32-'Influent Concentration'!W32</f>
        <v>62.035523777096813</v>
      </c>
      <c r="F32" s="113">
        <f>'Effluent Concentration'!AH32</f>
        <v>0.14687163419171645</v>
      </c>
      <c r="G32" s="113">
        <f>'Effluent Concentration'!AI32</f>
        <v>0.62861059434054645</v>
      </c>
      <c r="H32" s="113">
        <f>'Effluent Concentration'!AJ32</f>
        <v>0.43732782369146006</v>
      </c>
      <c r="I32" s="113">
        <f>'Effluent Concentration'!Z32-'Influent Concentration'!P32</f>
        <v>-89.827048782713518</v>
      </c>
      <c r="J32" s="113">
        <f>'Effluent Concentration'!AA32-'Influent Concentration'!Q32</f>
        <v>-1.2115228249506331</v>
      </c>
      <c r="K32" s="113">
        <f>'Effluent Concentration'!AC32-'Influent Concentration'!S32</f>
        <v>-7.3444510285278932</v>
      </c>
      <c r="L32" s="113">
        <f>'Effluent Concentration'!AB32-'Influent Concentration'!R32</f>
        <v>-18.361456483126112</v>
      </c>
    </row>
    <row r="33" spans="1:12">
      <c r="A33" s="231">
        <f>'Effluent Concentration'!A33</f>
        <v>59.74722222222772</v>
      </c>
      <c r="B33" s="113">
        <f>'Effluent Concentration'!AD33-'Influent Concentration'!U33</f>
        <v>115.97252289758535</v>
      </c>
      <c r="C33" s="113">
        <f>'Effluent Concentration'!AE33-'Influent Concentration'!V33</f>
        <v>0.90037796976241913</v>
      </c>
      <c r="D33" s="113">
        <f>'Effluent Concentration'!AF33</f>
        <v>0.14754284417205765</v>
      </c>
      <c r="E33" s="113">
        <f>'Effluent Concentration'!AG33-'Influent Concentration'!W33</f>
        <v>62.208602882760189</v>
      </c>
      <c r="F33" s="113">
        <f>'Effluent Concentration'!AH33</f>
        <v>0.18407911485361791</v>
      </c>
      <c r="G33" s="113">
        <f>'Effluent Concentration'!AI33</f>
        <v>0.60902770978165077</v>
      </c>
      <c r="H33" s="113">
        <f>'Effluent Concentration'!AJ33</f>
        <v>0.63705234159779611</v>
      </c>
      <c r="I33" s="113">
        <f>'Effluent Concentration'!Z33-'Influent Concentration'!P33</f>
        <v>-92.441729224000881</v>
      </c>
      <c r="J33" s="113">
        <f>'Effluent Concentration'!AA33-'Influent Concentration'!Q33</f>
        <v>-0.70507608316877679</v>
      </c>
      <c r="K33" s="113">
        <f>'Effluent Concentration'!AC33-'Influent Concentration'!S33</f>
        <v>-7.571319732498095</v>
      </c>
      <c r="L33" s="113">
        <f>'Effluent Concentration'!AB33-'Influent Concentration'!R33</f>
        <v>-18.654529307282413</v>
      </c>
    </row>
    <row r="34" spans="1:12">
      <c r="A34" s="231">
        <f>'Effluent Concentration'!A34</f>
        <v>61.711111111115315</v>
      </c>
      <c r="B34" s="113">
        <f>'Effluent Concentration'!AD34-'Influent Concentration'!U34</f>
        <v>120.24895920066612</v>
      </c>
      <c r="C34" s="113">
        <f>'Effluent Concentration'!AE34-'Influent Concentration'!V34</f>
        <v>0.82478401727861772</v>
      </c>
      <c r="D34" s="113">
        <f>'Effluent Concentration'!AF34</f>
        <v>0.10668482578594937</v>
      </c>
      <c r="E34" s="113">
        <f>'Effluent Concentration'!AG34-'Influent Concentration'!W34</f>
        <v>64.86891385767791</v>
      </c>
      <c r="F34" s="113">
        <f>'Effluent Concentration'!AH34</f>
        <v>0.12728874963282091</v>
      </c>
      <c r="G34" s="113">
        <f>'Effluent Concentration'!AI34</f>
        <v>0.65994320963477926</v>
      </c>
      <c r="H34" s="113">
        <f>'Effluent Concentration'!AJ34</f>
        <v>0.74035812672176315</v>
      </c>
      <c r="I34" s="113">
        <f>'Effluent Concentration'!Z34-'Influent Concentration'!P34</f>
        <v>-92.441729224000881</v>
      </c>
      <c r="J34" s="113">
        <f>'Effluent Concentration'!AA34-'Influent Concentration'!Q34</f>
        <v>-0.70391450807294687</v>
      </c>
      <c r="K34" s="113">
        <f>'Effluent Concentration'!AC34-'Influent Concentration'!S34</f>
        <v>-7.571319732498095</v>
      </c>
      <c r="L34" s="113">
        <f>'Effluent Concentration'!AB34-'Influent Concentration'!R34</f>
        <v>-18.654529307282413</v>
      </c>
    </row>
    <row r="35" spans="1:12">
      <c r="A35" s="231">
        <f>'Effluent Concentration'!A35</f>
        <v>63.732638888890506</v>
      </c>
      <c r="B35" s="113">
        <f>'Effluent Concentration'!AD35-'Influent Concentration'!U35</f>
        <v>113.99084096586179</v>
      </c>
      <c r="C35" s="113">
        <f>'Effluent Concentration'!AE35-'Influent Concentration'!V35</f>
        <v>0.7194924406047517</v>
      </c>
      <c r="D35" s="113">
        <f>'Effluent Concentration'!AF35</f>
        <v>0.13165361479968221</v>
      </c>
      <c r="E35" s="113">
        <f>'Effluent Concentration'!AG35-'Influent Concentration'!W35</f>
        <v>60.85574849619794</v>
      </c>
      <c r="F35" s="113">
        <f>'Effluent Concentration'!AH35</f>
        <v>0.13903848036815822</v>
      </c>
      <c r="G35" s="113">
        <f>'Effluent Concentration'!AI35</f>
        <v>0.6031528444139822</v>
      </c>
      <c r="H35" s="113">
        <f>'Effluent Concentration'!AJ35</f>
        <v>0.79545454545454553</v>
      </c>
      <c r="I35" s="113">
        <f>'Effluent Concentration'!Z35-'Influent Concentration'!P35</f>
        <v>-92.441729224000881</v>
      </c>
      <c r="J35" s="113">
        <f>'Effluent Concentration'!AA35-'Influent Concentration'!Q35</f>
        <v>-0.70507608316877679</v>
      </c>
      <c r="K35" s="113">
        <f>'Effluent Concentration'!AC35-'Influent Concentration'!S35</f>
        <v>-7.571319732498095</v>
      </c>
      <c r="L35" s="113">
        <f>'Effluent Concentration'!AB35-'Influent Concentration'!R35</f>
        <v>-18.589031971580816</v>
      </c>
    </row>
    <row r="36" spans="1:12">
      <c r="A36" s="231">
        <f>'Effluent Concentration'!A36</f>
        <v>66.740972222221899</v>
      </c>
      <c r="B36" s="113">
        <f>'Effluent Concentration'!AD36-'Influent Concentration'!U36</f>
        <v>115.45462114904247</v>
      </c>
      <c r="C36" s="113">
        <f>'Effluent Concentration'!AE36-'Influent Concentration'!V36</f>
        <v>0.76876349892008644</v>
      </c>
      <c r="D36" s="113">
        <f>'Effluent Concentration'!AF36</f>
        <v>0.11576438542730677</v>
      </c>
      <c r="E36" s="113">
        <f>'Effluent Concentration'!AG36-'Influent Concentration'!W36</f>
        <v>62.526954942685286</v>
      </c>
      <c r="F36" s="113">
        <f>'Effluent Concentration'!AH36</f>
        <v>0.15862136492705378</v>
      </c>
      <c r="G36" s="113">
        <f>'Effluent Concentration'!AI36</f>
        <v>0.64427690198766274</v>
      </c>
      <c r="H36" s="113">
        <f>'Effluent Concentration'!AJ36</f>
        <v>0.90909090909090917</v>
      </c>
      <c r="I36" s="113">
        <f>'Effluent Concentration'!Z36-'Influent Concentration'!P36</f>
        <v>-89.583063172101106</v>
      </c>
      <c r="J36" s="113">
        <f>'Effluent Concentration'!AA36-'Influent Concentration'!Q36</f>
        <v>-2.5891508886049479</v>
      </c>
      <c r="K36" s="113">
        <f>'Effluent Concentration'!AC36-'Influent Concentration'!S36</f>
        <v>-6.8433082197578949</v>
      </c>
      <c r="L36" s="113">
        <f>'Effluent Concentration'!AB36-'Influent Concentration'!R36</f>
        <v>-14.299511545293074</v>
      </c>
    </row>
    <row r="37" spans="1:12">
      <c r="A37" s="231">
        <f>'Effluent Concentration'!A37</f>
        <v>68.715277777781012</v>
      </c>
      <c r="B37" s="113">
        <f>'Effluent Concentration'!AD37-'Influent Concentration'!U37</f>
        <v>112.49375520399668</v>
      </c>
      <c r="C37" s="113">
        <f>'Effluent Concentration'!AE37-'Influent Concentration'!V37</f>
        <v>0.62297516198704106</v>
      </c>
      <c r="D37" s="113">
        <f>'Effluent Concentration'!AF37</f>
        <v>8.3985926682555903E-2</v>
      </c>
      <c r="E37" s="113">
        <f>'Effluent Concentration'!AG37-'Influent Concentration'!W37</f>
        <v>61.249006923164224</v>
      </c>
      <c r="F37" s="113">
        <f>'Effluent Concentration'!AH37</f>
        <v>9.9872711250367174E-2</v>
      </c>
      <c r="G37" s="113">
        <f>'Effluent Concentration'!AI37</f>
        <v>0.60119455595809268</v>
      </c>
      <c r="H37" s="113">
        <f>'Effluent Concentration'!AJ37</f>
        <v>0.93491735537190079</v>
      </c>
      <c r="I37" s="113">
        <f>'Effluent Concentration'!Z37-'Influent Concentration'!P37</f>
        <v>-89.583063172101106</v>
      </c>
      <c r="J37" s="113">
        <f>'Effluent Concentration'!AA37-'Influent Concentration'!Q37</f>
        <v>-2.5879893135091181</v>
      </c>
      <c r="K37" s="113">
        <f>'Effluent Concentration'!AC37-'Influent Concentration'!S37</f>
        <v>-6.8433082197578949</v>
      </c>
      <c r="L37" s="113">
        <f>'Effluent Concentration'!AB37-'Influent Concentration'!R37</f>
        <v>-14.35834813499112</v>
      </c>
    </row>
    <row r="38" spans="1:12">
      <c r="A38" s="231">
        <f>'Effluent Concentration'!A38</f>
        <v>70.715277777781012</v>
      </c>
      <c r="B38" s="113">
        <f>'Effluent Concentration'!AD38-'Influent Concentration'!U38</f>
        <v>111.54121565362199</v>
      </c>
      <c r="C38" s="113">
        <f>'Effluent Concentration'!AE38-'Influent Concentration'!V38</f>
        <v>0.64187365010799147</v>
      </c>
      <c r="D38" s="113">
        <f>'Effluent Concentration'!AF38</f>
        <v>9.7605266144591987E-2</v>
      </c>
      <c r="E38" s="113">
        <f>'Effluent Concentration'!AG38-'Influent Concentration'!W38</f>
        <v>61.521393712404951</v>
      </c>
      <c r="F38" s="113">
        <f>'Effluent Concentration'!AH38</f>
        <v>0.11358073044159404</v>
      </c>
      <c r="G38" s="113">
        <f>'Effluent Concentration'!AI38</f>
        <v>0.57573680603152844</v>
      </c>
      <c r="H38" s="113">
        <f>'Effluent Concentration'!AJ38</f>
        <v>0.98484848484848475</v>
      </c>
      <c r="I38" s="113">
        <f>'Effluent Concentration'!Z38-'Influent Concentration'!P38</f>
        <v>-89.583063172101106</v>
      </c>
      <c r="J38" s="113">
        <f>'Effluent Concentration'!AA38-'Influent Concentration'!Q38</f>
        <v>-2.5868277384132883</v>
      </c>
      <c r="K38" s="113">
        <f>'Effluent Concentration'!AC38-'Influent Concentration'!S38</f>
        <v>-6.8433082197578949</v>
      </c>
      <c r="L38" s="113">
        <f>'Effluent Concentration'!AB38-'Influent Concentration'!R38</f>
        <v>-14.315053285968029</v>
      </c>
    </row>
    <row r="39" spans="1:12">
      <c r="A39" s="231">
        <f>'Effluent Concentration'!A39</f>
        <v>73.722916666665697</v>
      </c>
      <c r="B39" s="113">
        <f>'Effluent Concentration'!AD39-'Influent Concentration'!U39</f>
        <v>113.85928393005828</v>
      </c>
      <c r="C39" s="113">
        <f>'Effluent Concentration'!AE39-'Influent Concentration'!V39</f>
        <v>0.63377429805615559</v>
      </c>
      <c r="D39" s="113">
        <f>'Effluent Concentration'!AF39</f>
        <v>9.0795596413573945E-2</v>
      </c>
      <c r="E39" s="113">
        <f>'Effluent Concentration'!AG39-'Influent Concentration'!W39</f>
        <v>62.93553512654637</v>
      </c>
      <c r="F39" s="113">
        <f>'Effluent Concentration'!AH39</f>
        <v>8.6164692059140319E-2</v>
      </c>
      <c r="G39" s="113">
        <f>'Effluent Concentration'!AI39</f>
        <v>0.58944482522275532</v>
      </c>
      <c r="H39" s="113">
        <f>'Effluent Concentration'!AJ39</f>
        <v>1.0313360881542701</v>
      </c>
      <c r="I39" s="113">
        <f>'Effluent Concentration'!Z39-'Influent Concentration'!P39</f>
        <v>-89.583063172101106</v>
      </c>
      <c r="J39" s="113">
        <f>'Effluent Concentration'!AA39-'Influent Concentration'!Q39</f>
        <v>-2.5891508886049479</v>
      </c>
      <c r="K39" s="113">
        <f>'Effluent Concentration'!AC39-'Influent Concentration'!S39</f>
        <v>-6.8433082197578949</v>
      </c>
      <c r="L39" s="113">
        <f>'Effluent Concentration'!AB39-'Influent Concentration'!R39</f>
        <v>-14.35834813499112</v>
      </c>
    </row>
    <row r="40" spans="1:12">
      <c r="A40" s="231">
        <f>'Effluent Concentration'!A40</f>
        <v>75.719444444446708</v>
      </c>
      <c r="B40" s="113">
        <f>'Effluent Concentration'!AD40-'Influent Concentration'!U40</f>
        <v>113.81265611990008</v>
      </c>
      <c r="C40" s="113">
        <f>'Effluent Concentration'!AE40-'Influent Concentration'!V40</f>
        <v>0.75121490280777536</v>
      </c>
      <c r="D40" s="113">
        <f>'Effluent Concentration'!AF40</f>
        <v>6.1287027579162413E-2</v>
      </c>
      <c r="E40" s="113">
        <f>'Effluent Concentration'!AG40-'Influent Concentration'!W40</f>
        <v>62.873680626489616</v>
      </c>
      <c r="F40" s="113">
        <f>'Effluent Concentration'!AH40</f>
        <v>7.6373249779692565E-2</v>
      </c>
      <c r="G40" s="113">
        <f>'Effluent Concentration'!AI40</f>
        <v>0.63252717125232549</v>
      </c>
      <c r="H40" s="113">
        <f>'Effluent Concentration'!AJ40</f>
        <v>0.97796143250688705</v>
      </c>
      <c r="I40" s="113">
        <f>'Effluent Concentration'!Z40-'Influent Concentration'!P40</f>
        <v>-97.11395760990159</v>
      </c>
      <c r="J40" s="113">
        <f>'Effluent Concentration'!AA40-'Influent Concentration'!Q40</f>
        <v>-4.703217563015448</v>
      </c>
      <c r="K40" s="113">
        <f>'Effluent Concentration'!AC40-'Influent Concentration'!S40</f>
        <v>-6.4191991873359857</v>
      </c>
      <c r="L40" s="113">
        <f>'Effluent Concentration'!AB40-'Influent Concentration'!R40</f>
        <v>-18.761101243339255</v>
      </c>
    </row>
    <row r="41" spans="1:12">
      <c r="A41" s="231">
        <f>'Effluent Concentration'!A41</f>
        <v>77.722222222226264</v>
      </c>
      <c r="B41" s="113">
        <f>'Effluent Concentration'!AD41-'Influent Concentration'!U41</f>
        <v>120.7435470441299</v>
      </c>
      <c r="C41" s="113">
        <f>'Effluent Concentration'!AE41-'Influent Concentration'!V41</f>
        <v>0.83760799136069131</v>
      </c>
      <c r="D41" s="113">
        <f>'Effluent Concentration'!AF41</f>
        <v>0.12938372488934285</v>
      </c>
      <c r="E41" s="113">
        <f>'Effluent Concentration'!AG41-'Influent Concentration'!W41</f>
        <v>64.685052774940431</v>
      </c>
      <c r="F41" s="113">
        <f>'Effluent Concentration'!AH41</f>
        <v>0.14099676882404777</v>
      </c>
      <c r="G41" s="113">
        <f>'Effluent Concentration'!AI41</f>
        <v>0.65798492117888974</v>
      </c>
      <c r="H41" s="113">
        <f>'Effluent Concentration'!AJ41</f>
        <v>1.0399449035812671</v>
      </c>
      <c r="I41" s="113">
        <f>'Effluent Concentration'!Z41-'Influent Concentration'!P41</f>
        <v>-97.11395760990159</v>
      </c>
      <c r="J41" s="113">
        <f>'Effluent Concentration'!AA41-'Influent Concentration'!Q41</f>
        <v>-4.7020559879196187</v>
      </c>
      <c r="K41" s="113">
        <f>'Effluent Concentration'!AC41-'Influent Concentration'!S41</f>
        <v>-6.4318970625581988</v>
      </c>
      <c r="L41" s="113">
        <f>'Effluent Concentration'!AB41-'Influent Concentration'!R41</f>
        <v>-18.761101243339255</v>
      </c>
    </row>
    <row r="42" spans="1:12">
      <c r="A42" s="231">
        <f>'Effluent Concentration'!A42</f>
        <v>80.712500000001455</v>
      </c>
      <c r="B42" s="113">
        <f>'Effluent Concentration'!AD42-'Influent Concentration'!U42</f>
        <v>114.91174021648627</v>
      </c>
      <c r="C42" s="113">
        <f>'Effluent Concentration'!AE42-'Influent Concentration'!V42</f>
        <v>0.83760799136069131</v>
      </c>
      <c r="D42" s="113">
        <f>'Effluent Concentration'!AF42</f>
        <v>0.10214504596527069</v>
      </c>
      <c r="E42" s="113">
        <f>'Effluent Concentration'!AG42-'Influent Concentration'!W42</f>
        <v>63.239132902054251</v>
      </c>
      <c r="F42" s="113">
        <f>'Effluent Concentration'!AH42</f>
        <v>0.13903848036815822</v>
      </c>
      <c r="G42" s="113">
        <f>'Effluent Concentration'!AI42</f>
        <v>0.5874865367668658</v>
      </c>
      <c r="H42" s="113">
        <f>'Effluent Concentration'!AJ42</f>
        <v>1.1070936639118456</v>
      </c>
      <c r="I42" s="113">
        <f>'Effluent Concentration'!Z42-'Influent Concentration'!P42</f>
        <v>-97.11395760990159</v>
      </c>
      <c r="J42" s="113">
        <f>'Effluent Concentration'!AA42-'Influent Concentration'!Q42</f>
        <v>-4.7008944128237884</v>
      </c>
      <c r="K42" s="113">
        <f>'Effluent Concentration'!AC42-'Influent Concentration'!S42</f>
        <v>-6.5080843138914757</v>
      </c>
      <c r="L42" s="113">
        <f>'Effluent Concentration'!AB42-'Influent Concentration'!R42</f>
        <v>-18.761101243339255</v>
      </c>
    </row>
    <row r="43" spans="1:12">
      <c r="A43" s="231">
        <f>'Effluent Concentration'!A43</f>
        <v>82.766666666670062</v>
      </c>
      <c r="B43" s="113">
        <f>'Effluent Concentration'!AD43-'Influent Concentration'!U43</f>
        <v>113.94920899250624</v>
      </c>
      <c r="C43" s="113">
        <f>'Effluent Concentration'!AE43-'Influent Concentration'!V43</f>
        <v>0.79981101511879049</v>
      </c>
      <c r="D43" s="113">
        <f>'Effluent Concentration'!AF43</f>
        <v>0.11803427533764613</v>
      </c>
      <c r="E43" s="113">
        <f>'Effluent Concentration'!AG43-'Influent Concentration'!W43</f>
        <v>62.428782204063104</v>
      </c>
      <c r="F43" s="113">
        <f>'Effluent Concentration'!AH43</f>
        <v>0.12924703808871049</v>
      </c>
      <c r="G43" s="113">
        <f>'Effluent Concentration'!AI43</f>
        <v>0.6031528444139822</v>
      </c>
      <c r="H43" s="113">
        <f>'Effluent Concentration'!AJ43</f>
        <v>1.1759641873278237</v>
      </c>
      <c r="I43" s="113">
        <f>'Effluent Concentration'!Z43-'Influent Concentration'!P43</f>
        <v>-97.11395760990159</v>
      </c>
      <c r="J43" s="113">
        <f>'Effluent Concentration'!AA43-'Influent Concentration'!Q43</f>
        <v>-4.7008944128237884</v>
      </c>
      <c r="K43" s="113">
        <f>'Effluent Concentration'!AC43-'Influent Concentration'!S43</f>
        <v>-6.5080843138914757</v>
      </c>
      <c r="L43" s="113">
        <f>'Effluent Concentration'!AB43-'Influent Concentration'!R43</f>
        <v>-18.701154529307281</v>
      </c>
    </row>
    <row r="44" spans="1:12">
      <c r="A44" s="231">
        <f>'Effluent Concentration'!A44</f>
        <v>84.759722222224809</v>
      </c>
      <c r="B44" s="113">
        <f>'Effluent Concentration'!AD44-'Influent Concentration'!U44</f>
        <v>113.24812656119902</v>
      </c>
      <c r="C44" s="113">
        <f>'Effluent Concentration'!AE44-'Influent Concentration'!V44</f>
        <v>0.77753779697624192</v>
      </c>
      <c r="D44" s="113">
        <f>'Effluent Concentration'!AF44</f>
        <v>9.5335376234252645E-2</v>
      </c>
      <c r="E44" s="113">
        <f>'Effluent Concentration'!AG44-'Influent Concentration'!W44</f>
        <v>61.951537850414262</v>
      </c>
      <c r="F44" s="113">
        <f>'Effluent Concentration'!AH44</f>
        <v>0.13120532654460004</v>
      </c>
      <c r="G44" s="113">
        <f>'Effluent Concentration'!AI44</f>
        <v>0.57965338294330759</v>
      </c>
      <c r="H44" s="113">
        <f>'Effluent Concentration'!AJ44</f>
        <v>1.3860192837465566</v>
      </c>
      <c r="I44" s="113">
        <f>'Effluent Concentration'!Z44-'Influent Concentration'!P44</f>
        <v>-78.757402417762918</v>
      </c>
      <c r="J44" s="113">
        <f>'Effluent Concentration'!AA44-'Influent Concentration'!Q44</f>
        <v>-1.3509118364502264</v>
      </c>
      <c r="K44" s="113">
        <f>'Effluent Concentration'!AC44-'Influent Concentration'!S44</f>
        <v>-7.644120883772116</v>
      </c>
      <c r="L44" s="113">
        <f>'Effluent Concentration'!AB44-'Influent Concentration'!R44</f>
        <v>-0.67162522202486685</v>
      </c>
    </row>
    <row r="45" spans="1:12">
      <c r="A45" s="231">
        <f>'Effluent Concentration'!A45</f>
        <v>87.712500000001455</v>
      </c>
      <c r="B45" s="113">
        <f>'Effluent Concentration'!AD45-'Influent Concentration'!U45</f>
        <v>112.10241465445463</v>
      </c>
      <c r="C45" s="113">
        <f>'Effluent Concentration'!AE45-'Influent Concentration'!V45</f>
        <v>0.65334773218142539</v>
      </c>
      <c r="D45" s="113">
        <f>'Effluent Concentration'!AF45</f>
        <v>0.11803427533764613</v>
      </c>
      <c r="E45" s="113">
        <f>'Effluent Concentration'!AG45-'Influent Concentration'!W45</f>
        <v>60.090228123935987</v>
      </c>
      <c r="F45" s="113">
        <f>'Effluent Concentration'!AH45</f>
        <v>0.10770586507392539</v>
      </c>
      <c r="G45" s="113">
        <f>'Effluent Concentration'!AI45</f>
        <v>0.57182022911974939</v>
      </c>
      <c r="H45" s="113">
        <f>'Effluent Concentration'!AJ45</f>
        <v>1.7596418732782371</v>
      </c>
      <c r="I45" s="113">
        <f>'Effluent Concentration'!Z45-'Influent Concentration'!P45</f>
        <v>-78.757402417762918</v>
      </c>
      <c r="J45" s="113">
        <f>'Effluent Concentration'!AA45-'Influent Concentration'!Q45</f>
        <v>-1.3497502613543966</v>
      </c>
      <c r="K45" s="113">
        <f>'Effluent Concentration'!AC45-'Influent Concentration'!S45</f>
        <v>-7.644120883772116</v>
      </c>
      <c r="L45" s="113">
        <f>'Effluent Concentration'!AB45-'Influent Concentration'!R45</f>
        <v>-0.67273534635879217</v>
      </c>
    </row>
    <row r="46" spans="1:12">
      <c r="A46" s="231">
        <f>'Effluent Concentration'!A46</f>
        <v>89.76736111111677</v>
      </c>
      <c r="B46" s="113">
        <f>'Effluent Concentration'!AD46-'Influent Concentration'!U46</f>
        <v>111.76935886761034</v>
      </c>
      <c r="C46" s="113">
        <f>'Effluent Concentration'!AE46-'Influent Concentration'!V46</f>
        <v>0.75053995680345587</v>
      </c>
      <c r="D46" s="113">
        <f>'Effluent Concentration'!AF46</f>
        <v>0.11803427533764613</v>
      </c>
      <c r="E46" s="113">
        <f>'Effluent Concentration'!AG46-'Influent Concentration'!W46</f>
        <v>60.062989445011908</v>
      </c>
      <c r="F46" s="113">
        <f>'Effluent Concentration'!AH46</f>
        <v>0.15274649955938513</v>
      </c>
      <c r="G46" s="113">
        <f>'Effluent Concentration'!AI46</f>
        <v>0.54440419073729562</v>
      </c>
      <c r="H46" s="113">
        <f>'Effluent Concentration'!AJ46</f>
        <v>2.0196280991735538</v>
      </c>
      <c r="I46" s="113">
        <f>'Effluent Concentration'!Z46-'Influent Concentration'!P46</f>
        <v>-78.757402417762918</v>
      </c>
      <c r="J46" s="113">
        <f>'Effluent Concentration'!AA46-'Influent Concentration'!Q46</f>
        <v>-1.3509118364502264</v>
      </c>
      <c r="K46" s="113">
        <f>'Effluent Concentration'!AC46-'Influent Concentration'!S46</f>
        <v>-7.644120883772116</v>
      </c>
      <c r="L46" s="113">
        <f>'Effluent Concentration'!AB46-'Influent Concentration'!R46</f>
        <v>-0.73268206039076378</v>
      </c>
    </row>
    <row r="47" spans="1:12">
      <c r="A47" s="220">
        <f>'Effluent Concentration'!A47</f>
        <v>91.739583333335759</v>
      </c>
      <c r="B47" s="113">
        <f>'Effluent Concentration'!AD47-'Influent Concentration'!U47</f>
        <v>119.2864279766861</v>
      </c>
      <c r="C47" s="113">
        <f>'Effluent Concentration'!AE47-'Influent Concentration'!V47</f>
        <v>0.72084233261339081</v>
      </c>
      <c r="D47" s="113">
        <f>'Effluent Concentration'!AF47</f>
        <v>0.11576438542730677</v>
      </c>
      <c r="E47" s="113">
        <f>'Effluent Concentration'!AG47-'Influent Concentration'!W47</f>
        <v>62.632504823516065</v>
      </c>
      <c r="F47" s="113">
        <f>'Effluent Concentration'!AH47</f>
        <v>0.11162244198570448</v>
      </c>
      <c r="G47" s="113">
        <f>'Effluent Concentration'!AI47</f>
        <v>0.56202878684030166</v>
      </c>
      <c r="H47" s="113">
        <f>'Effluent Concentration'!AJ47</f>
        <v>2.2710055096418733</v>
      </c>
      <c r="I47" s="113">
        <f>'Effluent Concentration'!Z47-'Influent Concentration'!P47</f>
        <v>-78.757402417762918</v>
      </c>
      <c r="J47" s="113">
        <f>'Effluent Concentration'!AA47-'Influent Concentration'!Q47</f>
        <v>-1.3497502613543966</v>
      </c>
      <c r="K47" s="113">
        <f>'Effluent Concentration'!AC47-'Influent Concentration'!S47</f>
        <v>-7.644120883772116</v>
      </c>
      <c r="L47" s="113">
        <f>'Effluent Concentration'!AB47-'Influent Concentration'!R47</f>
        <v>-0.73268206039076378</v>
      </c>
    </row>
    <row r="48" spans="1:12" s="226" customFormat="1">
      <c r="A48" s="227">
        <f>'Effluent Concentration'!A48</f>
        <v>94.725694444445253</v>
      </c>
      <c r="B48" s="225">
        <f>'Effluent Concentration'!AD48-'Influent Concentration'!U48</f>
        <v>121.12323064113238</v>
      </c>
      <c r="C48" s="225">
        <f>'Effluent Concentration'!AE48-'Influent Concentration'!V48</f>
        <v>0.49136069114470848</v>
      </c>
      <c r="D48" s="225">
        <f>'Effluent Concentration'!AF48</f>
        <v>0.11349449551696743</v>
      </c>
      <c r="E48" s="225">
        <f>'Effluent Concentration'!AG48-'Influent Concentration'!W48</f>
        <v>61.116785835886958</v>
      </c>
      <c r="F48" s="225">
        <f>'Effluent Concentration'!AH48</f>
        <v>9.7914422794477637E-2</v>
      </c>
      <c r="G48" s="225">
        <f>'Effluent Concentration'!AI48</f>
        <v>0.52873788309017922</v>
      </c>
      <c r="H48" s="225">
        <f>'Effluent Concentration'!AJ48</f>
        <v>2.3898071625344355</v>
      </c>
      <c r="I48" s="225">
        <f>'Effluent Concentration'!Z48-'Influent Concentration'!P48</f>
        <v>0</v>
      </c>
      <c r="J48" s="225">
        <f>'Effluent Concentration'!AA48-'Influent Concentration'!Q48</f>
        <v>1.1615750958299455E-3</v>
      </c>
      <c r="K48" s="225">
        <f>'Effluent Concentration'!AC48-'Influent Concentration'!S48</f>
        <v>0</v>
      </c>
      <c r="L48" s="225">
        <f>'Effluent Concentration'!AB48-'Influent Concentration'!R48</f>
        <v>0</v>
      </c>
    </row>
    <row r="49" spans="1:12">
      <c r="A49" s="221">
        <f>'Effluent Concentration'!A49</f>
        <v>96.754166666665697</v>
      </c>
      <c r="B49" s="113">
        <f>'Effluent Concentration'!AD49-'Influent Concentration'!U49</f>
        <v>41.506244796003337</v>
      </c>
      <c r="C49" s="113">
        <f>'Effluent Concentration'!AE49-'Influent Concentration'!V49</f>
        <v>0.25917926565874738</v>
      </c>
      <c r="D49" s="113">
        <f>'Effluent Concentration'!AF49</f>
        <v>0.10554988083077972</v>
      </c>
      <c r="E49" s="113">
        <f>'Effluent Concentration'!AG49-'Influent Concentration'!W49</f>
        <v>17.883327658608554</v>
      </c>
      <c r="F49" s="113">
        <f>'Effluent Concentration'!AH49</f>
        <v>0.1566630764711642</v>
      </c>
      <c r="G49" s="113">
        <f>'Effluent Concentration'!AI49</f>
        <v>0.1733085283462254</v>
      </c>
      <c r="H49" s="113">
        <f>'Effluent Concentration'!AJ49</f>
        <v>1.2784090909090911</v>
      </c>
      <c r="I49" s="113">
        <f>'Effluent Concentration'!Z49-'Influent Concentration'!P49</f>
        <v>0</v>
      </c>
      <c r="J49" s="113">
        <f>'Effluent Concentration'!AA49-'Influent Concentration'!Q49</f>
        <v>5.8078754791497276E-4</v>
      </c>
      <c r="K49" s="113">
        <f>'Effluent Concentration'!AC49-'Influent Concentration'!S49</f>
        <v>0</v>
      </c>
      <c r="L49" s="113">
        <f>'Effluent Concentration'!AB49-'Influent Concentration'!R49</f>
        <v>2.4977797513321492E-2</v>
      </c>
    </row>
    <row r="50" spans="1:12">
      <c r="A50" s="221">
        <f>'Effluent Concentration'!A50</f>
        <v>98.71736111111386</v>
      </c>
      <c r="B50" s="113">
        <f>'Effluent Concentration'!AD50-'Influent Concentration'!U50</f>
        <v>24.54621149042465</v>
      </c>
      <c r="C50" s="113">
        <f>'Effluent Concentration'!AE50-'Influent Concentration'!V50</f>
        <v>9.854211663066953E-2</v>
      </c>
      <c r="D50" s="113">
        <f>'Effluent Concentration'!AF50</f>
        <v>9.4767903756667798E-2</v>
      </c>
      <c r="E50" s="113">
        <f>'Effluent Concentration'!AG50-'Influent Concentration'!W50</f>
        <v>8.6176370446033381</v>
      </c>
      <c r="F50" s="113">
        <f>'Effluent Concentration'!AH50</f>
        <v>0.13805933614021346</v>
      </c>
      <c r="G50" s="113">
        <f>'Effluent Concentration'!AI50</f>
        <v>0.10036228336433957</v>
      </c>
      <c r="H50" s="113">
        <f>'Effluent Concentration'!AJ50</f>
        <v>0.76790633608815428</v>
      </c>
      <c r="I50" s="113">
        <f>'Effluent Concentration'!Z50-'Influent Concentration'!P50</f>
        <v>0</v>
      </c>
      <c r="J50" s="113">
        <f>'Effluent Concentration'!AA50-'Influent Concentration'!Q50</f>
        <v>0</v>
      </c>
      <c r="K50" s="113">
        <f>'Effluent Concentration'!AC50-'Influent Concentration'!S50</f>
        <v>0</v>
      </c>
      <c r="L50" s="113">
        <f>'Effluent Concentration'!AB50-'Influent Concentration'!R50</f>
        <v>0</v>
      </c>
    </row>
    <row r="51" spans="1:12">
      <c r="A51" s="232">
        <f>'Effluent Concentration'!A51</f>
        <v>101.71527777778101</v>
      </c>
      <c r="B51" s="113">
        <f>'Effluent Concentration'!AD51-'Influent Concentration'!U51</f>
        <v>20.189009159034136</v>
      </c>
      <c r="C51" s="113">
        <f>'Effluent Concentration'!AE51-'Influent Concentration'!V51</f>
        <v>5.3320734341252701E-2</v>
      </c>
      <c r="D51" s="113">
        <f>'Effluent Concentration'!AF51</f>
        <v>8.4553399160140735E-2</v>
      </c>
      <c r="E51" s="113">
        <f>'Effluent Concentration'!AG51-'Influent Concentration'!W51</f>
        <v>6.6643967767563277</v>
      </c>
      <c r="F51" s="113">
        <f>'Effluent Concentration'!AH51</f>
        <v>0.11113286987173211</v>
      </c>
      <c r="G51" s="113">
        <f>'Effluent Concentration'!AI51</f>
        <v>8.4695975717223149E-2</v>
      </c>
      <c r="H51" s="113">
        <f>'Effluent Concentration'!AJ51</f>
        <v>0.39557506887052341</v>
      </c>
      <c r="I51" s="113">
        <f>'Effluent Concentration'!Z51-'Influent Concentration'!P51</f>
        <v>0</v>
      </c>
      <c r="J51" s="113">
        <f>'Effluent Concentration'!AA51-'Influent Concentration'!Q51</f>
        <v>5.8078754791497276E-4</v>
      </c>
      <c r="K51" s="113">
        <f>'Effluent Concentration'!AC51-'Influent Concentration'!S51</f>
        <v>3.3861000592567511E-2</v>
      </c>
      <c r="L51" s="113">
        <f>'Effluent Concentration'!AB51-'Influent Concentration'!R51</f>
        <v>2.6087921847246887E-2</v>
      </c>
    </row>
    <row r="52" spans="1:12">
      <c r="A52" s="232">
        <f>'Effluent Concentration'!A52</f>
        <v>103.72847222222481</v>
      </c>
      <c r="B52" s="113">
        <f>'Effluent Concentration'!AD52-'Influent Concentration'!U52</f>
        <v>19.762697751873439</v>
      </c>
      <c r="C52" s="113">
        <f>'Effluent Concentration'!AE52-'Influent Concentration'!V52</f>
        <v>9.3817494600431969E-2</v>
      </c>
      <c r="D52" s="113">
        <f>'Effluent Concentration'!AF52</f>
        <v>8.9093178980819435E-2</v>
      </c>
      <c r="E52" s="113">
        <f>'Effluent Concentration'!AG52-'Influent Concentration'!W52</f>
        <v>6.6439677675632733</v>
      </c>
      <c r="F52" s="113">
        <f>'Effluent Concentration'!AH52</f>
        <v>0.11015372564378734</v>
      </c>
      <c r="G52" s="113">
        <f>'Effluent Concentration'!AI52</f>
        <v>8.3716831489278387E-2</v>
      </c>
      <c r="H52" s="113">
        <f>'Effluent Concentration'!AJ52</f>
        <v>0.28064738292011016</v>
      </c>
      <c r="I52" s="113">
        <f>'Effluent Concentration'!Z52-'Influent Concentration'!P52</f>
        <v>0</v>
      </c>
      <c r="J52" s="113">
        <f>'Effluent Concentration'!AA52-'Influent Concentration'!Q52</f>
        <v>5.8078754791497276E-4</v>
      </c>
      <c r="K52" s="113">
        <f>'Effluent Concentration'!AC52-'Influent Concentration'!S52</f>
        <v>3.3437738085160422E-2</v>
      </c>
      <c r="L52" s="113">
        <f>'Effluent Concentration'!AB52-'Influent Concentration'!R52</f>
        <v>2.3867673179396091E-2</v>
      </c>
    </row>
    <row r="53" spans="1:12">
      <c r="A53" s="232">
        <f>'Effluent Concentration'!A53</f>
        <v>105.74375000000146</v>
      </c>
      <c r="B53" s="113">
        <f>'Effluent Concentration'!AD53-'Influent Concentration'!U53</f>
        <v>20.195670274771025</v>
      </c>
      <c r="C53" s="113">
        <f>'Effluent Concentration'!AE53-'Influent Concentration'!V53</f>
        <v>5.8045356371490303E-2</v>
      </c>
      <c r="D53" s="113">
        <f>'Effluent Concentration'!AF53</f>
        <v>8.7958234025649756E-2</v>
      </c>
      <c r="E53" s="113">
        <f>'Effluent Concentration'!AG53-'Influent Concentration'!W53</f>
        <v>6.9679945522642157</v>
      </c>
      <c r="F53" s="113">
        <f>'Effluent Concentration'!AH53</f>
        <v>0.10134142759228434</v>
      </c>
      <c r="G53" s="113">
        <f>'Effluent Concentration'!AI53</f>
        <v>9.3997845882698522E-2</v>
      </c>
      <c r="H53" s="113">
        <f>'Effluent Concentration'!AJ53</f>
        <v>0.20704201101928374</v>
      </c>
      <c r="I53" s="113">
        <f>'Effluent Concentration'!Z53-'Influent Concentration'!P53</f>
        <v>0</v>
      </c>
      <c r="J53" s="113">
        <f>'Effluent Concentration'!AA53-'Influent Concentration'!Q53</f>
        <v>5.8078754791497276E-4</v>
      </c>
      <c r="K53" s="113">
        <f>'Effluent Concentration'!AC53-'Influent Concentration'!S53</f>
        <v>0</v>
      </c>
      <c r="L53" s="113">
        <f>'Effluent Concentration'!AB53-'Influent Concentration'!R53</f>
        <v>0</v>
      </c>
    </row>
    <row r="54" spans="1:12">
      <c r="A54" s="232">
        <f>'Effluent Concentration'!A54</f>
        <v>108.73541666667006</v>
      </c>
      <c r="B54" s="113">
        <f>'Effluent Concentration'!AD54-'Influent Concentration'!U54</f>
        <v>20.525395503746878</v>
      </c>
      <c r="C54" s="113">
        <f>'Effluent Concentration'!AE54-'Influent Concentration'!V54</f>
        <v>-1.0124190064794814E-2</v>
      </c>
      <c r="D54" s="113">
        <f>'Effluent Concentration'!AF54</f>
        <v>8.2850981727386225E-2</v>
      </c>
      <c r="E54" s="113">
        <f>'Effluent Concentration'!AG54-'Influent Concentration'!W54</f>
        <v>7.255703098399727</v>
      </c>
      <c r="F54" s="113">
        <f>'Effluent Concentration'!AH54</f>
        <v>9.3997845882698522E-2</v>
      </c>
      <c r="G54" s="113">
        <f>'Effluent Concentration'!AI54</f>
        <v>9.106041319886421E-2</v>
      </c>
      <c r="H54" s="113">
        <f>'Effluent Concentration'!AJ54</f>
        <v>0.13774104683195593</v>
      </c>
      <c r="I54" s="113">
        <f>'Effluent Concentration'!Z54-'Influent Concentration'!P54</f>
        <v>0</v>
      </c>
      <c r="J54" s="113">
        <f>'Effluent Concentration'!AA54-'Influent Concentration'!Q54</f>
        <v>1.1615750958299455E-3</v>
      </c>
      <c r="K54" s="113">
        <f>'Effluent Concentration'!AC54-'Influent Concentration'!S54</f>
        <v>0</v>
      </c>
      <c r="L54" s="113">
        <f>'Effluent Concentration'!AB54-'Influent Concentration'!R54</f>
        <v>0</v>
      </c>
    </row>
    <row r="55" spans="1:12">
      <c r="A55" s="232">
        <f>'Effluent Concentration'!A55</f>
        <v>110.75069444444671</v>
      </c>
      <c r="B55" s="113">
        <f>'Effluent Concentration'!AD55-'Influent Concentration'!U55</f>
        <v>20.915070774354707</v>
      </c>
      <c r="C55" s="113">
        <f>'Effluent Concentration'!AE55-'Influent Concentration'!V55</f>
        <v>0.17076133909287255</v>
      </c>
      <c r="D55" s="113">
        <f>'Effluent Concentration'!AF55</f>
        <v>8.3985926682555903E-2</v>
      </c>
      <c r="E55" s="113">
        <f>'Effluent Concentration'!AG55-'Influent Concentration'!W55</f>
        <v>7.4480762683009871</v>
      </c>
      <c r="F55" s="113">
        <f>'Effluent Concentration'!AH55</f>
        <v>8.6654264173112699E-2</v>
      </c>
      <c r="G55" s="113">
        <f>'Effluent Concentration'!AI55</f>
        <v>8.812298051502987E-2</v>
      </c>
      <c r="H55" s="113">
        <f>'Effluent Concentration'!AJ55</f>
        <v>0.11019283746556474</v>
      </c>
      <c r="I55" s="113">
        <f>'Effluent Concentration'!Z55-'Influent Concentration'!P55</f>
        <v>0</v>
      </c>
      <c r="J55" s="113">
        <f>'Effluent Concentration'!AA55-'Influent Concentration'!Q55</f>
        <v>5.8078754791497276E-4</v>
      </c>
      <c r="K55" s="113">
        <f>'Effluent Concentration'!AC55-'Influent Concentration'!S55</f>
        <v>0</v>
      </c>
      <c r="L55" s="113">
        <f>'Effluent Concentration'!AB55-'Influent Concentration'!R55</f>
        <v>0</v>
      </c>
    </row>
    <row r="56" spans="1:12">
      <c r="A56" s="221">
        <f>'Effluent Concentration'!A56</f>
        <v>112.74791666666715</v>
      </c>
      <c r="B56" s="113">
        <f>'Effluent Concentration'!AD56-'Influent Concentration'!U56</f>
        <v>18.629475437135721</v>
      </c>
      <c r="C56" s="113">
        <f>'Effluent Concentration'!AE56-'Influent Concentration'!V56</f>
        <v>8.2343412526997839E-2</v>
      </c>
      <c r="D56" s="113">
        <f>'Effluent Concentration'!AF56</f>
        <v>8.0581091817046868E-2</v>
      </c>
      <c r="E56" s="113">
        <f>'Effluent Concentration'!AG56-'Influent Concentration'!W56</f>
        <v>6.4305981159913737</v>
      </c>
      <c r="F56" s="113">
        <f>'Effluent Concentration'!AH56</f>
        <v>7.6373249779692565E-2</v>
      </c>
      <c r="G56" s="113">
        <f>'Effluent Concentration'!AI56</f>
        <v>8.1268970919416428E-2</v>
      </c>
      <c r="H56" s="113">
        <f>'Effluent Concentration'!AJ56</f>
        <v>6.9731404958677703E-2</v>
      </c>
      <c r="I56" s="113">
        <f>'Effluent Concentration'!Z56-'Influent Concentration'!P56</f>
        <v>0</v>
      </c>
      <c r="J56" s="113">
        <f>'Effluent Concentration'!AA56-'Influent Concentration'!Q56</f>
        <v>5.8078754791497276E-4</v>
      </c>
      <c r="K56" s="113">
        <f>'Effluent Concentration'!AC56-'Influent Concentration'!S56</f>
        <v>0</v>
      </c>
      <c r="L56" s="113">
        <f>'Effluent Concentration'!AB56-'Influent Concentration'!R56</f>
        <v>0</v>
      </c>
    </row>
    <row r="57" spans="1:12">
      <c r="A57" s="221">
        <f>'Effluent Concentration'!A57</f>
        <v>115.7229166666657</v>
      </c>
      <c r="B57" s="113">
        <f>'Effluent Concentration'!AD57-'Influent Concentration'!U57</f>
        <v>17.071606994171525</v>
      </c>
      <c r="C57" s="113">
        <f>'Effluent Concentration'!AE57-'Influent Concentration'!V57</f>
        <v>7.4244060475161994E-2</v>
      </c>
      <c r="D57" s="113">
        <f>'Effluent Concentration'!AF57</f>
        <v>6.1287027579162413E-2</v>
      </c>
      <c r="E57" s="113">
        <f>'Effluent Concentration'!AG57-'Influent Concentration'!W57</f>
        <v>5.1923731699012601</v>
      </c>
      <c r="F57" s="113">
        <f>'Effluent Concentration'!AH57</f>
        <v>7.6862821893664945E-2</v>
      </c>
      <c r="G57" s="113">
        <f>'Effluent Concentration'!AI57</f>
        <v>6.4133946930382851E-2</v>
      </c>
      <c r="H57" s="113">
        <f>'Effluent Concentration'!AJ57</f>
        <v>4.993112947658402E-2</v>
      </c>
      <c r="I57" s="113">
        <f>'Effluent Concentration'!Z57-'Influent Concentration'!P57</f>
        <v>0</v>
      </c>
      <c r="J57" s="113">
        <f>'Effluent Concentration'!AA57-'Influent Concentration'!Q57</f>
        <v>5.8078754791497276E-4</v>
      </c>
      <c r="K57" s="113">
        <f>'Effluent Concentration'!AC57-'Influent Concentration'!S57</f>
        <v>0</v>
      </c>
      <c r="L57" s="113">
        <f>'Effluent Concentration'!AB57-'Influent Concentration'!R57</f>
        <v>0</v>
      </c>
    </row>
    <row r="58" spans="1:12">
      <c r="A58" s="221">
        <f>'Effluent Concentration'!A58</f>
        <v>117.72152777777956</v>
      </c>
      <c r="B58" s="113">
        <f>'Effluent Concentration'!AD58-'Influent Concentration'!U58</f>
        <v>16.961698584512906</v>
      </c>
      <c r="C58" s="113">
        <f>'Effluent Concentration'!AE58-'Influent Concentration'!V58</f>
        <v>6.2769978401727863E-2</v>
      </c>
      <c r="D58" s="113">
        <f>'Effluent Concentration'!AF58</f>
        <v>6.0152082623992742E-2</v>
      </c>
      <c r="E58" s="113">
        <f>'Effluent Concentration'!AG58-'Influent Concentration'!W58</f>
        <v>4.8127340823970037</v>
      </c>
      <c r="F58" s="113">
        <f>'Effluent Concentration'!AH58</f>
        <v>6.3644374816410457E-2</v>
      </c>
      <c r="G58" s="113">
        <f>'Effluent Concentration'!AI58</f>
        <v>5.9238225790658967E-2</v>
      </c>
      <c r="H58" s="113">
        <f>'Effluent Concentration'!AJ58</f>
        <v>4.993112947658402E-2</v>
      </c>
      <c r="I58" s="113">
        <f>'Effluent Concentration'!Z58-'Influent Concentration'!P58</f>
        <v>0</v>
      </c>
      <c r="J58" s="113">
        <f>'Effluent Concentration'!AA58-'Influent Concentration'!Q58</f>
        <v>5.8078754791497276E-4</v>
      </c>
      <c r="K58" s="113">
        <f>'Effluent Concentration'!AC58-'Influent Concentration'!S58</f>
        <v>3.259121307034623E-2</v>
      </c>
      <c r="L58" s="113">
        <f>'Effluent Concentration'!AB58-'Influent Concentration'!R58</f>
        <v>0</v>
      </c>
    </row>
    <row r="59" spans="1:12">
      <c r="A59" s="221">
        <f>'Effluent Concentration'!A59</f>
        <v>119.69305555555911</v>
      </c>
      <c r="B59" s="113">
        <f>'Effluent Concentration'!AD59-'Influent Concentration'!U59</f>
        <v>16.312239800166527</v>
      </c>
      <c r="C59" s="113">
        <f>'Effluent Concentration'!AE59-'Influent Concentration'!V59</f>
        <v>6.1420086393088554E-2</v>
      </c>
      <c r="D59" s="113">
        <f>'Effluent Concentration'!AF59</f>
        <v>5.6747247758483714E-2</v>
      </c>
      <c r="E59" s="113">
        <f>'Effluent Concentration'!AG59-'Influent Concentration'!W59</f>
        <v>4.3718079673135861</v>
      </c>
      <c r="F59" s="113">
        <f>'Effluent Concentration'!AH59</f>
        <v>5.434250465093509E-2</v>
      </c>
      <c r="G59" s="113">
        <f>'Effluent Concentration'!AI59</f>
        <v>5.8259081562714185E-2</v>
      </c>
      <c r="H59" s="113">
        <f>'Effluent Concentration'!AJ59</f>
        <v>4.4765840220385676E-2</v>
      </c>
      <c r="I59" s="113">
        <f>'Effluent Concentration'!Z59-'Influent Concentration'!P59</f>
        <v>0</v>
      </c>
      <c r="J59" s="113">
        <f>'Effluent Concentration'!AA59-'Influent Concentration'!Q59</f>
        <v>5.8078754791497276E-4</v>
      </c>
      <c r="K59" s="113">
        <f>'Effluent Concentration'!AC59-'Influent Concentration'!S59</f>
        <v>0</v>
      </c>
      <c r="L59" s="113">
        <f>'Effluent Concentration'!AB59-'Influent Concentration'!R59</f>
        <v>0</v>
      </c>
    </row>
    <row r="60" spans="1:12" s="226" customFormat="1">
      <c r="A60" s="224">
        <f>'Effluent Concentration'!A60</f>
        <v>122.70694444444962</v>
      </c>
      <c r="B60" s="225">
        <f>'Effluent Concentration'!AD60-'Influent Concentration'!U60</f>
        <v>15.88842631140716</v>
      </c>
      <c r="C60" s="225">
        <f>'Effluent Concentration'!AE60-'Influent Concentration'!V60</f>
        <v>8.2343412526997839E-2</v>
      </c>
      <c r="D60" s="225">
        <f>'Effluent Concentration'!AF60</f>
        <v>6.4691862444671427E-2</v>
      </c>
      <c r="E60" s="225">
        <f>'Effluent Concentration'!AG60-'Influent Concentration'!W60</f>
        <v>4.3020088525706504</v>
      </c>
      <c r="F60" s="225">
        <f>'Effluent Concentration'!AH60</f>
        <v>5.0425927739155982E-2</v>
      </c>
      <c r="G60" s="225">
        <f>'Effluent Concentration'!AI60</f>
        <v>5.6790365220797022E-2</v>
      </c>
      <c r="H60" s="225">
        <f>'Effluent Concentration'!AJ60</f>
        <v>3.9600550964187332E-2</v>
      </c>
      <c r="I60" s="225">
        <f>'Effluent Concentration'!Z60-'Influent Concentration'!P60</f>
        <v>0</v>
      </c>
      <c r="J60" s="225">
        <f>'Effluent Concentration'!AA60-'Influent Concentration'!Q60</f>
        <v>5.8078754791497276E-4</v>
      </c>
      <c r="K60" s="225">
        <f>'Effluent Concentration'!AC60-'Influent Concentration'!S60</f>
        <v>0</v>
      </c>
      <c r="L60" s="225">
        <f>'Effluent Concentration'!AB60-'Influent Concentration'!R60</f>
        <v>0</v>
      </c>
    </row>
    <row r="61" spans="1:12">
      <c r="A61" s="222">
        <f>'Effluent Concentration'!A61</f>
        <v>124.74305555555475</v>
      </c>
      <c r="B61" s="113">
        <f>'Effluent Concentration'!AD61-'Influent Concentration'!U61</f>
        <v>23.5578684429642</v>
      </c>
      <c r="C61" s="113">
        <f>'Effluent Concentration'!AE61-'Influent Concentration'!V61</f>
        <v>0.1586123110151188</v>
      </c>
      <c r="D61" s="113">
        <f>'Effluent Concentration'!AF61</f>
        <v>8.3418454204971057E-2</v>
      </c>
      <c r="E61" s="113">
        <f>'Effluent Concentration'!AG61-'Influent Concentration'!W61</f>
        <v>7.3374191351719444</v>
      </c>
      <c r="F61" s="113">
        <f>'Effluent Concentration'!AH61</f>
        <v>9.6935278566532862E-2</v>
      </c>
      <c r="G61" s="113">
        <f>'Effluent Concentration'!AI61</f>
        <v>9.2039557426808957E-2</v>
      </c>
      <c r="H61" s="113">
        <f>'Effluent Concentration'!AJ61</f>
        <v>5.8970385674931139E-2</v>
      </c>
      <c r="I61" s="113">
        <f>'Effluent Concentration'!Z61-'Influent Concentration'!P61</f>
        <v>0</v>
      </c>
      <c r="J61" s="113">
        <f>'Effluent Concentration'!AA61-'Influent Concentration'!Q61</f>
        <v>5.8078754791497276E-4</v>
      </c>
      <c r="K61" s="113">
        <f>'Effluent Concentration'!AC61-'Influent Concentration'!S61</f>
        <v>0</v>
      </c>
      <c r="L61" s="113">
        <f>'Effluent Concentration'!AB61-'Influent Concentration'!R61</f>
        <v>0</v>
      </c>
    </row>
    <row r="62" spans="1:12">
      <c r="A62" s="223">
        <f>'Effluent Concentration'!A62</f>
        <v>126.72083333333285</v>
      </c>
      <c r="B62" s="113">
        <f>'Effluent Concentration'!AD62-'Influent Concentration'!U62</f>
        <v>35.590341382181514</v>
      </c>
      <c r="C62" s="113">
        <f>'Effluent Concentration'!AE62-'Influent Concentration'!V62</f>
        <v>0.22880669546436286</v>
      </c>
      <c r="D62" s="113">
        <f>'Effluent Concentration'!AF62</f>
        <v>0.11633185790489162</v>
      </c>
      <c r="E62" s="113">
        <f>'Effluent Concentration'!AG62-'Influent Concentration'!W62</f>
        <v>12.557030983997278</v>
      </c>
      <c r="F62" s="113">
        <f>'Effluent Concentration'!AH62</f>
        <v>0.12288260060706942</v>
      </c>
      <c r="G62" s="113">
        <f>'Effluent Concentration'!AI62</f>
        <v>0.14099676882404777</v>
      </c>
      <c r="H62" s="113">
        <f>'Effluent Concentration'!AJ62</f>
        <v>9.2114325068870531E-2</v>
      </c>
      <c r="I62" s="113">
        <f>'Effluent Concentration'!Z62-'Influent Concentration'!P62</f>
        <v>0</v>
      </c>
      <c r="J62" s="113">
        <f>'Effluent Concentration'!AA62-'Influent Concentration'!Q62</f>
        <v>1.1615750958299455E-3</v>
      </c>
      <c r="K62" s="113">
        <f>'Effluent Concentration'!AC62-'Influent Concentration'!S62</f>
        <v>0</v>
      </c>
      <c r="L62" s="113">
        <f>'Effluent Concentration'!AB62-'Influent Concentration'!R62</f>
        <v>0</v>
      </c>
    </row>
    <row r="63" spans="1:12">
      <c r="A63" s="223">
        <f>'Effluent Concentration'!A63</f>
        <v>129.72638888889196</v>
      </c>
      <c r="B63" s="113">
        <f>'Effluent Concentration'!AD63-'Influent Concentration'!U63</f>
        <v>45.278934221482096</v>
      </c>
      <c r="C63" s="113">
        <f>'Effluent Concentration'!AE63-'Influent Concentration'!V63</f>
        <v>0.33679805615550762</v>
      </c>
      <c r="D63" s="113">
        <f>'Effluent Concentration'!AF63</f>
        <v>0.16002723867892407</v>
      </c>
      <c r="E63" s="113">
        <f>'Effluent Concentration'!AG63-'Influent Concentration'!W63</f>
        <v>17.194416070820566</v>
      </c>
      <c r="F63" s="113">
        <f>'Effluent Concentration'!AH63</f>
        <v>0.16302751395280524</v>
      </c>
      <c r="G63" s="113">
        <f>'Effluent Concentration'!AI63</f>
        <v>0.19484970136101046</v>
      </c>
      <c r="H63" s="113">
        <f>'Effluent Concentration'!AJ63</f>
        <v>0.12999311294765839</v>
      </c>
      <c r="I63" s="113">
        <f>'Effluent Concentration'!Z63-'Influent Concentration'!P63</f>
        <v>0</v>
      </c>
      <c r="J63" s="113">
        <f>'Effluent Concentration'!AA63-'Influent Concentration'!Q63</f>
        <v>1.1615750958299455E-3</v>
      </c>
      <c r="K63" s="113">
        <f>'Effluent Concentration'!AC63-'Influent Concentration'!S63</f>
        <v>0</v>
      </c>
      <c r="L63" s="113">
        <f>'Effluent Concentration'!AB63-'Influent Concentration'!R63</f>
        <v>0</v>
      </c>
    </row>
    <row r="64" spans="1:12">
      <c r="A64" s="223">
        <f>'Effluent Concentration'!A64</f>
        <v>131.7236111111124</v>
      </c>
      <c r="B64" s="113">
        <f>'Effluent Concentration'!AD64-'Influent Concentration'!U64</f>
        <v>51.69858451290591</v>
      </c>
      <c r="C64" s="113">
        <f>'Effluent Concentration'!AE64-'Influent Concentration'!V64</f>
        <v>0.32194924406047515</v>
      </c>
      <c r="D64" s="113">
        <f>'Effluent Concentration'!AF64</f>
        <v>0.18272613778231758</v>
      </c>
      <c r="E64" s="113">
        <f>'Effluent Concentration'!AG64-'Influent Concentration'!W64</f>
        <v>20.322324367268187</v>
      </c>
      <c r="F64" s="113">
        <f>'Effluent Concentration'!AH64</f>
        <v>0.18114168216978363</v>
      </c>
      <c r="G64" s="113">
        <f>'Effluent Concentration'!AI64</f>
        <v>0.23254675413688439</v>
      </c>
      <c r="H64" s="113">
        <f>'Effluent Concentration'!AJ64</f>
        <v>0.16701101928374654</v>
      </c>
      <c r="I64" s="113">
        <f>'Effluent Concentration'!Z64-'Influent Concentration'!P64</f>
        <v>0</v>
      </c>
      <c r="J64" s="113">
        <f>'Effluent Concentration'!AA64-'Influent Concentration'!Q64</f>
        <v>5.8078754791497276E-4</v>
      </c>
      <c r="K64" s="113">
        <f>'Effluent Concentration'!AC64-'Influent Concentration'!S64</f>
        <v>0</v>
      </c>
      <c r="L64" s="113">
        <f>'Effluent Concentration'!AB64-'Influent Concentration'!R64</f>
        <v>0</v>
      </c>
    </row>
    <row r="65" spans="1:12">
      <c r="A65" s="223">
        <f>'Effluent Concentration'!A65</f>
        <v>133.7993055555562</v>
      </c>
      <c r="B65" s="113">
        <f>'Effluent Concentration'!AD65-'Influent Concentration'!U65</f>
        <v>55.864279766860946</v>
      </c>
      <c r="C65" s="113">
        <f>'Effluent Concentration'!AE65-'Influent Concentration'!V65</f>
        <v>0.42926565874730022</v>
      </c>
      <c r="D65" s="113">
        <f>'Effluent Concentration'!AF65</f>
        <v>0.19123822494609014</v>
      </c>
      <c r="E65" s="113">
        <f>'Effluent Concentration'!AG65-'Influent Concentration'!W65</f>
        <v>21.82896379525593</v>
      </c>
      <c r="F65" s="113">
        <f>'Effluent Concentration'!AH65</f>
        <v>0.19093312444923138</v>
      </c>
      <c r="G65" s="113">
        <f>'Effluent Concentration'!AI65</f>
        <v>0.23842161950455304</v>
      </c>
      <c r="H65" s="113">
        <f>'Effluent Concentration'!AJ65</f>
        <v>0.17734159779614328</v>
      </c>
      <c r="I65" s="113">
        <f>'Effluent Concentration'!Z65-'Influent Concentration'!P65</f>
        <v>0</v>
      </c>
      <c r="J65" s="113">
        <f>'Effluent Concentration'!AA65-'Influent Concentration'!Q65</f>
        <v>1.1615750958299455E-3</v>
      </c>
      <c r="K65" s="113">
        <f>'Effluent Concentration'!AC65-'Influent Concentration'!S65</f>
        <v>0</v>
      </c>
      <c r="L65" s="113">
        <f>'Effluent Concentration'!AB65-'Influent Concentration'!R65</f>
        <v>2.7753108348134992E-2</v>
      </c>
    </row>
    <row r="66" spans="1:12">
      <c r="A66" s="223">
        <f>'Effluent Concentration'!A66</f>
        <v>136.7097222222219</v>
      </c>
      <c r="B66" s="113">
        <f>'Effluent Concentration'!AD66-'Influent Concentration'!U66</f>
        <v>60.340549542048294</v>
      </c>
      <c r="C66" s="113">
        <f>'Effluent Concentration'!AE66-'Influent Concentration'!V66</f>
        <v>0.423866090712743</v>
      </c>
      <c r="D66" s="113">
        <f>'Effluent Concentration'!AF66</f>
        <v>0.27011689933038247</v>
      </c>
      <c r="E66" s="113">
        <f>'Effluent Concentration'!AG66-'Influent Concentration'!W66</f>
        <v>24.295766655317216</v>
      </c>
      <c r="F66" s="113">
        <f>'Effluent Concentration'!AH66</f>
        <v>0.22716146088318809</v>
      </c>
      <c r="G66" s="113">
        <f>'Effluent Concentration'!AI66</f>
        <v>0.297659845295212</v>
      </c>
      <c r="H66" s="113">
        <f>'Effluent Concentration'!AJ66</f>
        <v>0.22899449035812675</v>
      </c>
      <c r="I66" s="113">
        <f>'Effluent Concentration'!Z66-'Influent Concentration'!P66</f>
        <v>0</v>
      </c>
      <c r="J66" s="113">
        <f>'Effluent Concentration'!AA66-'Influent Concentration'!Q66</f>
        <v>1.1615750958299455E-3</v>
      </c>
      <c r="K66" s="113">
        <f>'Effluent Concentration'!AC66-'Influent Concentration'!S66</f>
        <v>0</v>
      </c>
      <c r="L66" s="113">
        <f>'Effluent Concentration'!AB66-'Influent Concentration'!R66</f>
        <v>3.5523978685612793E-2</v>
      </c>
    </row>
    <row r="67" spans="1:12">
      <c r="A67" s="223">
        <f>'Effluent Concentration'!A67</f>
        <v>138.89444444444962</v>
      </c>
      <c r="B67" s="113">
        <f>'Effluent Concentration'!AD67-'Influent Concentration'!U67</f>
        <v>62.395503746877601</v>
      </c>
      <c r="C67" s="113">
        <f>'Effluent Concentration'!AE67-'Influent Concentration'!V67</f>
        <v>0.43601511879049676</v>
      </c>
      <c r="D67" s="113">
        <f>'Effluent Concentration'!AF67</f>
        <v>0.26784700942004308</v>
      </c>
      <c r="E67" s="113">
        <f>'Effluent Concentration'!AG67-'Influent Concentration'!W67</f>
        <v>25.211667234139139</v>
      </c>
      <c r="F67" s="113">
        <f>'Effluent Concentration'!AH67</f>
        <v>0.22618231665524335</v>
      </c>
      <c r="G67" s="113">
        <f>'Effluent Concentration'!AI67</f>
        <v>0.28395182610398512</v>
      </c>
      <c r="H67" s="113">
        <f>'Effluent Concentration'!AJ67</f>
        <v>0.24793388429752064</v>
      </c>
      <c r="I67" s="113">
        <f>'Effluent Concentration'!Z67-'Influent Concentration'!P67</f>
        <v>0</v>
      </c>
      <c r="J67" s="113">
        <f>'Effluent Concentration'!AA67-'Influent Concentration'!Q67</f>
        <v>1.1615750958299455E-3</v>
      </c>
      <c r="K67" s="113">
        <f>'Effluent Concentration'!AC67-'Influent Concentration'!S67</f>
        <v>0</v>
      </c>
      <c r="L67" s="113">
        <f>'Effluent Concentration'!AB67-'Influent Concentration'!R67</f>
        <v>3.7189165186500887E-2</v>
      </c>
    </row>
    <row r="68" spans="1:12">
      <c r="A68" s="223">
        <f>'Effluent Concentration'!A68</f>
        <v>140.88333333333867</v>
      </c>
      <c r="B68" s="113">
        <f>'Effluent Concentration'!AD68-'Influent Concentration'!U68</f>
        <v>66.550374687760211</v>
      </c>
      <c r="C68" s="113">
        <f>'Effluent Concentration'!AE68-'Influent Concentration'!V68</f>
        <v>0.4900107991360691</v>
      </c>
      <c r="D68" s="113">
        <f>'Effluent Concentration'!AF68</f>
        <v>0.30416524798547273</v>
      </c>
      <c r="E68" s="113">
        <f>'Effluent Concentration'!AG68-'Influent Concentration'!W68</f>
        <v>26.869821813642037</v>
      </c>
      <c r="F68" s="113">
        <f>'Effluent Concentration'!AH68</f>
        <v>0.23891119161852539</v>
      </c>
      <c r="G68" s="113">
        <f>'Effluent Concentration'!AI68</f>
        <v>0.2937432683834329</v>
      </c>
      <c r="H68" s="113">
        <f>'Effluent Concentration'!AJ68</f>
        <v>0.3116391184573003</v>
      </c>
      <c r="I68" s="113">
        <f>'Effluent Concentration'!Z68-'Influent Concentration'!P68</f>
        <v>0</v>
      </c>
      <c r="J68" s="113">
        <f>'Effluent Concentration'!AA68-'Influent Concentration'!Q68</f>
        <v>1.1615750958299455E-3</v>
      </c>
      <c r="K68" s="113">
        <f>'Effluent Concentration'!AC68-'Influent Concentration'!S68</f>
        <v>0</v>
      </c>
      <c r="L68" s="113">
        <f>'Effluent Concentration'!AB68-'Influent Concentration'!R68</f>
        <v>3.8299289520426286E-2</v>
      </c>
    </row>
    <row r="69" spans="1:12">
      <c r="A69" s="223">
        <f>'Effluent Concentration'!A69</f>
        <v>143.87291666666715</v>
      </c>
      <c r="B69" s="113">
        <f>'Effluent Concentration'!AD69-'Influent Concentration'!U69</f>
        <v>66.230641132389678</v>
      </c>
      <c r="C69" s="113">
        <f>'Effluent Concentration'!AE69-'Influent Concentration'!V69</f>
        <v>0.45356371490280778</v>
      </c>
      <c r="D69" s="113">
        <f>'Effluent Concentration'!AF69</f>
        <v>0.30643513789581206</v>
      </c>
      <c r="E69" s="113">
        <f>'Effluent Concentration'!AG69-'Influent Concentration'!W69</f>
        <v>26.210418794688458</v>
      </c>
      <c r="F69" s="113">
        <f>'Effluent Concentration'!AH69</f>
        <v>0.24870263389797317</v>
      </c>
      <c r="G69" s="113">
        <f>'Effluent Concentration'!AI69</f>
        <v>0.27416038382453739</v>
      </c>
      <c r="H69" s="113">
        <f>'Effluent Concentration'!AJ69</f>
        <v>0.38050964187327829</v>
      </c>
      <c r="I69" s="113">
        <f>'Effluent Concentration'!Z69-'Influent Concentration'!P69</f>
        <v>0</v>
      </c>
      <c r="J69" s="113">
        <f>'Effluent Concentration'!AA69-'Influent Concentration'!Q69</f>
        <v>1.1615750958299455E-3</v>
      </c>
      <c r="K69" s="113">
        <f>'Effluent Concentration'!AC69-'Influent Concentration'!S69</f>
        <v>0</v>
      </c>
      <c r="L69" s="113">
        <f>'Effluent Concentration'!AB69-'Influent Concentration'!R69</f>
        <v>0</v>
      </c>
    </row>
    <row r="70" spans="1:12">
      <c r="A70" s="223">
        <f>'Effluent Concentration'!A70</f>
        <v>145.82013888889196</v>
      </c>
      <c r="B70" s="113">
        <f>'Effluent Concentration'!AD70-'Influent Concentration'!U70</f>
        <v>66.490424646128218</v>
      </c>
      <c r="C70" s="113">
        <f>'Effluent Concentration'!AE70-'Influent Concentration'!V70</f>
        <v>0.51835853131749454</v>
      </c>
      <c r="D70" s="113">
        <f>'Effluent Concentration'!AF70</f>
        <v>0.29735557825445469</v>
      </c>
      <c r="E70" s="113">
        <f>'Effluent Concentration'!AG70-'Influent Concentration'!W70</f>
        <v>25.86312563840654</v>
      </c>
      <c r="F70" s="113">
        <f>'Effluent Concentration'!AH70</f>
        <v>0.27220209536864781</v>
      </c>
      <c r="G70" s="113">
        <f>'Effluent Concentration'!AI70</f>
        <v>0.26632723000097919</v>
      </c>
      <c r="H70" s="113">
        <f>'Effluent Concentration'!AJ70</f>
        <v>0.38223140495867775</v>
      </c>
      <c r="I70" s="113">
        <f>'Effluent Concentration'!Z70-'Influent Concentration'!P70</f>
        <v>0</v>
      </c>
      <c r="J70" s="113">
        <f>'Effluent Concentration'!AA70-'Influent Concentration'!Q70</f>
        <v>1.1615750958299455E-3</v>
      </c>
      <c r="K70" s="113">
        <f>'Effluent Concentration'!AC70-'Influent Concentration'!S70</f>
        <v>0</v>
      </c>
      <c r="L70" s="113">
        <f>'Effluent Concentration'!AB70-'Influent Concentration'!R70</f>
        <v>0</v>
      </c>
    </row>
    <row r="71" spans="1:12">
      <c r="A71" s="223">
        <f>'Effluent Concentration'!A71</f>
        <v>147.87291666666715</v>
      </c>
      <c r="B71" s="113">
        <f>'Effluent Concentration'!AD71-'Influent Concentration'!U71</f>
        <v>65.324729392173182</v>
      </c>
      <c r="C71" s="113">
        <f>'Effluent Concentration'!AE71-'Influent Concentration'!V71</f>
        <v>0.47786177105831534</v>
      </c>
      <c r="D71" s="113">
        <f>'Effluent Concentration'!AF71</f>
        <v>0.32232436726818747</v>
      </c>
      <c r="E71" s="113">
        <f>'Effluent Concentration'!AG71-'Influent Concentration'!W71</f>
        <v>25.377369197593918</v>
      </c>
      <c r="F71" s="113">
        <f>'Effluent Concentration'!AH71</f>
        <v>0.24282776853030452</v>
      </c>
      <c r="G71" s="113">
        <f>'Effluent Concentration'!AI71</f>
        <v>0.29178497992754332</v>
      </c>
      <c r="H71" s="113">
        <f>'Effluent Concentration'!AJ71</f>
        <v>0.44765840220385678</v>
      </c>
      <c r="I71" s="113">
        <f>'Effluent Concentration'!Z71-'Influent Concentration'!P71</f>
        <v>0</v>
      </c>
      <c r="J71" s="113">
        <f>'Effluent Concentration'!AA71-'Influent Concentration'!Q71</f>
        <v>5.8078754791497276E-4</v>
      </c>
      <c r="K71" s="113">
        <f>'Effluent Concentration'!AC71-'Influent Concentration'!S71</f>
        <v>0</v>
      </c>
      <c r="L71" s="113">
        <f>'Effluent Concentration'!AB71-'Influent Concentration'!R71</f>
        <v>3.0528419182948491E-2</v>
      </c>
    </row>
    <row r="72" spans="1:12">
      <c r="A72" s="223">
        <f>'Effluent Concentration'!A72</f>
        <v>150.87013888889487</v>
      </c>
      <c r="B72" s="113">
        <f>'Effluent Concentration'!AD72-'Influent Concentration'!U72</f>
        <v>64.851790174854287</v>
      </c>
      <c r="C72" s="113">
        <f>'Effluent Concentration'!AE72-'Influent Concentration'!V72</f>
        <v>0.53455723542116629</v>
      </c>
      <c r="D72" s="113">
        <f>'Effluent Concentration'!AF72</f>
        <v>0.30416524798547273</v>
      </c>
      <c r="E72" s="113">
        <f>'Effluent Concentration'!AG72-'Influent Concentration'!W72</f>
        <v>24.75768925207127</v>
      </c>
      <c r="F72" s="113">
        <f>'Effluent Concentration'!AH72</f>
        <v>0.26436894154508961</v>
      </c>
      <c r="G72" s="113">
        <f>'Effluent Concentration'!AI72</f>
        <v>0.28003524919220601</v>
      </c>
      <c r="H72" s="113">
        <f>'Effluent Concentration'!AJ72</f>
        <v>0.52685950413223148</v>
      </c>
      <c r="I72" s="113">
        <f>'Effluent Concentration'!Z72-'Influent Concentration'!P72</f>
        <v>0</v>
      </c>
      <c r="J72" s="113">
        <f>'Effluent Concentration'!AA72-'Influent Concentration'!Q72</f>
        <v>1.742362643744918E-3</v>
      </c>
      <c r="K72" s="113">
        <f>'Effluent Concentration'!AC72-'Influent Concentration'!S72</f>
        <v>0</v>
      </c>
      <c r="L72" s="113">
        <f>'Effluent Concentration'!AB72-'Influent Concentration'!R72</f>
        <v>2.9973357015985792E-2</v>
      </c>
    </row>
    <row r="73" spans="1:12">
      <c r="A73" s="223">
        <f>'Effluent Concentration'!A73</f>
        <v>152.88333333333867</v>
      </c>
      <c r="B73" s="113">
        <f>'Effluent Concentration'!AD73-'Influent Concentration'!U73</f>
        <v>62.963363863447121</v>
      </c>
      <c r="C73" s="113">
        <f>'Effluent Concentration'!AE73-'Influent Concentration'!V73</f>
        <v>0.52645788336933041</v>
      </c>
      <c r="D73" s="113">
        <f>'Effluent Concentration'!AF73</f>
        <v>0.31097491771649077</v>
      </c>
      <c r="E73" s="113">
        <f>'Effluent Concentration'!AG73-'Influent Concentration'!W73</f>
        <v>23.695380774032461</v>
      </c>
      <c r="F73" s="113">
        <f>'Effluent Concentration'!AH73</f>
        <v>0.23303632625085674</v>
      </c>
      <c r="G73" s="113">
        <f>'Effluent Concentration'!AI73</f>
        <v>0.29961813375110158</v>
      </c>
      <c r="H73" s="113">
        <f>'Effluent Concentration'!AJ73</f>
        <v>0.56646005509641872</v>
      </c>
      <c r="I73" s="113">
        <f>'Effluent Concentration'!Z73-'Influent Concentration'!P73</f>
        <v>0</v>
      </c>
      <c r="J73" s="113">
        <f>'Effluent Concentration'!AA73-'Influent Concentration'!Q73</f>
        <v>1.1615750958299455E-3</v>
      </c>
      <c r="K73" s="113">
        <f>'Effluent Concentration'!AC73-'Influent Concentration'!S73</f>
        <v>0</v>
      </c>
      <c r="L73" s="113">
        <f>'Effluent Concentration'!AB73-'Influent Concentration'!R73</f>
        <v>2.7198046181172292E-2</v>
      </c>
    </row>
    <row r="74" spans="1:12">
      <c r="A74" s="223">
        <f>'Effluent Concentration'!A74</f>
        <v>155.00763888889196</v>
      </c>
      <c r="B74" s="113">
        <f>'Effluent Concentration'!AD74-'Influent Concentration'!U74</f>
        <v>60.711906744379689</v>
      </c>
      <c r="C74" s="113">
        <f>'Effluent Concentration'!AE74-'Influent Concentration'!V74</f>
        <v>0.49136069114470843</v>
      </c>
      <c r="D74" s="113">
        <f>'Effluent Concentration'!AF74</f>
        <v>0.31778458744750882</v>
      </c>
      <c r="E74" s="113">
        <f>'Effluent Concentration'!AG74-'Influent Concentration'!W74</f>
        <v>22.487799341731925</v>
      </c>
      <c r="F74" s="113">
        <f>'Effluent Concentration'!AH74</f>
        <v>0.23695290316263587</v>
      </c>
      <c r="G74" s="113">
        <f>'Effluent Concentration'!AI74</f>
        <v>0.23107803779496719</v>
      </c>
      <c r="H74" s="113">
        <f>'Effluent Concentration'!AJ74</f>
        <v>0.65082644628099173</v>
      </c>
      <c r="I74" s="113">
        <f>'Effluent Concentration'!Z74-'Influent Concentration'!P74</f>
        <v>0</v>
      </c>
      <c r="J74" s="113">
        <f>'Effluent Concentration'!AA74-'Influent Concentration'!Q74</f>
        <v>1.1615750958299455E-3</v>
      </c>
      <c r="K74" s="113">
        <f>'Effluent Concentration'!AC74-'Influent Concentration'!S74</f>
        <v>0</v>
      </c>
      <c r="L74" s="113">
        <f>'Effluent Concentration'!AB74-'Influent Concentration'!R74</f>
        <v>2.9418294849023096E-2</v>
      </c>
    </row>
    <row r="75" spans="1:12">
      <c r="A75" s="223">
        <f>'Effluent Concentration'!A75</f>
        <v>157.87638888889342</v>
      </c>
      <c r="B75" s="113">
        <f>'Effluent Concentration'!AD75-'Influent Concentration'!U75</f>
        <v>60.175686927560371</v>
      </c>
      <c r="C75" s="113">
        <f>'Effluent Concentration'!AE75-'Influent Concentration'!V75</f>
        <v>0.38336933045356369</v>
      </c>
      <c r="D75" s="113">
        <f>'Effluent Concentration'!AF75</f>
        <v>0.3245942571785268</v>
      </c>
      <c r="E75" s="113">
        <f>'Effluent Concentration'!AG75-'Influent Concentration'!W75</f>
        <v>21.439110203155145</v>
      </c>
      <c r="F75" s="113">
        <f>'Effluent Concentration'!AH75</f>
        <v>0.25849407617742098</v>
      </c>
      <c r="G75" s="113">
        <f>'Effluent Concentration'!AI75</f>
        <v>0.22520317242729856</v>
      </c>
      <c r="H75" s="113">
        <f>'Effluent Concentration'!AJ75</f>
        <v>0.80061983471074383</v>
      </c>
      <c r="I75" s="113">
        <f>'Effluent Concentration'!Z75-'Influent Concentration'!P75</f>
        <v>0</v>
      </c>
      <c r="J75" s="113">
        <f>'Effluent Concentration'!AA75-'Influent Concentration'!Q75</f>
        <v>2.323150191659891E-3</v>
      </c>
      <c r="K75" s="113">
        <f>'Effluent Concentration'!AC75-'Influent Concentration'!S75</f>
        <v>0</v>
      </c>
      <c r="L75" s="113">
        <f>'Effluent Concentration'!AB75-'Influent Concentration'!R75</f>
        <v>2.4422735346358793E-2</v>
      </c>
    </row>
    <row r="76" spans="1:12">
      <c r="A76" s="223">
        <f>'Effluent Concentration'!A76</f>
        <v>159.9152777777781</v>
      </c>
      <c r="B76" s="113">
        <f>'Effluent Concentration'!AD76-'Influent Concentration'!U76</f>
        <v>59.049958368026644</v>
      </c>
      <c r="C76" s="113">
        <f>'Effluent Concentration'!AE76-'Influent Concentration'!V76</f>
        <v>0.3644708423326134</v>
      </c>
      <c r="D76" s="113">
        <f>'Effluent Concentration'!AF76</f>
        <v>0.30189535807513335</v>
      </c>
      <c r="E76" s="113">
        <f>'Effluent Concentration'!AG76-'Influent Concentration'!W76</f>
        <v>21.112246056066283</v>
      </c>
      <c r="F76" s="113">
        <f>'Effluent Concentration'!AH76</f>
        <v>0.23107803779496719</v>
      </c>
      <c r="G76" s="113">
        <f>'Effluent Concentration'!AI76</f>
        <v>0.2526192108097523</v>
      </c>
      <c r="H76" s="113">
        <f>'Effluent Concentration'!AJ76</f>
        <v>0.91081267217630857</v>
      </c>
      <c r="I76" s="113">
        <f>'Effluent Concentration'!Z76-'Influent Concentration'!P76</f>
        <v>0</v>
      </c>
      <c r="J76" s="113">
        <f>'Effluent Concentration'!AA76-'Influent Concentration'!Q76</f>
        <v>2.323150191659891E-3</v>
      </c>
      <c r="K76" s="113">
        <f>'Effluent Concentration'!AC76-'Influent Concentration'!S76</f>
        <v>0</v>
      </c>
      <c r="L76" s="113">
        <f>'Effluent Concentration'!AB76-'Influent Concentration'!R76</f>
        <v>2.4977797513321492E-2</v>
      </c>
    </row>
    <row r="77" spans="1:12">
      <c r="A77" s="223">
        <f>'Effluent Concentration'!A77</f>
        <v>161.89444444444962</v>
      </c>
      <c r="B77" s="113">
        <f>'Effluent Concentration'!AD77-'Influent Concentration'!U77</f>
        <v>56.881765195670283</v>
      </c>
      <c r="C77" s="113">
        <f>'Effluent Concentration'!AE77-'Influent Concentration'!V77</f>
        <v>0.44546436285097191</v>
      </c>
      <c r="D77" s="113">
        <f>'Effluent Concentration'!AF77</f>
        <v>0.27465667915106118</v>
      </c>
      <c r="E77" s="113">
        <f>'Effluent Concentration'!AG77-'Influent Concentration'!W77</f>
        <v>19.984110770627627</v>
      </c>
      <c r="F77" s="113">
        <f>'Effluent Concentration'!AH77</f>
        <v>0.23695290316263587</v>
      </c>
      <c r="G77" s="113">
        <f>'Effluent Concentration'!AI77</f>
        <v>0.20170371095662393</v>
      </c>
      <c r="H77" s="113">
        <f>'Effluent Concentration'!AJ77</f>
        <v>0.9418044077134986</v>
      </c>
      <c r="I77" s="113">
        <f>'Effluent Concentration'!Z77-'Influent Concentration'!P77</f>
        <v>0</v>
      </c>
      <c r="J77" s="113">
        <f>'Effluent Concentration'!AA77-'Influent Concentration'!Q77</f>
        <v>2.323150191659891E-3</v>
      </c>
      <c r="K77" s="113">
        <f>'Effluent Concentration'!AC77-'Influent Concentration'!S77</f>
        <v>0</v>
      </c>
      <c r="L77" s="113">
        <f>'Effluent Concentration'!AB77-'Influent Concentration'!R77</f>
        <v>2.2757548845470692E-2</v>
      </c>
    </row>
    <row r="78" spans="1:12">
      <c r="A78" s="223">
        <f>'Effluent Concentration'!A78</f>
        <v>164.87708333333285</v>
      </c>
      <c r="B78" s="113">
        <f>'Effluent Concentration'!AD78-'Influent Concentration'!U78</f>
        <v>57.741049125728559</v>
      </c>
      <c r="C78" s="113">
        <f>'Effluent Concentration'!AE78-'Influent Concentration'!V78</f>
        <v>0.33747300215982723</v>
      </c>
      <c r="D78" s="113">
        <f>'Effluent Concentration'!AF78</f>
        <v>0.30416524798547273</v>
      </c>
      <c r="E78" s="113">
        <f>'Effluent Concentration'!AG78-'Influent Concentration'!W78</f>
        <v>19.260015889229372</v>
      </c>
      <c r="F78" s="113">
        <f>'Effluent Concentration'!AH78</f>
        <v>0.21345344169196123</v>
      </c>
      <c r="G78" s="113">
        <f>'Effluent Concentration'!AI78</f>
        <v>0.22324488397140896</v>
      </c>
      <c r="H78" s="113">
        <f>'Effluent Concentration'!AJ78</f>
        <v>1.0726584022038568</v>
      </c>
      <c r="I78" s="113">
        <f>'Effluent Concentration'!Z78-'Influent Concentration'!P78</f>
        <v>0</v>
      </c>
      <c r="J78" s="113">
        <f>'Effluent Concentration'!AA78-'Influent Concentration'!Q78</f>
        <v>2.323150191659891E-3</v>
      </c>
      <c r="K78" s="113">
        <f>'Effluent Concentration'!AC78-'Influent Concentration'!S78</f>
        <v>0</v>
      </c>
      <c r="L78" s="113">
        <f>'Effluent Concentration'!AB78-'Influent Concentration'!R78</f>
        <v>0</v>
      </c>
    </row>
    <row r="79" spans="1:12">
      <c r="A79" s="223">
        <f>'Effluent Concentration'!A79</f>
        <v>166.88680555555766</v>
      </c>
      <c r="B79" s="113">
        <f>'Effluent Concentration'!AD79-'Influent Concentration'!U79</f>
        <v>58.715237302248134</v>
      </c>
      <c r="C79" s="113">
        <f>'Effluent Concentration'!AE79-'Influent Concentration'!V79</f>
        <v>0.35907127429805619</v>
      </c>
      <c r="D79" s="113">
        <f>'Effluent Concentration'!AF79</f>
        <v>0.25195778004766772</v>
      </c>
      <c r="E79" s="113">
        <f>'Effluent Concentration'!AG79-'Influent Concentration'!W79</f>
        <v>18.756100329134036</v>
      </c>
      <c r="F79" s="113">
        <f>'Effluent Concentration'!AH79</f>
        <v>0.23891119161852539</v>
      </c>
      <c r="G79" s="113">
        <f>'Effluent Concentration'!AI79</f>
        <v>0.19582884558895527</v>
      </c>
      <c r="H79" s="113">
        <f>'Effluent Concentration'!AJ79</f>
        <v>1.1380853994490361</v>
      </c>
      <c r="I79" s="113">
        <f>'Effluent Concentration'!Z79-'Influent Concentration'!P79</f>
        <v>0</v>
      </c>
      <c r="J79" s="113">
        <f>'Effluent Concentration'!AA79-'Influent Concentration'!Q79</f>
        <v>2.323150191659891E-3</v>
      </c>
      <c r="K79" s="113">
        <f>'Effluent Concentration'!AC79-'Influent Concentration'!S79</f>
        <v>0</v>
      </c>
      <c r="L79" s="113">
        <f>'Effluent Concentration'!AB79-'Influent Concentration'!R79</f>
        <v>0</v>
      </c>
    </row>
    <row r="80" spans="1:12">
      <c r="A80" s="223">
        <f>'Effluent Concentration'!A80</f>
        <v>168.87638888889342</v>
      </c>
      <c r="B80" s="113">
        <f>'Effluent Concentration'!AD80-'Influent Concentration'!U80</f>
        <v>55.864279766860953</v>
      </c>
      <c r="C80" s="113">
        <f>'Effluent Concentration'!AE80-'Influent Concentration'!V80</f>
        <v>0.31857451403887688</v>
      </c>
      <c r="D80" s="113">
        <f>'Effluent Concentration'!AF80</f>
        <v>0.27011689933038247</v>
      </c>
      <c r="E80" s="113">
        <f>'Effluent Concentration'!AG80-'Influent Concentration'!W80</f>
        <v>17.934400181591194</v>
      </c>
      <c r="F80" s="113">
        <f>'Effluent Concentration'!AH80</f>
        <v>0.22716146088318809</v>
      </c>
      <c r="G80" s="113">
        <f>'Effluent Concentration'!AI80</f>
        <v>0.17037109566239106</v>
      </c>
      <c r="H80" s="113">
        <f>'Effluent Concentration'!AJ80</f>
        <v>1.1880165289256199</v>
      </c>
      <c r="I80" s="113">
        <f>'Effluent Concentration'!Z80-'Influent Concentration'!P80</f>
        <v>0</v>
      </c>
      <c r="J80" s="113">
        <f>'Effluent Concentration'!AA80-'Influent Concentration'!Q80</f>
        <v>2.323150191659891E-3</v>
      </c>
      <c r="K80" s="113">
        <f>'Effluent Concentration'!AC80-'Influent Concentration'!S80</f>
        <v>0</v>
      </c>
      <c r="L80" s="113">
        <f>'Effluent Concentration'!AB80-'Influent Concentration'!R80</f>
        <v>0</v>
      </c>
    </row>
    <row r="81" spans="1:12">
      <c r="A81" s="223">
        <f>'Effluent Concentration'!A81</f>
        <v>171.86458333333576</v>
      </c>
      <c r="B81" s="113">
        <f>'Effluent Concentration'!AD81-'Influent Concentration'!U81</f>
        <v>54.202331390507908</v>
      </c>
      <c r="C81" s="113">
        <f>'Effluent Concentration'!AE81-'Influent Concentration'!V81</f>
        <v>0.33747300215982723</v>
      </c>
      <c r="D81" s="113">
        <f>'Effluent Concentration'!AF81</f>
        <v>0.24060833049597097</v>
      </c>
      <c r="E81" s="113">
        <f>'Effluent Concentration'!AG81-'Influent Concentration'!W81</f>
        <v>17.02871410736579</v>
      </c>
      <c r="F81" s="113">
        <f>'Effluent Concentration'!AH81</f>
        <v>0.19387055713306572</v>
      </c>
      <c r="G81" s="113">
        <f>'Effluent Concentration'!AI81</f>
        <v>0.22520317242729856</v>
      </c>
      <c r="H81" s="113">
        <f>'Effluent Concentration'!AJ81</f>
        <v>1.1535812672176309</v>
      </c>
      <c r="I81" s="113">
        <f>'Effluent Concentration'!Z81-'Influent Concentration'!P81</f>
        <v>0</v>
      </c>
      <c r="J81" s="113">
        <f>'Effluent Concentration'!AA81-'Influent Concentration'!Q81</f>
        <v>2.323150191659891E-3</v>
      </c>
      <c r="K81" s="113">
        <f>'Effluent Concentration'!AC81-'Influent Concentration'!S81</f>
        <v>0</v>
      </c>
      <c r="L81" s="113">
        <f>'Effluent Concentration'!AB81-'Influent Concentration'!R81</f>
        <v>1.9427175843694494E-2</v>
      </c>
    </row>
    <row r="82" spans="1:12">
      <c r="A82" s="223">
        <f>'Effluent Concentration'!A82</f>
        <v>173.86805555555475</v>
      </c>
      <c r="B82" s="113">
        <f>'Effluent Concentration'!AD82-'Influent Concentration'!U82</f>
        <v>51.038301415487091</v>
      </c>
      <c r="C82" s="113">
        <f>'Effluent Concentration'!AE82-'Influent Concentration'!V82</f>
        <v>0.30507559395248379</v>
      </c>
      <c r="D82" s="113">
        <f>'Effluent Concentration'!AF82</f>
        <v>0.25422766995800705</v>
      </c>
      <c r="E82" s="113">
        <f>'Effluent Concentration'!AG82-'Influent Concentration'!W82</f>
        <v>16.13891726251277</v>
      </c>
      <c r="F82" s="113">
        <f>'Effluent Concentration'!AH82</f>
        <v>0.17428767257417019</v>
      </c>
      <c r="G82" s="113">
        <f>'Effluent Concentration'!AI82</f>
        <v>0.1566630764711642</v>
      </c>
      <c r="H82" s="113">
        <f>'Effluent Concentration'!AJ82</f>
        <v>1.1036501377410468</v>
      </c>
      <c r="I82" s="113">
        <f>'Effluent Concentration'!Z82-'Influent Concentration'!P82</f>
        <v>0</v>
      </c>
      <c r="J82" s="113">
        <f>'Effluent Concentration'!AA82-'Influent Concentration'!Q82</f>
        <v>2.323150191659891E-3</v>
      </c>
      <c r="K82" s="113">
        <f>'Effluent Concentration'!AC82-'Influent Concentration'!S82</f>
        <v>0</v>
      </c>
      <c r="L82" s="113">
        <f>'Effluent Concentration'!AB82-'Influent Concentration'!R82</f>
        <v>0</v>
      </c>
    </row>
    <row r="83" spans="1:12">
      <c r="A83" s="223">
        <f>'Effluent Concentration'!A83</f>
        <v>175.80694444444816</v>
      </c>
      <c r="B83" s="113">
        <f>'Effluent Concentration'!AD83-'Influent Concentration'!U83</f>
        <v>50.821815154038298</v>
      </c>
      <c r="C83" s="113">
        <f>'Effluent Concentration'!AE83-'Influent Concentration'!V83</f>
        <v>0.25107991360691145</v>
      </c>
      <c r="D83" s="113">
        <f>'Effluent Concentration'!AF83</f>
        <v>0.19067075246850529</v>
      </c>
      <c r="E83" s="113">
        <f>'Effluent Concentration'!AG83-'Influent Concentration'!W83</f>
        <v>15.775734876858472</v>
      </c>
      <c r="F83" s="113">
        <f>'Effluent Concentration'!AH83</f>
        <v>0.18016253794183887</v>
      </c>
      <c r="G83" s="113">
        <f>'Effluent Concentration'!AI83</f>
        <v>0.16253794183883286</v>
      </c>
      <c r="H83" s="113">
        <f>'Effluent Concentration'!AJ83</f>
        <v>1.1070936639118456</v>
      </c>
      <c r="I83" s="113">
        <f>'Effluent Concentration'!Z83-'Influent Concentration'!P83</f>
        <v>0</v>
      </c>
      <c r="J83" s="113">
        <f>'Effluent Concentration'!AA83-'Influent Concentration'!Q83</f>
        <v>2.323150191659891E-3</v>
      </c>
      <c r="K83" s="113">
        <f>'Effluent Concentration'!AC83-'Influent Concentration'!S83</f>
        <v>0</v>
      </c>
      <c r="L83" s="113">
        <f>'Effluent Concentration'!AB83-'Influent Concentration'!R83</f>
        <v>0</v>
      </c>
    </row>
    <row r="84" spans="1:12">
      <c r="A84" s="223">
        <f>'Effluent Concentration'!A84</f>
        <v>179.02430555555475</v>
      </c>
      <c r="B84" s="113">
        <f>'Effluent Concentration'!AD84-'Influent Concentration'!U84</f>
        <v>50.317235636969194</v>
      </c>
      <c r="C84" s="113">
        <f>'Effluent Concentration'!AE84-'Influent Concentration'!V84</f>
        <v>0.27672786177105835</v>
      </c>
      <c r="D84" s="113">
        <f>'Effluent Concentration'!AF84</f>
        <v>0.22471910112359553</v>
      </c>
      <c r="E84" s="113">
        <f>'Effluent Concentration'!AG84-'Influent Concentration'!W84</f>
        <v>15.396663261831801</v>
      </c>
      <c r="F84" s="113">
        <f>'Effluent Concentration'!AH84</f>
        <v>0.20757857632429261</v>
      </c>
      <c r="G84" s="113">
        <f>'Effluent Concentration'!AI84</f>
        <v>0.16253794183883286</v>
      </c>
      <c r="H84" s="113">
        <f>'Effluent Concentration'!AJ84</f>
        <v>1.1707988980716253</v>
      </c>
      <c r="I84" s="113">
        <f>'Effluent Concentration'!Z84-'Influent Concentration'!P84</f>
        <v>0</v>
      </c>
      <c r="J84" s="113">
        <f>'Effluent Concentration'!AA84-'Influent Concentration'!Q84</f>
        <v>2.323150191659891E-3</v>
      </c>
      <c r="K84" s="113">
        <f>'Effluent Concentration'!AC84-'Influent Concentration'!S84</f>
        <v>0</v>
      </c>
      <c r="L84" s="113">
        <f>'Effluent Concentration'!AB84-'Influent Concentration'!R84</f>
        <v>0</v>
      </c>
    </row>
    <row r="85" spans="1:12">
      <c r="A85" s="223">
        <f>'Effluent Concentration'!A85</f>
        <v>180.88125000000582</v>
      </c>
      <c r="B85" s="113">
        <f>'Effluent Concentration'!AD85-'Influent Concentration'!U85</f>
        <v>48.968359700249792</v>
      </c>
      <c r="C85" s="113">
        <f>'Effluent Concentration'!AE85-'Influent Concentration'!V85</f>
        <v>0.25917926565874727</v>
      </c>
      <c r="D85" s="113">
        <f>'Effluent Concentration'!AF85</f>
        <v>0.21109976166155944</v>
      </c>
      <c r="E85" s="113">
        <f>'Effluent Concentration'!AG85-'Influent Concentration'!W85</f>
        <v>15.109522188173873</v>
      </c>
      <c r="F85" s="113">
        <f>'Effluent Concentration'!AH85</f>
        <v>0.19876627827278956</v>
      </c>
      <c r="G85" s="113">
        <f>'Effluent Concentration'!AI85</f>
        <v>0.17037109566239106</v>
      </c>
      <c r="H85" s="113">
        <f>'Effluent Concentration'!AJ85</f>
        <v>1.1208677685950412</v>
      </c>
      <c r="I85" s="113">
        <f>'Effluent Concentration'!Z85-'Influent Concentration'!P85</f>
        <v>0</v>
      </c>
      <c r="J85" s="113">
        <f>'Effluent Concentration'!AA85-'Influent Concentration'!Q85</f>
        <v>2.323150191659891E-3</v>
      </c>
      <c r="K85" s="113">
        <f>'Effluent Concentration'!AC85-'Influent Concentration'!S85</f>
        <v>0</v>
      </c>
      <c r="L85" s="113">
        <f>'Effluent Concentration'!AB85-'Influent Concentration'!R85</f>
        <v>0</v>
      </c>
    </row>
    <row r="86" spans="1:12">
      <c r="A86" s="223">
        <f>'Effluent Concentration'!A86</f>
        <v>183.0048611111124</v>
      </c>
      <c r="B86" s="113">
        <f>'Effluent Concentration'!AD86-'Influent Concentration'!U86</f>
        <v>47.812656119900083</v>
      </c>
      <c r="C86" s="113">
        <f>'Effluent Concentration'!AE86-'Influent Concentration'!V86</f>
        <v>0.29427645788336937</v>
      </c>
      <c r="D86" s="113">
        <f>'Effluent Concentration'!AF86</f>
        <v>0.21336965157189874</v>
      </c>
      <c r="E86" s="113">
        <f>'Effluent Concentration'!AG86-'Influent Concentration'!W86</f>
        <v>14.596527068437183</v>
      </c>
      <c r="F86" s="113">
        <f>'Effluent Concentration'!AH86</f>
        <v>0.19582884558895527</v>
      </c>
      <c r="G86" s="113">
        <f>'Effluent Concentration'!AI86</f>
        <v>0.15960050915499852</v>
      </c>
      <c r="H86" s="113">
        <f>'Effluent Concentration'!AJ86</f>
        <v>1.100206611570248</v>
      </c>
      <c r="I86" s="113">
        <f>'Effluent Concentration'!Z86-'Influent Concentration'!P86</f>
        <v>0</v>
      </c>
      <c r="J86" s="113">
        <f>'Effluent Concentration'!AA86-'Influent Concentration'!Q86</f>
        <v>2.323150191659891E-3</v>
      </c>
      <c r="K86" s="113">
        <f>'Effluent Concentration'!AC86-'Influent Concentration'!S86</f>
        <v>0</v>
      </c>
      <c r="L86" s="113">
        <f>'Effluent Concentration'!AB86-'Influent Concentration'!R86</f>
        <v>2.4422735346358793E-2</v>
      </c>
    </row>
    <row r="87" spans="1:12">
      <c r="A87" s="223">
        <f>'Effluent Concentration'!A87</f>
        <v>186.01666666667006</v>
      </c>
      <c r="B87" s="113">
        <f>'Effluent Concentration'!AD87-'Influent Concentration'!U87</f>
        <v>47.304746044962535</v>
      </c>
      <c r="C87" s="113">
        <f>'Effluent Concentration'!AE87-'Influent Concentration'!V87</f>
        <v>0.23218142548596113</v>
      </c>
      <c r="D87" s="113">
        <f>'Effluent Concentration'!AF87</f>
        <v>0.20202020202020202</v>
      </c>
      <c r="E87" s="113">
        <f>'Effluent Concentration'!AG87-'Influent Concentration'!W87</f>
        <v>14.24242424242424</v>
      </c>
      <c r="F87" s="113">
        <f>'Effluent Concentration'!AH87</f>
        <v>0.17918339371389408</v>
      </c>
      <c r="G87" s="113">
        <f>'Effluent Concentration'!AI87</f>
        <v>0.13903848036815822</v>
      </c>
      <c r="H87" s="113">
        <f>'Effluent Concentration'!AJ87</f>
        <v>1.0451101928374655</v>
      </c>
      <c r="I87" s="113">
        <f>'Effluent Concentration'!Z87-'Influent Concentration'!P87</f>
        <v>0</v>
      </c>
      <c r="J87" s="113">
        <f>'Effluent Concentration'!AA87-'Influent Concentration'!Q87</f>
        <v>2.323150191659891E-3</v>
      </c>
      <c r="K87" s="113">
        <f>'Effluent Concentration'!AC87-'Influent Concentration'!S87</f>
        <v>0</v>
      </c>
      <c r="L87" s="113">
        <f>'Effluent Concentration'!AB87-'Influent Concentration'!R87</f>
        <v>0</v>
      </c>
    </row>
    <row r="88" spans="1:12">
      <c r="A88" s="223">
        <f>'Effluent Concentration'!A88</f>
        <v>187.90763888889342</v>
      </c>
      <c r="B88" s="113">
        <f>'Effluent Concentration'!AD88-'Influent Concentration'!U88</f>
        <v>47.293089092422974</v>
      </c>
      <c r="C88" s="113">
        <f>'Effluent Concentration'!AE88-'Influent Concentration'!V88</f>
        <v>0.23623110151187907</v>
      </c>
      <c r="D88" s="113">
        <f>'Effluent Concentration'!AF88</f>
        <v>0.21336965157189874</v>
      </c>
      <c r="E88" s="113">
        <f>'Effluent Concentration'!AG88-'Influent Concentration'!W88</f>
        <v>14.082397003745317</v>
      </c>
      <c r="F88" s="113">
        <f>'Effluent Concentration'!AH88</f>
        <v>0.18995398022128659</v>
      </c>
      <c r="G88" s="113">
        <f>'Effluent Concentration'!AI88</f>
        <v>0.16743366297855677</v>
      </c>
      <c r="H88" s="113">
        <f>'Effluent Concentration'!AJ88</f>
        <v>1.0563016528925619</v>
      </c>
      <c r="I88" s="113">
        <f>'Effluent Concentration'!Z88-'Influent Concentration'!P88</f>
        <v>0</v>
      </c>
      <c r="J88" s="113">
        <f>'Effluent Concentration'!AA88-'Influent Concentration'!Q88</f>
        <v>2.323150191659891E-3</v>
      </c>
      <c r="K88" s="113">
        <f>'Effluent Concentration'!AC88-'Influent Concentration'!S88</f>
        <v>0</v>
      </c>
      <c r="L88" s="113">
        <f>'Effluent Concentration'!AB88-'Influent Concentration'!R88</f>
        <v>0</v>
      </c>
    </row>
    <row r="89" spans="1:12">
      <c r="A89" s="223">
        <f>'Effluent Concentration'!A89</f>
        <v>189.92916666666861</v>
      </c>
      <c r="B89" s="113">
        <f>'Effluent Concentration'!AD89-'Influent Concentration'!U89</f>
        <v>46.618651124063277</v>
      </c>
      <c r="C89" s="113">
        <f>'Effluent Concentration'!AE89-'Influent Concentration'!V89</f>
        <v>0.25512958963282933</v>
      </c>
      <c r="D89" s="113">
        <f>'Effluent Concentration'!AF89</f>
        <v>0.2065599818408807</v>
      </c>
      <c r="E89" s="113">
        <f>'Effluent Concentration'!AG89-'Influent Concentration'!W89</f>
        <v>13.746453297015096</v>
      </c>
      <c r="F89" s="113">
        <f>'Effluent Concentration'!AH89</f>
        <v>0.17428767257417019</v>
      </c>
      <c r="G89" s="113">
        <f>'Effluent Concentration'!AI89</f>
        <v>0.15274649955938513</v>
      </c>
      <c r="H89" s="113">
        <f>'Effluent Concentration'!AJ89</f>
        <v>1.0528581267217632</v>
      </c>
      <c r="I89" s="113">
        <f>'Effluent Concentration'!Z89-'Influent Concentration'!P89</f>
        <v>0</v>
      </c>
      <c r="J89" s="113">
        <f>'Effluent Concentration'!AA89-'Influent Concentration'!Q89</f>
        <v>2.323150191659891E-3</v>
      </c>
      <c r="K89" s="113">
        <f>'Effluent Concentration'!AC89-'Influent Concentration'!S89</f>
        <v>0</v>
      </c>
      <c r="L89" s="113">
        <f>'Effluent Concentration'!AB89-'Influent Concentration'!R89</f>
        <v>0</v>
      </c>
    </row>
    <row r="90" spans="1:12">
      <c r="A90" s="223">
        <f>'Effluent Concentration'!A90</f>
        <v>192.90347222222772</v>
      </c>
      <c r="B90" s="113">
        <f>'Effluent Concentration'!AD90-'Influent Concentration'!U90</f>
        <v>47.144879267277268</v>
      </c>
      <c r="C90" s="113">
        <f>'Effluent Concentration'!AE90-'Influent Concentration'!V90</f>
        <v>0.23218142548596113</v>
      </c>
      <c r="D90" s="113">
        <f>'Effluent Concentration'!AF90</f>
        <v>0.19067075246850529</v>
      </c>
      <c r="E90" s="113">
        <f>'Effluent Concentration'!AG90-'Influent Concentration'!W90</f>
        <v>13.72942912268755</v>
      </c>
      <c r="F90" s="113">
        <f>'Effluent Concentration'!AH90</f>
        <v>0.17135023989033585</v>
      </c>
      <c r="G90" s="113">
        <f>'Effluent Concentration'!AI90</f>
        <v>0.14001762459610301</v>
      </c>
      <c r="H90" s="113">
        <f>'Effluent Concentration'!AJ90</f>
        <v>1.0339187327823691</v>
      </c>
      <c r="I90" s="113">
        <f>'Effluent Concentration'!Z90-'Influent Concentration'!P90</f>
        <v>0</v>
      </c>
      <c r="J90" s="113">
        <f>'Effluent Concentration'!AA90-'Influent Concentration'!Q90</f>
        <v>2.323150191659891E-3</v>
      </c>
      <c r="K90" s="113">
        <f>'Effluent Concentration'!AC90-'Influent Concentration'!S90</f>
        <v>0</v>
      </c>
      <c r="L90" s="113">
        <f>'Effluent Concentration'!AB90-'Influent Concentration'!R90</f>
        <v>0</v>
      </c>
    </row>
    <row r="91" spans="1:12">
      <c r="A91" s="223">
        <f>'Effluent Concentration'!A91</f>
        <v>194.88958333333721</v>
      </c>
      <c r="B91" s="113">
        <f>'Effluent Concentration'!AD91-'Influent Concentration'!U91</f>
        <v>47.181515403830147</v>
      </c>
      <c r="C91" s="113">
        <f>'Effluent Concentration'!AE91-'Influent Concentration'!V91</f>
        <v>0.22003239740820732</v>
      </c>
      <c r="D91" s="113">
        <f>'Effluent Concentration'!AF91</f>
        <v>0.20088525706503235</v>
      </c>
      <c r="E91" s="113">
        <f>'Effluent Concentration'!AG91-'Influent Concentration'!W91</f>
        <v>13.642038361139484</v>
      </c>
      <c r="F91" s="113">
        <f>'Effluent Concentration'!AH91</f>
        <v>0.16351708606677764</v>
      </c>
      <c r="G91" s="113">
        <f>'Effluent Concentration'!AI91</f>
        <v>0.14785077841966121</v>
      </c>
      <c r="H91" s="113">
        <f>'Effluent Concentration'!AJ91</f>
        <v>1.0227272727272729</v>
      </c>
      <c r="I91" s="113">
        <f>'Effluent Concentration'!Z91-'Influent Concentration'!P91</f>
        <v>0</v>
      </c>
      <c r="J91" s="113">
        <f>'Effluent Concentration'!AA91-'Influent Concentration'!Q91</f>
        <v>2.323150191659891E-3</v>
      </c>
      <c r="K91" s="113">
        <f>'Effluent Concentration'!AC91-'Influent Concentration'!S91</f>
        <v>0</v>
      </c>
      <c r="L91" s="113">
        <f>'Effluent Concentration'!AB91-'Influent Concentration'!R91</f>
        <v>0</v>
      </c>
    </row>
    <row r="92" spans="1:12">
      <c r="A92" s="223">
        <f>'Effluent Concentration'!A92</f>
        <v>196.91250000000582</v>
      </c>
      <c r="B92" s="113">
        <f>'Effluent Concentration'!AD92-'Influent Concentration'!U92</f>
        <v>41.992506244796004</v>
      </c>
      <c r="C92" s="113">
        <f>'Effluent Concentration'!AE92-'Influent Concentration'!V92</f>
        <v>0.15523758099352053</v>
      </c>
      <c r="D92" s="113">
        <f>'Effluent Concentration'!AF92</f>
        <v>0.19294064237884462</v>
      </c>
      <c r="E92" s="113">
        <f>'Effluent Concentration'!AG92-'Influent Concentration'!W92</f>
        <v>12.241516286460106</v>
      </c>
      <c r="F92" s="113">
        <f>'Effluent Concentration'!AH92</f>
        <v>0.14393420150788211</v>
      </c>
      <c r="G92" s="113">
        <f>'Effluent Concentration'!AI92</f>
        <v>0.13120532654460004</v>
      </c>
      <c r="H92" s="113">
        <f>'Effluent Concentration'!AJ92</f>
        <v>0.87465564738292012</v>
      </c>
      <c r="I92" s="113">
        <f>'Effluent Concentration'!Z92-'Influent Concentration'!P92</f>
        <v>0</v>
      </c>
      <c r="J92" s="113">
        <f>'Effluent Concentration'!AA92-'Influent Concentration'!Q92</f>
        <v>2.323150191659891E-3</v>
      </c>
      <c r="K92" s="113">
        <f>'Effluent Concentration'!AC92-'Influent Concentration'!S92</f>
        <v>0</v>
      </c>
      <c r="L92" s="113">
        <f>'Effluent Concentration'!AB92-'Influent Concentration'!R92</f>
        <v>2.8308170515097691E-2</v>
      </c>
    </row>
    <row r="93" spans="1:12">
      <c r="A93" s="223">
        <f>'Effluent Concentration'!A93</f>
        <v>199.89861111111531</v>
      </c>
      <c r="B93" s="113">
        <f>'Effluent Concentration'!AD93-'Influent Concentration'!U93</f>
        <v>36.695253955037472</v>
      </c>
      <c r="C93" s="113">
        <f>'Effluent Concentration'!AE93-'Influent Concentration'!V93</f>
        <v>0.13093952483801297</v>
      </c>
      <c r="D93" s="113">
        <f>'Effluent Concentration'!AF93</f>
        <v>0.15548745885824539</v>
      </c>
      <c r="E93" s="113">
        <f>'Effluent Concentration'!AG93-'Influent Concentration'!W93</f>
        <v>10.422199523323119</v>
      </c>
      <c r="F93" s="113">
        <f>'Effluent Concentration'!AH93</f>
        <v>0.11847645158131793</v>
      </c>
      <c r="G93" s="113">
        <f>'Effluent Concentration'!AI93</f>
        <v>0.11749730735337316</v>
      </c>
      <c r="H93" s="113">
        <f>'Effluent Concentration'!AJ93</f>
        <v>0.76274104683195587</v>
      </c>
      <c r="I93" s="113">
        <f>'Effluent Concentration'!Z93-'Influent Concentration'!P93</f>
        <v>0</v>
      </c>
      <c r="J93" s="113">
        <f>'Effluent Concentration'!AA93-'Influent Concentration'!Q93</f>
        <v>2.323150191659891E-3</v>
      </c>
      <c r="K93" s="113">
        <f>'Effluent Concentration'!AC93-'Influent Concentration'!S93</f>
        <v>0</v>
      </c>
      <c r="L93" s="113">
        <f>'Effluent Concentration'!AB93-'Influent Concentration'!R93</f>
        <v>2.9418294849023096E-2</v>
      </c>
    </row>
  </sheetData>
  <mergeCells count="4">
    <mergeCell ref="Q13:R13"/>
    <mergeCell ref="S13:T13"/>
    <mergeCell ref="U13:V13"/>
    <mergeCell ref="W13:X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64C5E9-DEE0-4322-B108-285E52548FB7}">
  <dimension ref="A1:M94"/>
  <sheetViews>
    <sheetView tabSelected="1" workbookViewId="0">
      <selection activeCell="T26" sqref="T26"/>
    </sheetView>
  </sheetViews>
  <sheetFormatPr defaultRowHeight="15"/>
  <cols>
    <col min="1" max="1" width="9.42578125" customWidth="1"/>
    <col min="2" max="2" width="13.5703125" bestFit="1" customWidth="1"/>
    <col min="3" max="3" width="9.85546875" bestFit="1" customWidth="1"/>
    <col min="4" max="4" width="12" bestFit="1" customWidth="1"/>
    <col min="5" max="5" width="9" bestFit="1" customWidth="1"/>
    <col min="6" max="6" width="17.42578125" bestFit="1" customWidth="1"/>
    <col min="7" max="7" width="9.5703125" bestFit="1" customWidth="1"/>
    <col min="11" max="11" width="16" bestFit="1" customWidth="1"/>
  </cols>
  <sheetData>
    <row r="1" spans="1:13">
      <c r="E1" t="s">
        <v>169</v>
      </c>
    </row>
    <row r="2" spans="1:13">
      <c r="B2" t="s">
        <v>155</v>
      </c>
      <c r="C2" t="s">
        <v>155</v>
      </c>
      <c r="D2" t="s">
        <v>155</v>
      </c>
      <c r="E2" t="s">
        <v>96</v>
      </c>
      <c r="F2" t="s">
        <v>160</v>
      </c>
      <c r="K2" t="s">
        <v>161</v>
      </c>
    </row>
    <row r="3" spans="1:13" ht="17.25">
      <c r="A3" t="s">
        <v>141</v>
      </c>
      <c r="B3" t="s">
        <v>154</v>
      </c>
      <c r="C3" t="s">
        <v>156</v>
      </c>
      <c r="D3" t="s">
        <v>157</v>
      </c>
      <c r="E3" t="s">
        <v>158</v>
      </c>
      <c r="F3" t="s">
        <v>159</v>
      </c>
      <c r="K3" t="s">
        <v>162</v>
      </c>
      <c r="L3">
        <v>1.0389999999999999</v>
      </c>
      <c r="M3" t="s">
        <v>163</v>
      </c>
    </row>
    <row r="4" spans="1:13">
      <c r="A4" s="113">
        <f>'Effluent Concentration'!A4</f>
        <v>0</v>
      </c>
      <c r="B4" s="119" t="s">
        <v>164</v>
      </c>
      <c r="C4" s="119" t="s">
        <v>164</v>
      </c>
      <c r="D4">
        <f>SUM(B4:C4)</f>
        <v>0</v>
      </c>
      <c r="E4" s="119" t="s">
        <v>164</v>
      </c>
      <c r="F4" s="119" t="s">
        <v>164</v>
      </c>
      <c r="G4" s="116"/>
      <c r="H4" s="123"/>
      <c r="M4" t="s">
        <v>166</v>
      </c>
    </row>
    <row r="5" spans="1:13">
      <c r="A5" s="113">
        <f>'Effluent Concentration'!A5</f>
        <v>0.95138888889050577</v>
      </c>
      <c r="B5" s="119" t="s">
        <v>164</v>
      </c>
      <c r="C5" s="119" t="s">
        <v>164</v>
      </c>
      <c r="D5">
        <f t="shared" ref="D5:D68" si="0">SUM(B5:C5)</f>
        <v>0</v>
      </c>
      <c r="E5" s="119" t="s">
        <v>164</v>
      </c>
      <c r="F5" s="119" t="s">
        <v>164</v>
      </c>
      <c r="G5" s="116"/>
      <c r="H5" s="123"/>
    </row>
    <row r="6" spans="1:13">
      <c r="A6" s="113">
        <f>'Effluent Concentration'!A6</f>
        <v>4.0208333333357587</v>
      </c>
      <c r="B6" s="119" t="s">
        <v>164</v>
      </c>
      <c r="C6" s="119" t="s">
        <v>164</v>
      </c>
      <c r="D6">
        <f t="shared" si="0"/>
        <v>0</v>
      </c>
      <c r="E6" s="119" t="s">
        <v>164</v>
      </c>
      <c r="F6" s="119" t="s">
        <v>164</v>
      </c>
      <c r="G6" s="116"/>
      <c r="H6" s="123"/>
      <c r="K6" t="s">
        <v>167</v>
      </c>
      <c r="L6">
        <v>56.105600000000003</v>
      </c>
      <c r="M6" t="s">
        <v>168</v>
      </c>
    </row>
    <row r="7" spans="1:13">
      <c r="A7" s="113">
        <f>'Effluent Concentration'!A7</f>
        <v>5.7222222222262644</v>
      </c>
      <c r="B7" s="119" t="s">
        <v>164</v>
      </c>
      <c r="C7" s="119" t="s">
        <v>164</v>
      </c>
      <c r="D7">
        <f t="shared" si="0"/>
        <v>0</v>
      </c>
      <c r="E7" s="119" t="s">
        <v>164</v>
      </c>
      <c r="F7" s="119" t="s">
        <v>164</v>
      </c>
      <c r="G7" s="116"/>
      <c r="H7" s="123"/>
    </row>
    <row r="8" spans="1:13">
      <c r="A8" s="113">
        <f>'Effluent Concentration'!A8</f>
        <v>6.7687500000029104</v>
      </c>
      <c r="B8" s="120">
        <f>('lab journal'!R5-'lab journal'!R6)/('lab journal'!W6-'lab journal'!W5)</f>
        <v>533.09621765153872</v>
      </c>
      <c r="C8" s="120">
        <f>('lab journal'!K5-'lab journal'!K6)/('lab journal'!W6-'lab journal'!W5)/$L$3</f>
        <v>43.914411603772948</v>
      </c>
      <c r="D8">
        <f t="shared" si="0"/>
        <v>577.01062925531164</v>
      </c>
      <c r="E8" s="113">
        <f>AVERAGE('lab journal'!I5:I6)/1000/(D8/1000)</f>
        <v>2.0796843925539408</v>
      </c>
      <c r="F8" s="113">
        <f>C8*$L$3/$L$6*1000</f>
        <v>813.23564236582592</v>
      </c>
      <c r="G8" s="116"/>
      <c r="H8" s="123"/>
    </row>
    <row r="9" spans="1:13">
      <c r="A9" s="113">
        <f>'Effluent Concentration'!A9</f>
        <v>7.7881944444452529</v>
      </c>
      <c r="B9" s="121">
        <f>AVERAGE(B8,B12)</f>
        <v>553.05213445134871</v>
      </c>
      <c r="C9" s="120">
        <f>('lab journal'!K7-'lab journal'!K6)/('lab journal'!W7-'lab journal'!W6)/$L$3</f>
        <v>45.081075127350616</v>
      </c>
      <c r="D9">
        <f t="shared" si="0"/>
        <v>598.13320957869928</v>
      </c>
      <c r="E9" s="113">
        <f>AVERAGE('lab journal'!I6:I7)/1000/(D9/1000)</f>
        <v>2.0981948166428861</v>
      </c>
      <c r="F9" s="113">
        <f t="shared" ref="F9:F72" si="1">C9*$L$3/$L$6*1000</f>
        <v>834.84067646219421</v>
      </c>
      <c r="G9" s="116"/>
      <c r="H9" s="123"/>
    </row>
    <row r="10" spans="1:13">
      <c r="A10" s="113">
        <f>'Effluent Concentration'!A10</f>
        <v>10.788194444445253</v>
      </c>
      <c r="B10" s="121">
        <f>AVERAGE(B8,B12)</f>
        <v>553.05213445134871</v>
      </c>
      <c r="C10" s="120">
        <f>('lab journal'!K7-'lab journal'!K8)/('lab journal'!W8-'lab journal'!W7)/$L$3</f>
        <v>25.678537054860449</v>
      </c>
      <c r="D10">
        <f t="shared" si="0"/>
        <v>578.73067150620921</v>
      </c>
      <c r="E10" s="113">
        <f>AVERAGE('lab journal'!I7:I8)/1000/(D10/1000)</f>
        <v>2.1512597505153011</v>
      </c>
      <c r="F10" s="113">
        <f t="shared" si="1"/>
        <v>475.53185421776084</v>
      </c>
      <c r="G10" s="116"/>
      <c r="H10" s="123"/>
    </row>
    <row r="11" spans="1:13">
      <c r="A11" s="113">
        <f>'Effluent Concentration'!A11</f>
        <v>12.790972222224809</v>
      </c>
      <c r="B11" s="121">
        <f>AVERAGE(B8,B12)</f>
        <v>553.05213445134871</v>
      </c>
      <c r="C11" s="120">
        <f>('lab journal'!K8-'lab journal'!K9)/('lab journal'!W9-'lab journal'!W8)/$L$3</f>
        <v>24.729849329657302</v>
      </c>
      <c r="D11">
        <f t="shared" si="0"/>
        <v>577.78198378100603</v>
      </c>
      <c r="E11" s="113">
        <f>AVERAGE('lab journal'!I8:I9)/1000/(D11/1000)</f>
        <v>2.1634457893961985</v>
      </c>
      <c r="F11" s="113">
        <f t="shared" si="1"/>
        <v>457.96343775868957</v>
      </c>
      <c r="G11" s="116"/>
      <c r="H11" s="123"/>
    </row>
    <row r="12" spans="1:13">
      <c r="A12" s="113">
        <f>'Effluent Concentration'!A12</f>
        <v>14.790277777778101</v>
      </c>
      <c r="B12" s="120">
        <f>('lab journal'!S6-'lab journal'!R11)/('lab journal'!W11-'lab journal'!W6)</f>
        <v>573.00805125115869</v>
      </c>
      <c r="C12" s="120">
        <f>('lab journal'!K9-'lab journal'!K11)/('lab journal'!W11-'lab journal'!W9)/$L$3</f>
        <v>25.831876042433823</v>
      </c>
      <c r="D12">
        <f t="shared" si="0"/>
        <v>598.8399272935925</v>
      </c>
      <c r="E12" s="113">
        <f>AVERAGE('lab journal'!I9,'lab journal'!I11)/1000/(D12/1000)</f>
        <v>2.0873691666640726</v>
      </c>
      <c r="F12" s="113">
        <f t="shared" si="1"/>
        <v>478.37148534350825</v>
      </c>
      <c r="G12" s="116"/>
      <c r="H12" s="123"/>
    </row>
    <row r="13" spans="1:13">
      <c r="A13" s="113">
        <f>'Effluent Concentration'!A13</f>
        <v>17.790277777778101</v>
      </c>
      <c r="B13" s="121">
        <f>AVERAGE(B12,B16)</f>
        <v>533.67331264579423</v>
      </c>
      <c r="C13" s="120">
        <f>('lab journal'!K11-'lab journal'!K12)/('lab journal'!W12-'lab journal'!W11)/$L$3</f>
        <v>26.323387872954761</v>
      </c>
      <c r="D13">
        <f t="shared" si="0"/>
        <v>559.99670051874898</v>
      </c>
      <c r="E13" s="113">
        <f>AVERAGE('lab journal'!I11:I12)/1000/(D13/1000)</f>
        <v>2.2321560088516081</v>
      </c>
      <c r="F13" s="113">
        <f t="shared" si="1"/>
        <v>487.47362117150504</v>
      </c>
      <c r="G13" s="116"/>
      <c r="H13" s="123"/>
    </row>
    <row r="14" spans="1:13">
      <c r="A14" s="113">
        <f>'Effluent Concentration'!A14</f>
        <v>19.788194444445253</v>
      </c>
      <c r="B14" s="121">
        <f>AVERAGE(B12,B16)</f>
        <v>533.67331264579423</v>
      </c>
      <c r="C14" s="120">
        <f>('lab journal'!K12-'lab journal'!K13)/('lab journal'!W13-'lab journal'!W12)/$L$3</f>
        <v>25.401821154328292</v>
      </c>
      <c r="D14">
        <f t="shared" si="0"/>
        <v>559.07513380012256</v>
      </c>
      <c r="E14" s="113">
        <f>AVERAGE('lab journal'!I12:I13)/1000/(D14/1000)</f>
        <v>2.2358354439832646</v>
      </c>
      <c r="F14" s="113">
        <f t="shared" si="1"/>
        <v>470.40744915564744</v>
      </c>
      <c r="G14" s="116"/>
      <c r="H14" s="123"/>
    </row>
    <row r="15" spans="1:13">
      <c r="A15" s="113">
        <f>'Effluent Concentration'!A15</f>
        <v>21.788194444445253</v>
      </c>
      <c r="B15" s="121">
        <f>AVERAGE(B16,B12)</f>
        <v>533.67331264579423</v>
      </c>
      <c r="C15" s="120">
        <f>('lab journal'!L13-'lab journal'!K14)/('lab journal'!W14-'lab journal'!W13)/$L$3</f>
        <v>41.96342637151109</v>
      </c>
      <c r="D15">
        <f t="shared" si="0"/>
        <v>575.63673901730533</v>
      </c>
      <c r="E15" s="113">
        <f>AVERAGE('lab journal'!I13:I14)/1000/(D15/1000)</f>
        <v>2.1715083754625004</v>
      </c>
      <c r="F15" s="113">
        <f t="shared" si="1"/>
        <v>777.10602863172335</v>
      </c>
      <c r="G15" s="116"/>
      <c r="H15" s="123"/>
    </row>
    <row r="16" spans="1:13">
      <c r="A16" s="113">
        <f>'Effluent Concentration'!A16</f>
        <v>24.75</v>
      </c>
      <c r="B16" s="120">
        <f>('lab journal'!R15-'lab journal'!S16+'lab journal'!S15)/('lab journal'!W16-'lab journal'!W15)</f>
        <v>494.33857404042971</v>
      </c>
      <c r="C16" s="120">
        <f>('lab journal'!K14-'lab journal'!K16)/('lab journal'!W16-'lab journal'!W14)/$L$3</f>
        <v>91.573306915435353</v>
      </c>
      <c r="D16">
        <f t="shared" si="0"/>
        <v>585.91188095586506</v>
      </c>
      <c r="E16" s="113">
        <f>AVERAGE('lab journal'!I14,'lab journal'!I16)/1000/(D16/1000)</f>
        <v>2.1334266135049726</v>
      </c>
      <c r="F16" s="113">
        <f t="shared" si="1"/>
        <v>1695.8140699883313</v>
      </c>
      <c r="G16" s="113"/>
    </row>
    <row r="17" spans="1:7">
      <c r="A17" s="113">
        <f>'Effluent Concentration'!A17</f>
        <v>26.75</v>
      </c>
      <c r="B17" s="120">
        <f>('lab journal'!R16-'lab journal'!R17)/('lab journal'!W17-'lab journal'!W16)</f>
        <v>590.84999999999991</v>
      </c>
      <c r="C17" s="120">
        <f>('lab journal'!L16-'lab journal'!K17)/('lab journal'!W17-'lab journal'!W16)/$L$3</f>
        <v>61.453320500481205</v>
      </c>
      <c r="D17">
        <f t="shared" si="0"/>
        <v>652.30332050048116</v>
      </c>
      <c r="E17" s="113">
        <f>AVERAGE('lab journal'!I16:I17)/1000/(D17/1000)</f>
        <v>1.916286427977915</v>
      </c>
      <c r="F17" s="113">
        <f t="shared" si="1"/>
        <v>1138.0325671590708</v>
      </c>
      <c r="G17" s="113"/>
    </row>
    <row r="18" spans="1:7">
      <c r="A18" s="113">
        <f>'Effluent Concentration'!A18</f>
        <v>28.75</v>
      </c>
      <c r="B18" s="120">
        <f>('lab journal'!R17-'lab journal'!R18)/('lab journal'!W18-'lab journal'!W17)</f>
        <v>537.65000000000009</v>
      </c>
      <c r="C18" s="120">
        <f>('lab journal'!K17-'lab journal'!K18)/('lab journal'!W18-'lab journal'!W17)/$L$3</f>
        <v>27.815206929740171</v>
      </c>
      <c r="D18">
        <f t="shared" si="0"/>
        <v>565.46520692974025</v>
      </c>
      <c r="E18" s="113">
        <f>AVERAGE('lab journal'!I17:I18)/1000/(D18/1000)</f>
        <v>2.2105692528582295</v>
      </c>
      <c r="F18" s="113">
        <f t="shared" si="1"/>
        <v>515.10009696001885</v>
      </c>
      <c r="G18" s="113"/>
    </row>
    <row r="19" spans="1:7">
      <c r="A19" s="113">
        <f>'Effluent Concentration'!A19</f>
        <v>31.75</v>
      </c>
      <c r="B19" s="120">
        <f>('lab journal'!R18-'lab journal'!R19)/('lab journal'!W19-'lab journal'!W18)</f>
        <v>547.09999999999991</v>
      </c>
      <c r="C19" s="120">
        <f>('lab journal'!K18-'lab journal'!K19)/('lab journal'!W19-'lab journal'!W18)/$L$3</f>
        <v>29.194738530638435</v>
      </c>
      <c r="D19">
        <f t="shared" si="0"/>
        <v>576.29473853063837</v>
      </c>
      <c r="E19" s="113">
        <f>AVERAGE('lab journal'!I18:I19)/1000/(D19/1000)</f>
        <v>2.1690289992705605</v>
      </c>
      <c r="F19" s="113">
        <f t="shared" si="1"/>
        <v>540.64716059240675</v>
      </c>
      <c r="G19" s="113"/>
    </row>
    <row r="20" spans="1:7">
      <c r="A20" s="113">
        <f>'Effluent Concentration'!A20</f>
        <v>33.761111111110949</v>
      </c>
      <c r="B20" s="120">
        <f>('lab journal'!R19-'lab journal'!S19+'lab journal'!S20-'lab journal'!R20)/('lab journal'!W20-'lab journal'!W19)</f>
        <v>539.00552486192134</v>
      </c>
      <c r="C20" s="120">
        <f>('lab journal'!K19-'lab journal'!K20)/('lab journal'!W20-'lab journal'!W19)/$L$3</f>
        <v>25.61802413072698</v>
      </c>
      <c r="D20">
        <f t="shared" si="0"/>
        <v>564.62354899264835</v>
      </c>
      <c r="E20" s="113">
        <f>AVERAGE('lab journal'!I19:I20)/1000/(D20/1000)</f>
        <v>2.2138644451336469</v>
      </c>
      <c r="F20" s="113">
        <f t="shared" si="1"/>
        <v>474.41123652229595</v>
      </c>
      <c r="G20" s="113"/>
    </row>
    <row r="21" spans="1:7">
      <c r="A21" s="113">
        <f>'Effluent Concentration'!A21</f>
        <v>35.759722222224809</v>
      </c>
      <c r="B21" s="120">
        <f>('lab journal'!R20-'lab journal'!R21)/('lab journal'!W21-'lab journal'!W20)</f>
        <v>552.28353022856641</v>
      </c>
      <c r="C21" s="120">
        <f>('lab journal'!K20-'lab journal'!K21)/('lab journal'!W21-'lab journal'!W20)/$L$3</f>
        <v>26.375390352985313</v>
      </c>
      <c r="D21">
        <f t="shared" si="0"/>
        <v>578.65892058155168</v>
      </c>
      <c r="E21" s="113">
        <f>AVERAGE('lab journal'!I20:I21)/1000/(D21/1000)</f>
        <v>2.1601671650438763</v>
      </c>
      <c r="F21" s="113">
        <f t="shared" si="1"/>
        <v>488.43663692664796</v>
      </c>
      <c r="G21" s="113"/>
    </row>
    <row r="22" spans="1:7">
      <c r="A22" s="113">
        <f>'Effluent Concentration'!A22</f>
        <v>38.75</v>
      </c>
      <c r="B22" s="120">
        <f>('lab journal'!R21-'lab journal'!R22)/('lab journal'!W22-'lab journal'!W21)</f>
        <v>524.1319089646895</v>
      </c>
      <c r="C22" s="120">
        <f>('lab journal'!K21-'lab journal'!L21+'lab journal'!L22-'lab journal'!K22)/('lab journal'!W22-'lab journal'!W21)/$L$3</f>
        <v>28.027950345290829</v>
      </c>
      <c r="D22">
        <f t="shared" si="0"/>
        <v>552.15985930998033</v>
      </c>
      <c r="E22" s="113">
        <f>AVERAGE('lab journal'!I21:I22)/1000/(D22/1000)</f>
        <v>2.2638371459346796</v>
      </c>
      <c r="F22" s="113">
        <f t="shared" si="1"/>
        <v>519.03981792828472</v>
      </c>
      <c r="G22" s="113"/>
    </row>
    <row r="23" spans="1:7">
      <c r="A23" s="113">
        <f>'Effluent Concentration'!A23</f>
        <v>40.759722222224809</v>
      </c>
      <c r="B23" s="120">
        <f>('lab journal'!R22-'lab journal'!R23)/('lab journal'!W23-'lab journal'!W22)</f>
        <v>523.35590877610571</v>
      </c>
      <c r="C23" s="120">
        <f>('lab journal'!K22-'lab journal'!K23)/('lab journal'!W23-'lab journal'!W22)/$L$3</f>
        <v>38.360206274523563</v>
      </c>
      <c r="D23">
        <f t="shared" si="0"/>
        <v>561.71611505062924</v>
      </c>
      <c r="E23" s="113">
        <f>AVERAGE('lab journal'!I22:I23)/1000/(D23/1000)</f>
        <v>2.2253233733330466</v>
      </c>
      <c r="F23" s="113">
        <f t="shared" si="1"/>
        <v>710.37925482001754</v>
      </c>
      <c r="G23" s="113"/>
    </row>
    <row r="24" spans="1:7">
      <c r="A24" s="113">
        <f>'Effluent Concentration'!A24</f>
        <v>42.725694444445253</v>
      </c>
      <c r="B24" s="120">
        <f>('lab journal'!S23-'lab journal'!R24)/('lab journal'!W24-'lab journal'!W23)</f>
        <v>522.23525256140488</v>
      </c>
      <c r="C24" s="120">
        <f>('lab journal'!K23-'lab journal'!K24)/('lab journal'!W24-'lab journal'!W23)/$L$3</f>
        <v>30.940273861976493</v>
      </c>
      <c r="D24">
        <f t="shared" si="0"/>
        <v>553.17552642338137</v>
      </c>
      <c r="E24" s="113">
        <f>AVERAGE('lab journal'!I23:I24)/1000/(D24/1000)</f>
        <v>2.2596805901410999</v>
      </c>
      <c r="F24" s="113">
        <f t="shared" si="1"/>
        <v>572.97211940686088</v>
      </c>
      <c r="G24" s="113"/>
    </row>
    <row r="25" spans="1:7">
      <c r="A25" s="113">
        <f>'Effluent Concentration'!A25</f>
        <v>42.944444444445253</v>
      </c>
      <c r="B25" s="120">
        <f>('lab journal'!R24-'lab journal'!R25)/('lab journal'!W25-'lab journal'!W24)</f>
        <v>740.11428571428405</v>
      </c>
      <c r="C25" s="120">
        <f>('lab journal'!K24-'lab journal'!K25)/('lab journal'!W25-'lab journal'!W24)/$L$3</f>
        <v>23.319125532792324</v>
      </c>
      <c r="D25">
        <f t="shared" si="0"/>
        <v>763.43341124707638</v>
      </c>
      <c r="E25" s="113">
        <f>AVERAGE('lab journal'!I24:I25)/1000/(D25/1000)</f>
        <v>1.6700867177364875</v>
      </c>
      <c r="F25" s="113">
        <f t="shared" si="1"/>
        <v>431.83873674947284</v>
      </c>
      <c r="G25" s="113"/>
    </row>
    <row r="26" spans="1:7">
      <c r="A26" s="113">
        <f>'Effluent Concentration'!A26</f>
        <v>45.740277777782467</v>
      </c>
      <c r="B26" s="120">
        <f>('lab journal'!R25-'lab journal'!R26)/('lab journal'!W26-'lab journal'!W25)</f>
        <v>499.95827123626589</v>
      </c>
      <c r="C26" s="120">
        <f>('lab journal'!K25-'lab journal'!K26)/('lab journal'!W26-'lab journal'!W25)/$L$3</f>
        <v>32.325017320002353</v>
      </c>
      <c r="D26">
        <f t="shared" si="0"/>
        <v>532.28328855626819</v>
      </c>
      <c r="E26" s="113">
        <f>AVERAGE('lab journal'!I25:I26)/1000/(D26/1000)</f>
        <v>2.3718572931799642</v>
      </c>
      <c r="F26" s="113">
        <f t="shared" si="1"/>
        <v>598.61569960008342</v>
      </c>
      <c r="G26" s="113"/>
    </row>
    <row r="27" spans="1:7">
      <c r="A27" s="113">
        <f>'Effluent Concentration'!A27</f>
        <v>47.751388888893416</v>
      </c>
      <c r="B27" s="120">
        <f>('lab journal'!R26-'lab journal'!R27)/('lab journal'!W27-'lab journal'!W26)</f>
        <v>489.3314917127467</v>
      </c>
      <c r="C27" s="120">
        <f>('lab journal'!K26-'lab journal'!K27)/('lab journal'!W27-'lab journal'!W26)/$L$3</f>
        <v>31.85861883770778</v>
      </c>
      <c r="D27">
        <f t="shared" si="0"/>
        <v>521.19011055045451</v>
      </c>
      <c r="E27" s="113">
        <f>AVERAGE('lab journal'!I26:I27)/1000/(D27/1000)</f>
        <v>2.3503899540730298</v>
      </c>
      <c r="F27" s="113">
        <f t="shared" si="1"/>
        <v>589.9786290918978</v>
      </c>
      <c r="G27" s="113"/>
    </row>
    <row r="28" spans="1:7">
      <c r="A28" s="113">
        <f>'Effluent Concentration'!A28</f>
        <v>48.746527777781012</v>
      </c>
      <c r="B28" s="120">
        <f>('lab journal'!R27-'lab journal'!R28)/('lab journal'!W28-'lab journal'!W27)</f>
        <v>710.85554780273799</v>
      </c>
      <c r="C28" s="120">
        <f>('lab journal'!K27-'lab journal'!K28)/('lab journal'!W28-'lab journal'!W27)/$L$3</f>
        <v>43.899637783179614</v>
      </c>
      <c r="D28">
        <f t="shared" si="0"/>
        <v>754.75518558591762</v>
      </c>
      <c r="E28" s="113">
        <f>AVERAGE('lab journal'!I27:I28)/1000/(D28/1000)</f>
        <v>1.7389744715448419</v>
      </c>
      <c r="F28" s="113">
        <f t="shared" si="1"/>
        <v>812.96205114504801</v>
      </c>
      <c r="G28" s="113"/>
    </row>
    <row r="29" spans="1:7">
      <c r="A29" s="113">
        <f>'Effluent Concentration'!A29</f>
        <v>49.74861111111386</v>
      </c>
      <c r="B29" s="120">
        <f>('lab journal'!S28-'lab journal'!R29)/('lab journal'!W29-'lab journal'!W28)</f>
        <v>398.37006237025503</v>
      </c>
      <c r="C29" s="120">
        <f>('lab journal'!K28-'lab journal'!K29)/('lab journal'!W29-'lab journal'!W28)/$L$3</f>
        <v>39.724747328231444</v>
      </c>
      <c r="D29">
        <f t="shared" si="0"/>
        <v>438.09480969848647</v>
      </c>
      <c r="E29" s="113">
        <f>AVERAGE('lab journal'!I28:I29)/1000/(D29/1000)</f>
        <v>2.9959268426469432</v>
      </c>
      <c r="F29" s="113">
        <f t="shared" si="1"/>
        <v>735.64871374751294</v>
      </c>
      <c r="G29" s="113"/>
    </row>
    <row r="30" spans="1:7">
      <c r="A30" s="113">
        <f>'Effluent Concentration'!A30</f>
        <v>52.738194444449618</v>
      </c>
      <c r="B30" s="120">
        <f>('lab journal'!R29-'lab journal'!R30)/('lab journal'!W30-'lab journal'!W29)</f>
        <v>491.77421602747557</v>
      </c>
      <c r="C30" s="120">
        <f>('lab journal'!K29-'lab journal'!K30)/('lab journal'!W30-'lab journal'!W29)/$L$3</f>
        <v>31.29570445983785</v>
      </c>
      <c r="D30">
        <f t="shared" si="0"/>
        <v>523.06992048731342</v>
      </c>
      <c r="E30" s="113">
        <f>AVERAGE('lab journal'!I29:I30)/1000/(D30/1000)</f>
        <v>2.3515020685075556</v>
      </c>
      <c r="F30" s="113">
        <f t="shared" si="1"/>
        <v>579.55421444154456</v>
      </c>
      <c r="G30" s="113"/>
    </row>
    <row r="31" spans="1:7">
      <c r="A31" s="113">
        <f>'Effluent Concentration'!A31</f>
        <v>54.743055555554747</v>
      </c>
      <c r="B31" s="120">
        <f>('lab journal'!R30-'lab journal'!R31)/('lab journal'!W31-'lab journal'!W30)</f>
        <v>491.25597506208271</v>
      </c>
      <c r="C31" s="120">
        <f>('lab journal'!K30-'lab journal'!L30+'lab journal'!L31-'lab journal'!K31)/('lab journal'!W31-'lab journal'!W30)/$L$3</f>
        <v>41.578440808593761</v>
      </c>
      <c r="D31">
        <f t="shared" si="0"/>
        <v>532.83441587067648</v>
      </c>
      <c r="E31" s="113">
        <f>AVERAGE('lab journal'!I30:I31)/1000/(D31/1000)</f>
        <v>2.3318688939596677</v>
      </c>
      <c r="F31" s="113">
        <f t="shared" si="1"/>
        <v>769.97661552730767</v>
      </c>
      <c r="G31" s="113"/>
    </row>
    <row r="32" spans="1:7">
      <c r="A32" s="113">
        <f>'Effluent Concentration'!A32</f>
        <v>56.75</v>
      </c>
      <c r="B32" s="120">
        <f>('lab journal'!R31-'lab journal'!R32)/('lab journal'!W32-'lab journal'!W31)</f>
        <v>500.66159169529993</v>
      </c>
      <c r="C32" s="120">
        <f>('lab journal'!K31-'lab journal'!K32)/('lab journal'!W32-'lab journal'!W31)/$L$3</f>
        <v>34.336982259345227</v>
      </c>
      <c r="D32">
        <f t="shared" si="0"/>
        <v>534.99857395464517</v>
      </c>
      <c r="E32" s="113">
        <f>AVERAGE('lab journal'!I31:I32)/1000/(D32/1000)</f>
        <v>2.3364548259636475</v>
      </c>
      <c r="F32" s="113">
        <f t="shared" si="1"/>
        <v>635.87457521993679</v>
      </c>
      <c r="G32" s="113"/>
    </row>
    <row r="33" spans="1:7">
      <c r="A33" s="113">
        <f>'Effluent Concentration'!A33</f>
        <v>59.74722222222772</v>
      </c>
      <c r="B33" s="120">
        <f>('lab journal'!R32-'lab journal'!R33+'lab journal'!S33-'lab journal'!S32)/('lab journal'!W33-'lab journal'!W32)</f>
        <v>479.3104726589911</v>
      </c>
      <c r="C33" s="120">
        <f>('lab journal'!K32-'lab journal'!K33)/('lab journal'!W33-'lab journal'!W32)/$L$3</f>
        <v>34.680812537121483</v>
      </c>
      <c r="D33">
        <f t="shared" si="0"/>
        <v>513.99128519611259</v>
      </c>
      <c r="E33" s="113">
        <f>AVERAGE('lab journal'!I32:I33)/1000/(D33/1000)</f>
        <v>2.4319478481489516</v>
      </c>
      <c r="F33" s="113">
        <f t="shared" si="1"/>
        <v>642.24184798075805</v>
      </c>
      <c r="G33" s="113"/>
    </row>
    <row r="34" spans="1:7">
      <c r="A34" s="113">
        <f>'Effluent Concentration'!A34</f>
        <v>61.711111111115315</v>
      </c>
      <c r="B34" s="120">
        <f>('lab journal'!R33-'lab journal'!R34)/('lab journal'!W34-'lab journal'!W33)</f>
        <v>478.28571428602942</v>
      </c>
      <c r="C34" s="120">
        <f>('lab journal'!K33-'lab journal'!K34)/('lab journal'!W34-'lab journal'!W33)/$L$3</f>
        <v>39.010418297458372</v>
      </c>
      <c r="D34">
        <f t="shared" si="0"/>
        <v>517.29613258348775</v>
      </c>
      <c r="E34" s="113">
        <f>AVERAGE('lab journal'!I33:I34)/1000/(D34/1000)</f>
        <v>2.3680826567987037</v>
      </c>
      <c r="F34" s="113">
        <f t="shared" si="1"/>
        <v>722.42030405270134</v>
      </c>
      <c r="G34" s="113"/>
    </row>
    <row r="35" spans="1:7">
      <c r="A35" s="113">
        <f>'Effluent Concentration'!A35</f>
        <v>63.732638888890506</v>
      </c>
      <c r="B35" s="120">
        <f>('lab journal'!R34-'lab journal'!R35)/('lab journal'!W35-'lab journal'!W34)</f>
        <v>476.3229130888954</v>
      </c>
      <c r="C35" s="120">
        <f>('lab journal'!K34-'lab journal'!K35)/('lab journal'!W35-'lab journal'!W34)/$L$3</f>
        <v>37.96478724460799</v>
      </c>
      <c r="D35">
        <f t="shared" si="0"/>
        <v>514.28770033350338</v>
      </c>
      <c r="E35" s="113">
        <f>AVERAGE('lab journal'!I34:I35)/1000/(D35/1000)</f>
        <v>3.0138772500195161</v>
      </c>
      <c r="F35" s="113">
        <f t="shared" si="1"/>
        <v>703.05662798629191</v>
      </c>
      <c r="G35" s="113"/>
    </row>
    <row r="36" spans="1:7">
      <c r="A36" s="113">
        <f>'Effluent Concentration'!A36</f>
        <v>66.740972222221899</v>
      </c>
      <c r="B36" s="120">
        <f>('lab journal'!R35-'lab journal'!R36)/('lab journal'!W36-'lab journal'!W35)</f>
        <v>488.84210526347317</v>
      </c>
      <c r="C36" s="120">
        <f>('lab journal'!K35-'lab journal'!K36)/('lab journal'!W36-'lab journal'!W35)/$L$3</f>
        <v>31.426979383030254</v>
      </c>
      <c r="D36">
        <f t="shared" si="0"/>
        <v>520.26908464650342</v>
      </c>
      <c r="E36" s="113">
        <f>AVERAGE('lab journal'!I35:I36)/1000/(D36/1000)</f>
        <v>2.9119546878887985</v>
      </c>
      <c r="F36" s="113">
        <f t="shared" si="1"/>
        <v>581.98524886942539</v>
      </c>
      <c r="G36" s="113"/>
    </row>
    <row r="37" spans="1:7">
      <c r="A37" s="113">
        <f>'Effluent Concentration'!A37</f>
        <v>68.715277777781012</v>
      </c>
      <c r="B37" s="120">
        <f>('lab journal'!S36-'lab journal'!R37)/('lab journal'!W37-'lab journal'!W36)</f>
        <v>488.57685543352017</v>
      </c>
      <c r="C37" s="120">
        <f>('lab journal'!K36-'lab journal'!L36+'lab journal'!L37-'lab journal'!K37)/('lab journal'!W37-'lab journal'!W36)/$L$3</f>
        <v>26.100477440279633</v>
      </c>
      <c r="D37">
        <f t="shared" si="0"/>
        <v>514.67733287379974</v>
      </c>
      <c r="E37" s="113">
        <f>AVERAGE('lab journal'!I36:I37)/1000/(D37/1000)</f>
        <v>2.1906929409624225</v>
      </c>
      <c r="F37" s="113">
        <f t="shared" si="1"/>
        <v>483.3456207660293</v>
      </c>
      <c r="G37" s="113"/>
    </row>
    <row r="38" spans="1:7">
      <c r="A38" s="113">
        <f>'Effluent Concentration'!A38</f>
        <v>70.715277777781012</v>
      </c>
      <c r="B38" s="120">
        <f>('lab journal'!R37-'lab journal'!R38)/('lab journal'!W38-'lab journal'!W37)</f>
        <v>500.19999999999982</v>
      </c>
      <c r="C38" s="120">
        <f>('lab journal'!K37-'lab journal'!K38)/('lab journal'!W38-'lab journal'!W37)/$L$3</f>
        <v>33.589990375360962</v>
      </c>
      <c r="D38">
        <f t="shared" si="0"/>
        <v>533.78999037536073</v>
      </c>
      <c r="E38" s="113">
        <f>AVERAGE('lab journal'!I37:I38)/1000/(D38/1000)</f>
        <v>2.1075704308522174</v>
      </c>
      <c r="F38" s="113">
        <f t="shared" si="1"/>
        <v>622.04129356071473</v>
      </c>
      <c r="G38" s="113"/>
    </row>
    <row r="39" spans="1:7">
      <c r="A39" s="113">
        <f>'Effluent Concentration'!A39</f>
        <v>73.722916666665697</v>
      </c>
      <c r="B39" s="120">
        <f>('lab journal'!R38-'lab journal'!R39)/('lab journal'!W39-'lab journal'!W38)</f>
        <v>499.22881551674504</v>
      </c>
      <c r="C39" s="120">
        <f>('lab journal'!K38-'lab journal'!K39)/('lab journal'!W39-'lab journal'!W38)/$L$3</f>
        <v>31.840643888620917</v>
      </c>
      <c r="D39">
        <f t="shared" si="0"/>
        <v>531.06945940536593</v>
      </c>
      <c r="E39" s="113">
        <f>AVERAGE('lab journal'!I38:I39)/1000/(D39/1000)</f>
        <v>2.1183669670247149</v>
      </c>
      <c r="F39" s="113">
        <f t="shared" si="1"/>
        <v>589.64575729119963</v>
      </c>
      <c r="G39" s="113"/>
    </row>
    <row r="40" spans="1:7">
      <c r="A40" s="113">
        <f>'Effluent Concentration'!A40</f>
        <v>75.719444444446708</v>
      </c>
      <c r="B40" s="120">
        <f>('lab journal'!R39-'lab journal'!R40)/('lab journal'!W40-'lab journal'!W39)</f>
        <v>490.751999999205</v>
      </c>
      <c r="C40" s="120">
        <f>('lab journal'!K39-'lab journal'!K40)/('lab journal'!W40-'lab journal'!W39)/$L$3</f>
        <v>30.94882202781945</v>
      </c>
      <c r="D40">
        <f t="shared" si="0"/>
        <v>521.7008220270244</v>
      </c>
      <c r="E40" s="113">
        <f>AVERAGE('lab journal'!I39:I40)/1000/(D40/1000)</f>
        <v>2.1564083330919583</v>
      </c>
      <c r="F40" s="113">
        <f t="shared" si="1"/>
        <v>573.13041990290458</v>
      </c>
      <c r="G40" s="113"/>
    </row>
    <row r="41" spans="1:7">
      <c r="A41" s="113">
        <f>'Effluent Concentration'!A41</f>
        <v>77.722222222226264</v>
      </c>
      <c r="B41" s="120">
        <f>('lab journal'!S40-'lab journal'!R41)/('lab journal'!W41-'lab journal'!W40)</f>
        <v>480.63245492329042</v>
      </c>
      <c r="C41" s="120">
        <f>('lab journal'!K40-'lab journal'!K41)/('lab journal'!W41-'lab journal'!W40)/$L$3</f>
        <v>30.001641928692322</v>
      </c>
      <c r="D41">
        <f t="shared" si="0"/>
        <v>510.63409685198275</v>
      </c>
      <c r="E41" s="113">
        <f>AVERAGE('lab journal'!I40:I41)/1000/(D41/1000)</f>
        <v>2.2031431252545266</v>
      </c>
      <c r="F41" s="113">
        <f t="shared" si="1"/>
        <v>555.58992264428718</v>
      </c>
      <c r="G41" s="113"/>
    </row>
    <row r="42" spans="1:7">
      <c r="A42" s="113">
        <f>'Effluent Concentration'!A42</f>
        <v>80.712500000001455</v>
      </c>
      <c r="B42" s="120">
        <f>('lab journal'!R41-'lab journal'!R42)/('lab journal'!W42-'lab journal'!W41)</f>
        <v>489.18532280581081</v>
      </c>
      <c r="C42" s="120">
        <f>('lab journal'!K41-'lab journal'!K42)/('lab journal'!W42-'lab journal'!W41)/$L$3</f>
        <v>31.578114473776811</v>
      </c>
      <c r="D42">
        <f t="shared" si="0"/>
        <v>520.76343727958761</v>
      </c>
      <c r="E42" s="113">
        <f>AVERAGE('lab journal'!I41:I42)/1000/(D42/1000)</f>
        <v>2.1602899118203833</v>
      </c>
      <c r="F42" s="113">
        <f t="shared" si="1"/>
        <v>584.78406680000035</v>
      </c>
      <c r="G42" s="113"/>
    </row>
    <row r="43" spans="1:7">
      <c r="A43" s="113">
        <f>'Effluent Concentration'!A43</f>
        <v>82.766666666670062</v>
      </c>
      <c r="B43" s="120">
        <f>('lab journal'!R42-'lab journal'!R43)/('lab journal'!W43-'lab journal'!W42)</f>
        <v>494.84787018208857</v>
      </c>
      <c r="C43" s="120">
        <f>('lab journal'!K42-'lab journal'!L42+'lab journal'!L43-'lab journal'!K43)/('lab journal'!W43-'lab journal'!W42)/$L$3</f>
        <v>27.779871033714645</v>
      </c>
      <c r="D43">
        <f t="shared" si="0"/>
        <v>522.62774121580321</v>
      </c>
      <c r="E43" s="113">
        <f>AVERAGE('lab journal'!I42:I43)/1000/(D43/1000)</f>
        <v>2.1525837824507397</v>
      </c>
      <c r="F43" s="113">
        <f t="shared" si="1"/>
        <v>514.44572384983883</v>
      </c>
      <c r="G43" s="113"/>
    </row>
    <row r="44" spans="1:7">
      <c r="A44" s="113">
        <f>'Effluent Concentration'!A44</f>
        <v>84.759722222224809</v>
      </c>
      <c r="B44" s="120">
        <f>('lab journal'!R43-'lab journal'!R44)/('lab journal'!W44-'lab journal'!W43)</f>
        <v>488.89756097580812</v>
      </c>
      <c r="C44" s="120">
        <f>('lab journal'!K43-'lab journal'!K44)/('lab journal'!W44-'lab journal'!W43)/$L$3</f>
        <v>30.471540244082487</v>
      </c>
      <c r="D44">
        <f t="shared" si="0"/>
        <v>519.36910121989058</v>
      </c>
      <c r="E44" s="113">
        <f>AVERAGE('lab journal'!I43:I44)/1000/(D44/1000)</f>
        <v>2.1660895832224285</v>
      </c>
      <c r="F44" s="113">
        <f t="shared" si="1"/>
        <v>564.2918053385348</v>
      </c>
      <c r="G44" s="113"/>
    </row>
    <row r="45" spans="1:7">
      <c r="A45" s="113">
        <f>'Effluent Concentration'!A45</f>
        <v>87.712500000001455</v>
      </c>
      <c r="B45" s="120">
        <f>('lab journal'!S44-'lab journal'!R45)/('lab journal'!W45-'lab journal'!W44)</f>
        <v>455.80809031061676</v>
      </c>
      <c r="C45" s="120">
        <f>('lab journal'!K44-'lab journal'!K45)/('lab journal'!W45-'lab journal'!W44)/$L$3</f>
        <v>34.779081485304275</v>
      </c>
      <c r="D45">
        <f t="shared" si="0"/>
        <v>490.58717179592105</v>
      </c>
      <c r="E45" s="113">
        <f>AVERAGE('lab journal'!I44:I45)/1000/(D45/1000)</f>
        <v>2.2931704387655447</v>
      </c>
      <c r="F45" s="113">
        <f t="shared" si="1"/>
        <v>644.06165629154907</v>
      </c>
      <c r="G45" s="113"/>
    </row>
    <row r="46" spans="1:7">
      <c r="A46" s="113">
        <f>'Effluent Concentration'!A46</f>
        <v>89.76736111111677</v>
      </c>
      <c r="B46" s="120">
        <f>('lab journal'!R45-'lab journal'!R46)/('lab journal'!W46-'lab journal'!W45)</f>
        <v>462.75633659925631</v>
      </c>
      <c r="C46" s="120">
        <f>('lab journal'!K45-'lab journal'!K46)/('lab journal'!W46-'lab journal'!W45)/$L$3</f>
        <v>32.41216744328284</v>
      </c>
      <c r="D46">
        <f t="shared" si="0"/>
        <v>495.16850404253915</v>
      </c>
      <c r="E46" s="113">
        <f>AVERAGE('lab journal'!I45:I46)/1000/(D46/1000)</f>
        <v>2.2719538718951982</v>
      </c>
      <c r="F46" s="113">
        <f t="shared" si="1"/>
        <v>600.22960227804117</v>
      </c>
      <c r="G46" s="113"/>
    </row>
    <row r="47" spans="1:7">
      <c r="A47" s="113">
        <f>'Effluent Concentration'!A47</f>
        <v>91.739583333335759</v>
      </c>
      <c r="B47" s="120">
        <f>('lab journal'!R46-'lab journal'!R47)/('lab journal'!W47-'lab journal'!W46)</f>
        <v>511.50422535295121</v>
      </c>
      <c r="C47" s="120">
        <f>('lab journal'!K46-'lab journal'!K47)/('lab journal'!W47-'lab journal'!W46)/$L$3</f>
        <v>33.477476989034017</v>
      </c>
      <c r="D47">
        <f t="shared" si="0"/>
        <v>544.98170234198528</v>
      </c>
      <c r="E47" s="113">
        <f>AVERAGE('lab journal'!I46:I47)/1000/(D47/1000)</f>
        <v>2.0642894892901253</v>
      </c>
      <c r="F47" s="113">
        <f t="shared" si="1"/>
        <v>619.9576974777267</v>
      </c>
      <c r="G47" s="113"/>
    </row>
    <row r="48" spans="1:7">
      <c r="A48" s="113">
        <f>'Effluent Concentration'!A48</f>
        <v>94.725694444445253</v>
      </c>
      <c r="B48" s="120">
        <f>('lab journal'!R47-'lab journal'!R48)/('lab journal'!W48-'lab journal'!W47)</f>
        <v>473.19069767467482</v>
      </c>
      <c r="C48" s="120">
        <f>('lab journal'!K47-'lab journal'!K48)/('lab journal'!W48-'lab journal'!W47)/$L$3</f>
        <v>32.753497325263389</v>
      </c>
      <c r="D48">
        <f t="shared" si="0"/>
        <v>505.94419499993819</v>
      </c>
      <c r="E48" s="113">
        <f>AVERAGE('lab journal'!I47:I48)/1000/(D48/1000)</f>
        <v>2.2235653874833718</v>
      </c>
      <c r="F48" s="113">
        <f t="shared" si="1"/>
        <v>606.55057108289827</v>
      </c>
      <c r="G48" s="113"/>
    </row>
    <row r="49" spans="1:7">
      <c r="A49" s="113">
        <f>'Effluent Concentration'!A49</f>
        <v>96.754166666665697</v>
      </c>
      <c r="B49" s="120">
        <f>('lab journal'!R48-'lab journal'!S48+'lab journal'!S49-'lab journal'!R49)/('lab journal'!W49-'lab journal'!W48)</f>
        <v>653.94043135969696</v>
      </c>
      <c r="C49" s="120">
        <f>('lab journal'!K48-'lab journal'!L48+'lab journal'!L49-'lab journal'!K49)/('lab journal'!W49-'lab journal'!W48)/$L$3</f>
        <v>14.580685678938604</v>
      </c>
      <c r="D49">
        <f t="shared" si="0"/>
        <v>668.52111703863557</v>
      </c>
      <c r="E49" s="113">
        <f>AVERAGE('lab journal'!I48:I49)/1000/(D49/1000)</f>
        <v>1.6828189436759158</v>
      </c>
      <c r="F49" s="113">
        <f t="shared" si="1"/>
        <v>270.01462279018864</v>
      </c>
      <c r="G49" s="113"/>
    </row>
    <row r="50" spans="1:7">
      <c r="A50" s="113">
        <f>'Effluent Concentration'!A50</f>
        <v>98.71736111111386</v>
      </c>
      <c r="B50" s="120">
        <f>('lab journal'!R49-'lab journal'!R50)/('lab journal'!W50-'lab journal'!W49)</f>
        <v>555.62504421543144</v>
      </c>
      <c r="C50" s="120">
        <f>('lab journal'!K49-'lab journal'!K50)/('lab journal'!W50-'lab journal'!W49)/$L$3</f>
        <v>10.099232173716</v>
      </c>
      <c r="D50">
        <f t="shared" si="0"/>
        <v>565.72427638914746</v>
      </c>
      <c r="E50" s="113">
        <f>AVERAGE('lab journal'!I49:I50)/1000/(D50/1000)</f>
        <v>1.9886012443739305</v>
      </c>
      <c r="F50" s="113">
        <f t="shared" si="1"/>
        <v>187.0241513947079</v>
      </c>
      <c r="G50" s="113"/>
    </row>
    <row r="51" spans="1:7">
      <c r="A51" s="113">
        <f>'Effluent Concentration'!A51</f>
        <v>101.71527777778101</v>
      </c>
      <c r="B51" s="120">
        <f>('lab journal'!R50-'lab journal'!R51)/('lab journal'!W51-'lab journal'!W50)</f>
        <v>554.35163307843698</v>
      </c>
      <c r="C51" s="120">
        <f>('lab journal'!K50-'lab journal'!K51)/('lab journal'!W51-'lab journal'!W50)/$L$3</f>
        <v>13.548067347055317</v>
      </c>
      <c r="D51">
        <f t="shared" si="0"/>
        <v>567.89970042549226</v>
      </c>
      <c r="E51" s="113">
        <f>AVERAGE('lab journal'!I50:I51)/1000/(D51/1000)</f>
        <v>1.9809836123475799</v>
      </c>
      <c r="F51" s="113">
        <f t="shared" si="1"/>
        <v>250.89192475600424</v>
      </c>
      <c r="G51" s="113"/>
    </row>
    <row r="52" spans="1:7">
      <c r="A52" s="113">
        <f>'Effluent Concentration'!A52</f>
        <v>103.72847222222481</v>
      </c>
      <c r="B52" s="120">
        <f>('lab journal'!R51-'lab journal'!S51+'lab journal'!S52-'lab journal'!R52)/('lab journal'!W52-'lab journal'!W51)</f>
        <v>554.19385995188543</v>
      </c>
      <c r="C52" s="120">
        <f>('lab journal'!K51-'lab journal'!K52)/('lab journal'!W52-'lab journal'!W51)/$L$3</f>
        <v>14.246723422936617</v>
      </c>
      <c r="D52">
        <f t="shared" si="0"/>
        <v>568.44058337482204</v>
      </c>
      <c r="E52" s="113">
        <f>AVERAGE('lab journal'!I51:I52)/1000/(D52/1000)</f>
        <v>1.9790986655472314</v>
      </c>
      <c r="F52" s="113">
        <f t="shared" si="1"/>
        <v>263.83009247617247</v>
      </c>
      <c r="G52" s="113"/>
    </row>
    <row r="53" spans="1:7">
      <c r="A53" s="113">
        <f>'Effluent Concentration'!A53</f>
        <v>105.74375000000146</v>
      </c>
      <c r="B53" s="120">
        <f>('lab journal'!R52-'lab journal'!R53)/('lab journal'!W53-'lab journal'!W52)</f>
        <v>558.68228807750222</v>
      </c>
      <c r="C53" s="120">
        <f>('lab journal'!K52-'lab journal'!K53)/('lab journal'!W53-'lab journal'!W52)/$L$3</f>
        <v>12.894761105321754</v>
      </c>
      <c r="D53">
        <f t="shared" si="0"/>
        <v>571.577049182824</v>
      </c>
      <c r="E53" s="113">
        <f>AVERAGE('lab journal'!I52:I53)/1000/(D53/1000)</f>
        <v>1.9682385806225027</v>
      </c>
      <c r="F53" s="113">
        <f t="shared" si="1"/>
        <v>238.79357476667749</v>
      </c>
      <c r="G53" s="113"/>
    </row>
    <row r="54" spans="1:7">
      <c r="A54" s="113">
        <f>'Effluent Concentration'!A54</f>
        <v>108.73541666667006</v>
      </c>
      <c r="B54" s="120">
        <f>('lab journal'!R53-'lab journal'!R54)/('lab journal'!W54-'lab journal'!W53)</f>
        <v>558.55153203306395</v>
      </c>
      <c r="C54" s="120">
        <f>('lab journal'!K53-'lab journal'!K54)/('lab journal'!W54-'lab journal'!W53)/$L$3</f>
        <v>16.439634210085298</v>
      </c>
      <c r="D54">
        <f t="shared" si="0"/>
        <v>574.99116624314922</v>
      </c>
      <c r="E54" s="113">
        <f>AVERAGE('lab journal'!I53:I54)/1000/(D54/1000)</f>
        <v>1.9565517977440818</v>
      </c>
      <c r="F54" s="113">
        <f t="shared" si="1"/>
        <v>304.4398410190538</v>
      </c>
      <c r="G54" s="113"/>
    </row>
    <row r="55" spans="1:7">
      <c r="A55" s="113">
        <f>'Effluent Concentration'!A55</f>
        <v>110.75069444444671</v>
      </c>
      <c r="B55" s="120">
        <f>('lab journal'!R54-'lab journal'!R55)/('lab journal'!W55-'lab journal'!W54)</f>
        <v>556.20124052408892</v>
      </c>
      <c r="C55" s="120">
        <f>('lab journal'!K54-'lab journal'!K55)/('lab journal'!W55-'lab journal'!W54)/$L$3</f>
        <v>16.333364066740856</v>
      </c>
      <c r="D55">
        <f t="shared" si="0"/>
        <v>572.53460459082976</v>
      </c>
      <c r="E55" s="113">
        <f>AVERAGE('lab journal'!I54:I55)/1000/(D55/1000)</f>
        <v>1.9649467315674269</v>
      </c>
      <c r="F55" s="113">
        <f t="shared" si="1"/>
        <v>302.47186137112425</v>
      </c>
      <c r="G55" s="113"/>
    </row>
    <row r="56" spans="1:7">
      <c r="A56" s="113">
        <f>'Effluent Concentration'!A56</f>
        <v>112.74791666666715</v>
      </c>
      <c r="B56" s="120">
        <f>('lab journal'!R55-'lab journal'!S55+'lab journal'!S56-'lab journal'!R56)/('lab journal'!W56-'lab journal'!W55)</f>
        <v>552.06675938853073</v>
      </c>
      <c r="C56" s="120">
        <f>('lab journal'!K55-'lab journal'!K56)/('lab journal'!W56-'lab journal'!W55)/$L$3</f>
        <v>15.42084035549623</v>
      </c>
      <c r="D56">
        <f t="shared" si="0"/>
        <v>567.48759974402697</v>
      </c>
      <c r="E56" s="113">
        <f>AVERAGE('lab journal'!I55:I56)/1000/(D56/1000)</f>
        <v>1.9824221718808421</v>
      </c>
      <c r="F56" s="113">
        <f t="shared" si="1"/>
        <v>285.57315364884403</v>
      </c>
      <c r="G56" s="113"/>
    </row>
    <row r="57" spans="1:7">
      <c r="A57" s="113">
        <f>'Effluent Concentration'!A57</f>
        <v>115.7229166666657</v>
      </c>
      <c r="B57" s="120">
        <f>('lab journal'!R56-'lab journal'!R57)/('lab journal'!W57-'lab journal'!W56)</f>
        <v>558.48739495825623</v>
      </c>
      <c r="C57" s="120">
        <f>('lab journal'!K56-'lab journal'!K57)/('lab journal'!W57-'lab journal'!W56)/$L$3</f>
        <v>11.614270347220595</v>
      </c>
      <c r="D57">
        <f t="shared" si="0"/>
        <v>570.10166530547679</v>
      </c>
      <c r="E57" s="113">
        <f>AVERAGE('lab journal'!I56:I57)/1000/(D57/1000)</f>
        <v>1.9733322466216492</v>
      </c>
      <c r="F57" s="113">
        <f t="shared" si="1"/>
        <v>215.08061389170061</v>
      </c>
      <c r="G57" s="113"/>
    </row>
    <row r="58" spans="1:7">
      <c r="A58" s="113">
        <f>'Effluent Concentration'!A58</f>
        <v>117.72152777777956</v>
      </c>
      <c r="B58" s="120">
        <f>('lab journal'!R57-'lab journal'!R58)/('lab journal'!W58-'lab journal'!W57)</f>
        <v>556.08617095128534</v>
      </c>
      <c r="C58" s="120">
        <f>('lab journal'!K57-'lab journal'!K58)/('lab journal'!W58-'lab journal'!W57)/$L$3</f>
        <v>10.527040955199189</v>
      </c>
      <c r="D58">
        <f t="shared" si="0"/>
        <v>566.61321190648448</v>
      </c>
      <c r="E58" s="113">
        <f>AVERAGE('lab journal'!I57:I58)/1000/(D58/1000)</f>
        <v>1.9854814119400965</v>
      </c>
      <c r="F58" s="113">
        <f t="shared" si="1"/>
        <v>194.94659271894349</v>
      </c>
      <c r="G58" s="113"/>
    </row>
    <row r="59" spans="1:7">
      <c r="A59" s="113">
        <f>'Effluent Concentration'!A59</f>
        <v>119.69305555555911</v>
      </c>
      <c r="B59" s="120">
        <f>('lab journal'!R58-'lab journal'!R59)/('lab journal'!W59-'lab journal'!W58)</f>
        <v>555.15322296533225</v>
      </c>
      <c r="C59" s="120">
        <f>('lab journal'!K58-'lab journal'!K59)/('lab journal'!W59-'lab journal'!W58)/$L$3</f>
        <v>11.770062321137729</v>
      </c>
      <c r="D59">
        <f t="shared" si="0"/>
        <v>566.92328528646999</v>
      </c>
      <c r="E59" s="113">
        <f>AVERAGE('lab journal'!I58:I59)/1000/(D59/1000)</f>
        <v>1.984395471481702</v>
      </c>
      <c r="F59" s="113">
        <f t="shared" si="1"/>
        <v>217.96567101433899</v>
      </c>
      <c r="G59" s="113"/>
    </row>
    <row r="60" spans="1:7">
      <c r="A60" s="113">
        <f>'Effluent Concentration'!A60</f>
        <v>122.70694444444962</v>
      </c>
      <c r="B60" s="120">
        <f>('lab journal'!S59-'lab journal'!R60)/('lab journal'!W60-'lab journal'!W59)</f>
        <v>558.11612903195851</v>
      </c>
      <c r="C60" s="120">
        <f>('lab journal'!K59-'lab journal'!K60)/('lab journal'!W60-'lab journal'!W59)/$L$3</f>
        <v>8.2645933035531343</v>
      </c>
      <c r="D60">
        <f t="shared" si="0"/>
        <v>566.38072233551168</v>
      </c>
      <c r="E60" s="113">
        <f>AVERAGE('lab journal'!I59:I60)/1000/(D60/1000)</f>
        <v>1.9862964180012721</v>
      </c>
      <c r="F60" s="113">
        <f t="shared" si="1"/>
        <v>153.04911528246208</v>
      </c>
      <c r="G60" s="113"/>
    </row>
    <row r="61" spans="1:7">
      <c r="A61" s="113">
        <f>'Effluent Concentration'!A61</f>
        <v>124.74305555555475</v>
      </c>
      <c r="B61" s="120">
        <f>('lab journal'!S61-'lab journal'!R62)/('lab journal'!W62-'lab journal'!W61)</f>
        <v>65.911869789684445</v>
      </c>
      <c r="C61" s="120">
        <f>('lab journal'!K61-'lab journal'!K62)/('lab journal'!W62-'lab journal'!W61)/$L$3</f>
        <v>6.2722538734572826</v>
      </c>
      <c r="D61">
        <f t="shared" si="0"/>
        <v>72.184123663141733</v>
      </c>
      <c r="E61" s="113">
        <f>AVERAGE('lab journal'!I61:I62)/1000/(D61/1000)</f>
        <v>15.585144529148607</v>
      </c>
      <c r="F61" s="113">
        <f t="shared" si="1"/>
        <v>116.15367761011585</v>
      </c>
      <c r="G61" s="113"/>
    </row>
    <row r="62" spans="1:7">
      <c r="A62" s="113">
        <f>'Effluent Concentration'!A62</f>
        <v>126.72083333333285</v>
      </c>
      <c r="B62" s="120">
        <f>('lab journal'!R62-'lab journal'!R63)/('lab journal'!W63-'lab journal'!W62)</f>
        <v>62.999999999989882</v>
      </c>
      <c r="C62" s="120">
        <f>('lab journal'!K62-'lab journal'!K63)/('lab journal'!W63-'lab journal'!W62)/$L$3</f>
        <v>9.3921337500390507</v>
      </c>
      <c r="D62">
        <f t="shared" si="0"/>
        <v>72.392133750028933</v>
      </c>
      <c r="E62" s="113">
        <f>AVERAGE('lab journal'!I62:I63)/1000/(D62/1000)</f>
        <v>15.54036249138119</v>
      </c>
      <c r="F62" s="113">
        <f t="shared" si="1"/>
        <v>173.9296427859353</v>
      </c>
      <c r="G62" s="113"/>
    </row>
    <row r="63" spans="1:7">
      <c r="A63" s="113">
        <f>'Effluent Concentration'!A63</f>
        <v>129.72638888889196</v>
      </c>
      <c r="B63" s="120">
        <f>('lab journal'!R63-'lab journal'!R64)/('lab journal'!W64-'lab journal'!W63)</f>
        <v>62.550831792901938</v>
      </c>
      <c r="C63" s="120">
        <f>('lab journal'!K63-'lab journal'!K64)/('lab journal'!W64-'lab journal'!W63)/$L$3</f>
        <v>7.2435638561804634</v>
      </c>
      <c r="D63">
        <f t="shared" si="0"/>
        <v>69.794395649082404</v>
      </c>
      <c r="E63" s="113">
        <f>AVERAGE('lab journal'!I63:I64)/1000/(D63/1000)</f>
        <v>16.118772711441775</v>
      </c>
      <c r="F63" s="113">
        <f t="shared" si="1"/>
        <v>134.14102775073255</v>
      </c>
      <c r="G63" s="113"/>
    </row>
    <row r="64" spans="1:7">
      <c r="A64" s="113">
        <f>'Effluent Concentration'!A64</f>
        <v>131.7236111111124</v>
      </c>
      <c r="B64" s="120">
        <f>('lab journal'!R64-'lab journal'!R65)/('lab journal'!W65-'lab journal'!W64)</f>
        <v>61.73574408906736</v>
      </c>
      <c r="C64" s="120">
        <f>('lab journal'!K64-'lab journal'!K65)/('lab journal'!W65-'lab journal'!W64)/$L$3</f>
        <v>8.4670051576896466</v>
      </c>
      <c r="D64">
        <f t="shared" si="0"/>
        <v>70.202749246757008</v>
      </c>
      <c r="E64" s="113">
        <f>AVERAGE('lab journal'!I64:I65)/1000/(D64/1000)</f>
        <v>16.025013437090841</v>
      </c>
      <c r="F64" s="113">
        <f t="shared" si="1"/>
        <v>156.79750967531837</v>
      </c>
      <c r="G64" s="113"/>
    </row>
    <row r="65" spans="1:7">
      <c r="A65" s="113">
        <f>'Effluent Concentration'!A65</f>
        <v>133.7993055555562</v>
      </c>
      <c r="B65" s="120">
        <f>('lab journal'!R65-'lab journal'!R66)/('lab journal'!W66-'lab journal'!W65)</f>
        <v>61.425225828055268</v>
      </c>
      <c r="C65" s="120">
        <f>('lab journal'!K65-'lab journal'!K66)/('lab journal'!W66-'lab journal'!W65)/$L$3</f>
        <v>5.65229389378168</v>
      </c>
      <c r="D65">
        <f t="shared" si="0"/>
        <v>67.07751972183695</v>
      </c>
      <c r="E65" s="113">
        <f>AVERAGE('lab journal'!I65:I66)/1000/(D65/1000)</f>
        <v>16.771639808168974</v>
      </c>
      <c r="F65" s="113">
        <f t="shared" si="1"/>
        <v>104.67285539481202</v>
      </c>
      <c r="G65" s="113"/>
    </row>
    <row r="66" spans="1:7">
      <c r="A66" s="113">
        <f>'Effluent Concentration'!A66</f>
        <v>136.7097222222219</v>
      </c>
      <c r="B66" s="120">
        <f>('lab journal'!R66-'lab journal'!R67)/('lab journal'!W67-'lab journal'!W66)</f>
        <v>61.778095919848859</v>
      </c>
      <c r="C66" s="120">
        <f>('lab journal'!K66-'lab journal'!L66+'lab journal'!L67-'lab journal'!K67)/('lab journal'!W67-'lab journal'!W66)/$L$3</f>
        <v>3.7302538162705261</v>
      </c>
      <c r="D66">
        <f t="shared" si="0"/>
        <v>65.508349736119385</v>
      </c>
      <c r="E66" s="113">
        <f>AVERAGE('lab journal'!I66:I67)/1000/(D66/1000)</f>
        <v>17.173383309634925</v>
      </c>
      <c r="F66" s="113">
        <f t="shared" si="1"/>
        <v>69.079266866499538</v>
      </c>
      <c r="G66" s="113"/>
    </row>
    <row r="67" spans="1:7">
      <c r="A67" s="113">
        <f>'Effluent Concentration'!A67</f>
        <v>138.89444444444962</v>
      </c>
      <c r="B67" s="120">
        <f>('lab journal'!R67-'lab journal'!R68)/('lab journal'!W68-'lab journal'!W67)</f>
        <v>61.014621741740811</v>
      </c>
      <c r="C67" s="120">
        <f>('lab journal'!K67-'lab journal'!K68)/('lab journal'!W68-'lab journal'!W67)/$L$3</f>
        <v>8.0178811476186276</v>
      </c>
      <c r="D67">
        <f t="shared" si="0"/>
        <v>69.032502889359435</v>
      </c>
      <c r="E67" s="113">
        <f>AVERAGE('lab journal'!I67:I68)/1000/(D67/1000)</f>
        <v>16.296671175360295</v>
      </c>
      <c r="F67" s="113">
        <f t="shared" si="1"/>
        <v>148.48033908158459</v>
      </c>
      <c r="G67" s="113"/>
    </row>
    <row r="68" spans="1:7">
      <c r="A68" s="113">
        <f>'Effluent Concentration'!A68</f>
        <v>140.88333333333867</v>
      </c>
      <c r="B68" s="120">
        <f>('lab journal'!R68-'lab journal'!R69)/('lab journal'!W69-'lab journal'!W68)</f>
        <v>61.039106145246478</v>
      </c>
      <c r="C68" s="120">
        <f>('lab journal'!K68-'lab journal'!K69)/('lab journal'!W69-'lab journal'!W68)/$L$3</f>
        <v>5.5650846054162306</v>
      </c>
      <c r="D68">
        <f t="shared" si="0"/>
        <v>66.60419075066271</v>
      </c>
      <c r="E68" s="113">
        <f>AVERAGE('lab journal'!I68:I69)/1000/(D68/1000)</f>
        <v>16.890829050254716</v>
      </c>
      <c r="F68" s="113">
        <f t="shared" si="1"/>
        <v>103.05785705932139</v>
      </c>
      <c r="G68" s="113"/>
    </row>
    <row r="69" spans="1:7">
      <c r="A69" s="113">
        <f>'Effluent Concentration'!A69</f>
        <v>143.87291666666715</v>
      </c>
      <c r="B69" s="120">
        <f>('lab journal'!R69-'lab journal'!R70)/('lab journal'!W70-'lab journal'!W69)</f>
        <v>61.3463414635142</v>
      </c>
      <c r="C69" s="120">
        <f>('lab journal'!K69-'lab journal'!K70)/('lab journal'!W70-'lab journal'!W69)/$L$3</f>
        <v>7.7587334377525474</v>
      </c>
      <c r="D69">
        <f t="shared" ref="D69:D93" si="2">SUM(B69:C69)</f>
        <v>69.105074901266747</v>
      </c>
      <c r="E69" s="113">
        <f>AVERAGE('lab journal'!I69:I70)/1000/(D69/1000)</f>
        <v>16.279556915426742</v>
      </c>
      <c r="F69" s="113">
        <f t="shared" si="1"/>
        <v>143.68127320311868</v>
      </c>
      <c r="G69" s="113"/>
    </row>
    <row r="70" spans="1:7">
      <c r="A70" s="113">
        <f>'Effluent Concentration'!A70</f>
        <v>145.82013888889196</v>
      </c>
      <c r="B70" s="120">
        <f>('lab journal'!R70-'lab journal'!R71)/('lab journal'!W71-'lab journal'!W70)</f>
        <v>60.496433666110875</v>
      </c>
      <c r="C70" s="120">
        <f>('lab journal'!K70-'lab journal'!K71)/('lab journal'!W71-'lab journal'!W70)/$L$3</f>
        <v>5.7830213677894777</v>
      </c>
      <c r="D70">
        <f t="shared" si="2"/>
        <v>66.279455033900348</v>
      </c>
      <c r="E70" s="113">
        <f>AVERAGE('lab journal'!I70:I71)/1000/(D70/1000)</f>
        <v>16.973585546600972</v>
      </c>
      <c r="F70" s="113">
        <f t="shared" si="1"/>
        <v>107.09375180255209</v>
      </c>
      <c r="G70" s="113"/>
    </row>
    <row r="71" spans="1:7">
      <c r="A71" s="113">
        <f>'Effluent Concentration'!A71</f>
        <v>147.87291666666715</v>
      </c>
      <c r="B71" s="120">
        <f>('lab journal'!R71-'lab journal'!R72)/('lab journal'!W72-'lab journal'!W71)</f>
        <v>61.087956698317676</v>
      </c>
      <c r="C71" s="120">
        <f>('lab journal'!K71-'lab journal'!K72)/('lab journal'!W72-'lab journal'!W71)/$L$3</f>
        <v>4.4541631448010799</v>
      </c>
      <c r="D71">
        <f t="shared" si="2"/>
        <v>65.542119843118755</v>
      </c>
      <c r="E71" s="113">
        <f>AVERAGE('lab journal'!I71:I72)/1000/(D71/1000)</f>
        <v>17.164534847099752</v>
      </c>
      <c r="F71" s="113">
        <f t="shared" si="1"/>
        <v>82.48509074759599</v>
      </c>
      <c r="G71" s="113"/>
    </row>
    <row r="72" spans="1:7">
      <c r="A72" s="113">
        <f>'Effluent Concentration'!A72</f>
        <v>150.87013888889487</v>
      </c>
      <c r="B72" s="120">
        <f>('lab journal'!R72-'lab journal'!R73)/('lab journal'!W73-'lab journal'!W72)</f>
        <v>59.755329008231577</v>
      </c>
      <c r="C72" s="120">
        <f>('lab journal'!K72-'lab journal'!K73)/('lab journal'!W73-'lab journal'!W72)/$L$3</f>
        <v>6.6471557362816318</v>
      </c>
      <c r="D72">
        <f t="shared" si="2"/>
        <v>66.402484744513202</v>
      </c>
      <c r="E72" s="113">
        <f>AVERAGE('lab journal'!I72:I73)/1000/(D72/1000)</f>
        <v>16.942137095147757</v>
      </c>
      <c r="F72" s="113">
        <f t="shared" si="1"/>
        <v>123.09635419631222</v>
      </c>
      <c r="G72" s="113"/>
    </row>
    <row r="73" spans="1:7">
      <c r="A73" s="113">
        <f>'Effluent Concentration'!A73</f>
        <v>152.88333333333867</v>
      </c>
      <c r="B73" s="120">
        <f>('lab journal'!R73-'lab journal'!R74)/('lab journal'!W74-'lab journal'!W73)</f>
        <v>59.060365643344078</v>
      </c>
      <c r="C73" s="120">
        <f>('lab journal'!K73-'lab journal'!K74)/('lab journal'!W74-'lab journal'!W73)/$L$3</f>
        <v>1.0039637311464942</v>
      </c>
      <c r="D73">
        <f t="shared" si="2"/>
        <v>60.064329374490569</v>
      </c>
      <c r="E73" s="113">
        <f>AVERAGE('lab journal'!I73:I74)/1000/(D73/1000)</f>
        <v>18.729918600869112</v>
      </c>
      <c r="F73" s="113">
        <f t="shared" ref="F73:F93" si="3">C73*$L$3/$L$6*1000</f>
        <v>18.59205349664218</v>
      </c>
      <c r="G73" s="113"/>
    </row>
    <row r="74" spans="1:7">
      <c r="A74" s="113">
        <f>'Effluent Concentration'!A74</f>
        <v>155.00763888889196</v>
      </c>
      <c r="B74" s="120">
        <f>('lab journal'!R74-'lab journal'!R75)/('lab journal'!W75-'lab journal'!W74)</f>
        <v>58.983981693426784</v>
      </c>
      <c r="C74" s="120">
        <f>('lab journal'!K74-'lab journal'!K75)/('lab journal'!W75-'lab journal'!W74)/$L$3</f>
        <v>6.5695476923117893</v>
      </c>
      <c r="D74">
        <f t="shared" si="2"/>
        <v>65.553529385738571</v>
      </c>
      <c r="E74" s="113">
        <f>AVERAGE('lab journal'!I74:I75)/1000/(D74/1000)</f>
        <v>16.970863512987737</v>
      </c>
      <c r="F74" s="113">
        <f t="shared" si="3"/>
        <v>121.65915795057798</v>
      </c>
      <c r="G74" s="113"/>
    </row>
    <row r="75" spans="1:7">
      <c r="A75" s="113">
        <f>'Effluent Concentration'!A75</f>
        <v>157.87638888889342</v>
      </c>
      <c r="B75" s="120">
        <f>('lab journal'!R75-'lab journal'!R76)/('lab journal'!W76-'lab journal'!W75)</f>
        <v>59.259259259229196</v>
      </c>
      <c r="C75" s="120">
        <f>('lab journal'!K75-'lab journal'!K76)/('lab journal'!W76-'lab journal'!W75)/$L$3</f>
        <v>3.153694372625035</v>
      </c>
      <c r="D75">
        <f t="shared" si="2"/>
        <v>62.412953631854229</v>
      </c>
      <c r="E75" s="113">
        <f>AVERAGE('lab journal'!I75:I76)/1000/(D75/1000)</f>
        <v>17.62454644413085</v>
      </c>
      <c r="F75" s="113">
        <f t="shared" si="3"/>
        <v>58.402164011389438</v>
      </c>
      <c r="G75" s="113"/>
    </row>
    <row r="76" spans="1:7">
      <c r="A76" s="113">
        <f>'Effluent Concentration'!A76</f>
        <v>159.9152777777781</v>
      </c>
      <c r="B76" s="120">
        <f>('lab journal'!R76-'lab journal'!R77)/('lab journal'!W77-'lab journal'!W76)</f>
        <v>58.953678474235907</v>
      </c>
      <c r="C76" s="120">
        <f>('lab journal'!K76-'lab journal'!K77)/('lab journal'!W77-'lab journal'!W76)/$L$3</f>
        <v>5.9478695979540701</v>
      </c>
      <c r="D76">
        <f t="shared" si="2"/>
        <v>64.901548072189982</v>
      </c>
      <c r="E76" s="113">
        <f>AVERAGE('lab journal'!I76:I77)/1000/(D76/1000)</f>
        <v>16.948748260618842</v>
      </c>
      <c r="F76" s="113">
        <f t="shared" si="3"/>
        <v>110.14651856988033</v>
      </c>
      <c r="G76" s="113"/>
    </row>
    <row r="77" spans="1:7">
      <c r="A77" s="113">
        <f>'Effluent Concentration'!A77</f>
        <v>161.89444444444962</v>
      </c>
      <c r="B77" s="120">
        <f>('lab journal'!R77-'lab journal'!R78)/('lab journal'!W78-'lab journal'!W77)</f>
        <v>58.458947368277919</v>
      </c>
      <c r="C77" s="120">
        <f>('lab journal'!K77-'lab journal'!K78)/('lab journal'!W78-'lab journal'!W77)/$L$3</f>
        <v>4.2307887138339373</v>
      </c>
      <c r="D77">
        <f t="shared" si="2"/>
        <v>62.689736082111857</v>
      </c>
      <c r="E77" s="113">
        <f>AVERAGE('lab journal'!I77:I78)/1000/(D77/1000)</f>
        <v>17.546732028975292</v>
      </c>
      <c r="F77" s="113">
        <f t="shared" si="3"/>
        <v>78.348497719897111</v>
      </c>
      <c r="G77" s="113"/>
    </row>
    <row r="78" spans="1:7">
      <c r="A78" s="113">
        <f>'Effluent Concentration'!A78</f>
        <v>164.87708333333285</v>
      </c>
      <c r="B78" s="120">
        <f>('lab journal'!R78-'lab journal'!R79)/('lab journal'!W79-'lab journal'!W78)</f>
        <v>59.142258440158734</v>
      </c>
      <c r="C78" s="120">
        <f>('lab journal'!K78-'lab journal'!K79)/('lab journal'!W79-'lab journal'!W78)/$L$3</f>
        <v>4.0336089259360275</v>
      </c>
      <c r="D78">
        <f t="shared" si="2"/>
        <v>63.175867366094764</v>
      </c>
      <c r="E78" s="113">
        <f>AVERAGE('lab journal'!I78:I79)/1000/(D78/1000)</f>
        <v>17.411711874498906</v>
      </c>
      <c r="F78" s="113">
        <f t="shared" si="3"/>
        <v>74.696994133340198</v>
      </c>
      <c r="G78" s="113"/>
    </row>
    <row r="79" spans="1:7">
      <c r="A79" s="113">
        <f>'Effluent Concentration'!A79</f>
        <v>166.88680555555766</v>
      </c>
      <c r="B79" s="120">
        <f>('lab journal'!R79-'lab journal'!S79+'lab journal'!S80-'lab journal'!R80)/('lab journal'!W80-'lab journal'!W79)</f>
        <v>58.117484450512698</v>
      </c>
      <c r="C79" s="120">
        <f>('lab journal'!K79-'lab journal'!K80)/('lab journal'!W80-'lab journal'!W79)/$L$3</f>
        <v>3.7354507982681895</v>
      </c>
      <c r="D79">
        <f t="shared" si="2"/>
        <v>61.852935248780888</v>
      </c>
      <c r="E79" s="113">
        <f>AVERAGE('lab journal'!I79:I80)/1000/(D79/1000)</f>
        <v>17.784119631116148</v>
      </c>
      <c r="F79" s="113">
        <f t="shared" si="3"/>
        <v>69.175507960001283</v>
      </c>
      <c r="G79" s="113"/>
    </row>
    <row r="80" spans="1:7">
      <c r="A80" s="113">
        <f>'Effluent Concentration'!A80</f>
        <v>168.87638888889342</v>
      </c>
      <c r="B80" s="120">
        <f>('lab journal'!R80-'lab journal'!R81)/('lab journal'!W81-'lab journal'!W80)</f>
        <v>59.811518324534418</v>
      </c>
      <c r="C80" s="120">
        <f>('lab journal'!K80-'lab journal'!K81)/('lab journal'!W81-'lab journal'!W80)/$L$3</f>
        <v>3.7732616440450384</v>
      </c>
      <c r="D80">
        <f t="shared" si="2"/>
        <v>63.584779968579454</v>
      </c>
      <c r="E80" s="113">
        <f>AVERAGE('lab journal'!I80:I81)/1000/(D80/1000)</f>
        <v>17.299737461442302</v>
      </c>
      <c r="F80" s="113">
        <f t="shared" si="3"/>
        <v>69.875713799741803</v>
      </c>
      <c r="G80" s="113"/>
    </row>
    <row r="81" spans="1:7">
      <c r="A81" s="113">
        <f>'Effluent Concentration'!A81</f>
        <v>171.86458333333576</v>
      </c>
      <c r="B81" s="120">
        <f>('lab journal'!R81-'lab journal'!R82)/('lab journal'!W82-'lab journal'!W81)</f>
        <v>59.534278410453403</v>
      </c>
      <c r="C81" s="120">
        <f>('lab journal'!K81-'lab journal'!K82)/('lab journal'!W82-'lab journal'!W81)/$L$3</f>
        <v>3.1886789372076727</v>
      </c>
      <c r="D81">
        <f t="shared" si="2"/>
        <v>62.72295734766108</v>
      </c>
      <c r="E81" s="113">
        <f>AVERAGE('lab journal'!I81:I82)/1000/(D81/1000)</f>
        <v>17.537438388035746</v>
      </c>
      <c r="F81" s="113">
        <f t="shared" si="3"/>
        <v>59.050030937353341</v>
      </c>
      <c r="G81" s="113"/>
    </row>
    <row r="82" spans="1:7">
      <c r="A82" s="113">
        <f>'Effluent Concentration'!A82</f>
        <v>173.86805555555475</v>
      </c>
      <c r="B82" s="120">
        <f>('lab journal'!R82-'lab journal'!R83)/('lab journal'!W83-'lab journal'!W82)</f>
        <v>59.197227036490425</v>
      </c>
      <c r="C82" s="120">
        <f>('lab journal'!K82-'lab journal'!K83)/('lab journal'!W83-'lab journal'!W82)/$L$3</f>
        <v>4.5637803313818548</v>
      </c>
      <c r="D82">
        <f t="shared" si="2"/>
        <v>63.761007367872281</v>
      </c>
      <c r="E82" s="113">
        <f>AVERAGE('lab journal'!I82:I83)/1000/(D82/1000)</f>
        <v>17.251923164474107</v>
      </c>
      <c r="F82" s="113">
        <f t="shared" si="3"/>
        <v>84.515053119577132</v>
      </c>
      <c r="G82" s="113"/>
    </row>
    <row r="83" spans="1:7">
      <c r="A83" s="113">
        <f>'Effluent Concentration'!A83</f>
        <v>175.80694444444816</v>
      </c>
      <c r="B83" s="120">
        <f>('lab journal'!R83-'lab journal'!R84)/('lab journal'!W84-'lab journal'!W83)</f>
        <v>58.951289398143246</v>
      </c>
      <c r="C83" s="120">
        <f>('lab journal'!K83-'lab journal'!K84)/('lab journal'!W84-'lab journal'!W83)/$L$3</f>
        <v>2.2337987540314792</v>
      </c>
      <c r="D83">
        <f t="shared" si="2"/>
        <v>61.185088152174728</v>
      </c>
      <c r="E83" s="113">
        <f>AVERAGE('lab journal'!I83:I84)/1000/(D83/1000)</f>
        <v>17.978236743962299</v>
      </c>
      <c r="F83" s="113">
        <f t="shared" si="3"/>
        <v>41.366938513066543</v>
      </c>
      <c r="G83" s="113"/>
    </row>
    <row r="84" spans="1:7">
      <c r="A84" s="113">
        <f>'Effluent Concentration'!A84</f>
        <v>179.02430555555475</v>
      </c>
      <c r="B84" s="120">
        <f>('lab journal'!R84-'lab journal'!R85)/('lab journal'!W85-'lab journal'!W84)</f>
        <v>59.396503345648121</v>
      </c>
      <c r="C84" s="120">
        <f>('lab journal'!K84-'lab journal'!K85)/('lab journal'!W85-'lab journal'!W84)/$L$3</f>
        <v>3.5897639377101829</v>
      </c>
      <c r="D84">
        <f t="shared" si="2"/>
        <v>62.986267283358302</v>
      </c>
      <c r="E84" s="113">
        <f>AVERAGE('lab journal'!I84:I85)/1000/(D84/1000)</f>
        <v>17.464124283653696</v>
      </c>
      <c r="F84" s="113">
        <f t="shared" si="3"/>
        <v>66.477583900375009</v>
      </c>
      <c r="G84" s="113"/>
    </row>
    <row r="85" spans="1:7">
      <c r="A85" s="113">
        <f>'Effluent Concentration'!A85</f>
        <v>180.88125000000582</v>
      </c>
      <c r="B85" s="120">
        <f>('lab journal'!R85-'lab journal'!R86)/('lab journal'!W86-'lab journal'!W85)</f>
        <v>58.644727000538388</v>
      </c>
      <c r="C85" s="120">
        <f>('lab journal'!K85-'lab journal'!K86)/('lab journal'!W86-'lab journal'!W85)/$L$3</f>
        <v>4.0427803328958349</v>
      </c>
      <c r="D85">
        <f t="shared" si="2"/>
        <v>62.687507333434226</v>
      </c>
      <c r="E85" s="113">
        <f>AVERAGE('lab journal'!I85:I86)/1000/(D85/1000)</f>
        <v>17.547355873461534</v>
      </c>
      <c r="F85" s="113">
        <f t="shared" si="3"/>
        <v>74.866836213832002</v>
      </c>
      <c r="G85" s="113"/>
    </row>
    <row r="86" spans="1:7">
      <c r="A86" s="113">
        <f>'Effluent Concentration'!A86</f>
        <v>183.0048611111124</v>
      </c>
      <c r="B86" s="120">
        <f>('lab journal'!R86-'lab journal'!R87)/('lab journal'!W87-'lab journal'!W86)</f>
        <v>59.050359712355935</v>
      </c>
      <c r="C86" s="120">
        <f>('lab journal'!K86-'lab journal'!K87)/('lab journal'!W87-'lab journal'!W86)/$L$3</f>
        <v>3.5351192315975339</v>
      </c>
      <c r="D86">
        <f t="shared" si="2"/>
        <v>62.585478943953468</v>
      </c>
      <c r="E86" s="113">
        <f>AVERAGE('lab journal'!I86:I87)/1000/(D86/1000)</f>
        <v>17.575962005261186</v>
      </c>
      <c r="F86" s="113">
        <f t="shared" si="3"/>
        <v>65.46563768375772</v>
      </c>
      <c r="G86" s="113"/>
    </row>
    <row r="87" spans="1:7">
      <c r="A87" s="113">
        <f>'Effluent Concentration'!A87</f>
        <v>186.01666666667006</v>
      </c>
      <c r="B87" s="120">
        <f>('lab journal'!R87-'lab journal'!R88)/('lab journal'!W88-'lab journal'!W87)</f>
        <v>59.00115287060698</v>
      </c>
      <c r="C87" s="120">
        <f>('lab journal'!K87-'lab journal'!K88)/('lab journal'!W88-'lab journal'!W87)/$L$3</f>
        <v>2.8121610876510337</v>
      </c>
      <c r="D87">
        <f t="shared" si="2"/>
        <v>61.813313958258014</v>
      </c>
      <c r="E87" s="113">
        <f>AVERAGE('lab journal'!I87:I88)/1000/(D87/1000)</f>
        <v>17.795518951512943</v>
      </c>
      <c r="F87" s="113">
        <f t="shared" si="3"/>
        <v>52.077428457576843</v>
      </c>
      <c r="G87" s="113"/>
    </row>
    <row r="88" spans="1:7">
      <c r="A88" s="113">
        <f>'Effluent Concentration'!A88</f>
        <v>187.90763888889342</v>
      </c>
      <c r="B88" s="120">
        <f>('lab journal'!R88-'lab journal'!R89)/('lab journal'!W89-'lab journal'!W88)</f>
        <v>58.276900477379641</v>
      </c>
      <c r="C88" s="120">
        <f>('lab journal'!K88-'lab journal'!K89)/('lab journal'!W89-'lab journal'!W88)/$L$3</f>
        <v>4.5299072492980512</v>
      </c>
      <c r="D88">
        <f t="shared" si="2"/>
        <v>62.80680772667769</v>
      </c>
      <c r="E88" s="113">
        <f>AVERAGE('lab journal'!I88:I89)/1000/(D88/1000)</f>
        <v>17.514024988930718</v>
      </c>
      <c r="F88" s="113">
        <f t="shared" si="3"/>
        <v>83.887769349595658</v>
      </c>
      <c r="G88" s="113"/>
    </row>
    <row r="89" spans="1:7">
      <c r="A89" s="113">
        <f>'Effluent Concentration'!A89</f>
        <v>189.92916666666861</v>
      </c>
      <c r="B89" s="120">
        <f>('lab journal'!R89-'lab journal'!R90)/('lab journal'!W90-'lab journal'!W89)</f>
        <v>58.272758502307575</v>
      </c>
      <c r="C89" s="120">
        <f>('lab journal'!K89-'lab journal'!K90)/('lab journal'!W90-'lab journal'!W89)/$L$3</f>
        <v>3.9993003869414414</v>
      </c>
      <c r="D89">
        <f t="shared" si="2"/>
        <v>62.272058889249017</v>
      </c>
      <c r="E89" s="113">
        <f>AVERAGE('lab journal'!I89:I90)/1000/(D89/1000)</f>
        <v>17.664423171816949</v>
      </c>
      <c r="F89" s="113">
        <f t="shared" si="3"/>
        <v>74.061646289000691</v>
      </c>
      <c r="G89" s="113"/>
    </row>
    <row r="90" spans="1:7">
      <c r="A90" s="113">
        <f>'Effluent Concentration'!A90</f>
        <v>192.90347222222772</v>
      </c>
      <c r="B90" s="120">
        <f>('lab journal'!R90-'lab journal'!R91)/('lab journal'!W91-'lab journal'!W90)</f>
        <v>58.702778426266292</v>
      </c>
      <c r="C90" s="120">
        <f>('lab journal'!K90-'lab journal'!K91)/('lab journal'!W91-'lab journal'!W90)/$L$3</f>
        <v>3.8507544993399998</v>
      </c>
      <c r="D90">
        <f t="shared" si="2"/>
        <v>62.553532925606291</v>
      </c>
      <c r="E90" s="113">
        <f>AVERAGE('lab journal'!I90:I91)/1000/(D90/1000)</f>
        <v>17.584938029131123</v>
      </c>
      <c r="F90" s="113">
        <f t="shared" si="3"/>
        <v>71.310776906659228</v>
      </c>
      <c r="G90" s="113"/>
    </row>
    <row r="91" spans="1:7">
      <c r="A91" s="113">
        <f>'Effluent Concentration'!A91</f>
        <v>194.88958333333721</v>
      </c>
      <c r="B91" s="120">
        <f>('lab journal'!R91-'lab journal'!R92)/('lab journal'!W92-'lab journal'!W91)</f>
        <v>58.153846153893497</v>
      </c>
      <c r="C91" s="120">
        <f>('lab journal'!K91-'lab journal'!K92)/('lab journal'!W92-'lab journal'!W91)/$L$3</f>
        <v>2.6168249459897219</v>
      </c>
      <c r="D91">
        <f t="shared" si="2"/>
        <v>60.770671099883216</v>
      </c>
      <c r="E91" s="113">
        <f>AVERAGE('lab journal'!I91:I92)/1000/(D91/1000)</f>
        <v>18.100836803201172</v>
      </c>
      <c r="F91" s="113">
        <f t="shared" si="3"/>
        <v>48.460066711403513</v>
      </c>
      <c r="G91" s="113"/>
    </row>
    <row r="92" spans="1:7">
      <c r="A92" s="113">
        <f>'Effluent Concentration'!A92</f>
        <v>196.91250000000582</v>
      </c>
      <c r="B92" s="120">
        <f>('lab journal'!R92-'lab journal'!R93)/('lab journal'!W93-'lab journal'!W92)</f>
        <v>58.183316168842147</v>
      </c>
      <c r="C92" s="120">
        <f>('lab journal'!K92-'lab journal'!K93)/('lab journal'!W93-'lab journal'!W92)/$L$3</f>
        <v>5.3763174406139704</v>
      </c>
      <c r="D92">
        <f t="shared" si="2"/>
        <v>63.559633609456114</v>
      </c>
      <c r="E92" s="113">
        <f>AVERAGE('lab journal'!I92:I93)/1000/(D92/1000)</f>
        <v>17.30658182768925</v>
      </c>
      <c r="F92" s="113">
        <f t="shared" si="3"/>
        <v>99.562143900036986</v>
      </c>
      <c r="G92" s="113"/>
    </row>
    <row r="93" spans="1:7">
      <c r="A93" s="113">
        <f>'Effluent Concentration'!A93</f>
        <v>199.89861111111531</v>
      </c>
      <c r="B93" s="120">
        <f>('lab journal'!R93-'lab journal'!R94)/('lab journal'!W94-'lab journal'!W93)</f>
        <v>58.470697674450385</v>
      </c>
      <c r="C93" s="120">
        <f>('lab journal'!K93-'lab journal'!K94)/('lab journal'!W94-'lab journal'!W93)/$L$3</f>
        <v>4.164290350742033</v>
      </c>
      <c r="D93">
        <f t="shared" si="2"/>
        <v>62.63498802519242</v>
      </c>
      <c r="E93" s="113">
        <f>AVERAGE('lab journal'!I93:I94)/1000/(D93/1000)</f>
        <v>17.562069295160864</v>
      </c>
      <c r="F93" s="113">
        <f t="shared" si="3"/>
        <v>77.117037772004437</v>
      </c>
      <c r="G93" s="113"/>
    </row>
    <row r="94" spans="1:7">
      <c r="A94" s="113"/>
      <c r="B94" s="120"/>
      <c r="G94" s="113"/>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219DB-1E7B-4C81-A8EE-5E417B28C6F3}">
  <dimension ref="A1:AH94"/>
  <sheetViews>
    <sheetView zoomScale="130" zoomScaleNormal="130" workbookViewId="0">
      <pane xSplit="1" ySplit="3" topLeftCell="B4" activePane="bottomRight" state="frozen"/>
      <selection pane="topRight" activeCell="B1" sqref="B1"/>
      <selection pane="bottomLeft" activeCell="A4" sqref="A4"/>
      <selection pane="bottomRight" activeCell="N9" sqref="N9"/>
    </sheetView>
  </sheetViews>
  <sheetFormatPr defaultRowHeight="15"/>
  <cols>
    <col min="1" max="1" width="10.42578125" customWidth="1"/>
    <col min="2" max="2" width="8.7109375" bestFit="1" customWidth="1"/>
    <col min="3" max="3" width="10.140625" bestFit="1" customWidth="1"/>
    <col min="5" max="5" width="10.140625" bestFit="1" customWidth="1"/>
    <col min="6" max="6" width="19.28515625" bestFit="1" customWidth="1"/>
    <col min="7" max="7" width="23.42578125" bestFit="1" customWidth="1"/>
    <col min="14" max="14" width="17.7109375" customWidth="1"/>
    <col min="15" max="15" width="16" customWidth="1"/>
    <col min="16" max="16" width="11.85546875" customWidth="1"/>
    <col min="17" max="17" width="15.140625" bestFit="1" customWidth="1"/>
    <col min="18" max="21" width="10.140625" bestFit="1" customWidth="1"/>
    <col min="22" max="22" width="15.140625" bestFit="1" customWidth="1"/>
    <col min="23" max="23" width="24.140625" bestFit="1" customWidth="1"/>
    <col min="26" max="26" width="10.7109375" customWidth="1"/>
  </cols>
  <sheetData>
    <row r="1" spans="1:34" s="153" customFormat="1" ht="38.25" customHeight="1">
      <c r="B1" s="170" t="s">
        <v>170</v>
      </c>
      <c r="C1" s="170"/>
      <c r="D1" s="170"/>
      <c r="E1" s="170"/>
      <c r="F1" s="171" t="s">
        <v>174</v>
      </c>
      <c r="G1" s="171"/>
      <c r="H1" s="171"/>
      <c r="I1" s="171"/>
      <c r="J1" s="171"/>
      <c r="K1" s="171"/>
      <c r="L1" s="171"/>
      <c r="M1" s="171"/>
      <c r="N1" s="172" t="s">
        <v>186</v>
      </c>
      <c r="O1" s="172"/>
      <c r="P1" s="172"/>
      <c r="Q1" s="173" t="s">
        <v>188</v>
      </c>
      <c r="R1" s="173"/>
      <c r="S1" s="173"/>
      <c r="T1" s="173"/>
      <c r="U1" s="173"/>
    </row>
    <row r="2" spans="1:34" s="174" customFormat="1" ht="15.75">
      <c r="B2" s="175" t="s">
        <v>176</v>
      </c>
      <c r="C2" s="175" t="s">
        <v>189</v>
      </c>
      <c r="D2" s="175" t="s">
        <v>176</v>
      </c>
      <c r="E2" s="175" t="s">
        <v>189</v>
      </c>
      <c r="F2" s="176" t="s">
        <v>182</v>
      </c>
      <c r="G2" s="176" t="s">
        <v>155</v>
      </c>
      <c r="H2" s="176" t="s">
        <v>185</v>
      </c>
      <c r="I2" s="176" t="s">
        <v>185</v>
      </c>
      <c r="J2" s="176" t="s">
        <v>185</v>
      </c>
      <c r="K2" s="176" t="s">
        <v>185</v>
      </c>
      <c r="L2" s="176" t="s">
        <v>185</v>
      </c>
      <c r="M2" s="176" t="s">
        <v>185</v>
      </c>
      <c r="N2" s="177" t="s">
        <v>152</v>
      </c>
      <c r="O2" s="177" t="s">
        <v>189</v>
      </c>
      <c r="P2" s="177"/>
      <c r="Q2" s="178" t="s">
        <v>189</v>
      </c>
      <c r="R2" s="178" t="s">
        <v>189</v>
      </c>
      <c r="S2" s="178" t="s">
        <v>189</v>
      </c>
      <c r="T2" s="178" t="s">
        <v>189</v>
      </c>
      <c r="U2" s="178" t="s">
        <v>189</v>
      </c>
      <c r="V2" s="174" t="s">
        <v>189</v>
      </c>
      <c r="W2" s="174" t="s">
        <v>211</v>
      </c>
      <c r="Y2" s="174" t="s">
        <v>177</v>
      </c>
      <c r="Z2" s="174">
        <v>24.465</v>
      </c>
      <c r="AA2" s="174" t="s">
        <v>178</v>
      </c>
      <c r="AB2" s="174" t="s">
        <v>179</v>
      </c>
    </row>
    <row r="3" spans="1:34" s="174" customFormat="1" ht="15.75">
      <c r="A3" s="174" t="s">
        <v>141</v>
      </c>
      <c r="B3" s="175" t="s">
        <v>27</v>
      </c>
      <c r="C3" s="175" t="s">
        <v>171</v>
      </c>
      <c r="D3" s="175" t="s">
        <v>172</v>
      </c>
      <c r="E3" s="175" t="s">
        <v>173</v>
      </c>
      <c r="F3" s="176" t="s">
        <v>175</v>
      </c>
      <c r="G3" s="176" t="s">
        <v>183</v>
      </c>
      <c r="H3" s="176" t="s">
        <v>26</v>
      </c>
      <c r="I3" s="176" t="s">
        <v>184</v>
      </c>
      <c r="J3" s="176" t="s">
        <v>172</v>
      </c>
      <c r="K3" s="176" t="s">
        <v>28</v>
      </c>
      <c r="L3" s="176" t="s">
        <v>27</v>
      </c>
      <c r="M3" s="176" t="s">
        <v>157</v>
      </c>
      <c r="N3" s="177" t="s">
        <v>187</v>
      </c>
      <c r="O3" s="177" t="s">
        <v>187</v>
      </c>
      <c r="P3" s="180" t="s">
        <v>97</v>
      </c>
      <c r="Q3" s="178" t="s">
        <v>26</v>
      </c>
      <c r="R3" s="178" t="s">
        <v>184</v>
      </c>
      <c r="S3" s="178" t="s">
        <v>172</v>
      </c>
      <c r="T3" s="178" t="s">
        <v>28</v>
      </c>
      <c r="U3" s="178" t="s">
        <v>27</v>
      </c>
      <c r="V3" s="174" t="s">
        <v>213</v>
      </c>
      <c r="W3" s="174" t="s">
        <v>212</v>
      </c>
      <c r="Y3" s="174" t="s">
        <v>180</v>
      </c>
      <c r="Z3" s="174">
        <v>25.286000000000001</v>
      </c>
      <c r="AA3" s="174" t="s">
        <v>178</v>
      </c>
      <c r="AB3" s="174" t="s">
        <v>181</v>
      </c>
    </row>
    <row r="4" spans="1:34">
      <c r="A4" s="113">
        <f>HRT!A4</f>
        <v>0</v>
      </c>
      <c r="B4" s="119" t="s">
        <v>164</v>
      </c>
      <c r="C4" s="119" t="s">
        <v>164</v>
      </c>
      <c r="D4" s="119" t="s">
        <v>164</v>
      </c>
      <c r="E4" s="119" t="s">
        <v>164</v>
      </c>
      <c r="F4" s="139" t="s">
        <v>164</v>
      </c>
      <c r="G4" s="139" t="s">
        <v>164</v>
      </c>
      <c r="H4" s="119" t="s">
        <v>164</v>
      </c>
      <c r="I4" s="119" t="s">
        <v>164</v>
      </c>
      <c r="J4" s="119" t="s">
        <v>164</v>
      </c>
      <c r="K4" s="119" t="s">
        <v>164</v>
      </c>
      <c r="L4" s="119" t="s">
        <v>164</v>
      </c>
      <c r="M4" s="119" t="s">
        <v>164</v>
      </c>
      <c r="N4" s="119" t="s">
        <v>164</v>
      </c>
      <c r="O4" s="119" t="s">
        <v>164</v>
      </c>
      <c r="P4" s="113">
        <v>5.9</v>
      </c>
      <c r="Q4" s="120" t="s">
        <v>164</v>
      </c>
      <c r="R4" s="120" t="s">
        <v>164</v>
      </c>
      <c r="S4" s="120" t="s">
        <v>164</v>
      </c>
      <c r="T4" s="120" t="s">
        <v>164</v>
      </c>
      <c r="U4" s="120" t="s">
        <v>164</v>
      </c>
      <c r="V4" s="120" t="s">
        <v>164</v>
      </c>
      <c r="W4" s="120" t="s">
        <v>164</v>
      </c>
    </row>
    <row r="5" spans="1:34">
      <c r="A5" s="113">
        <f>HRT!A5</f>
        <v>0.95138888889050577</v>
      </c>
      <c r="B5" s="119" t="s">
        <v>164</v>
      </c>
      <c r="C5" s="119" t="s">
        <v>164</v>
      </c>
      <c r="D5" s="119" t="s">
        <v>164</v>
      </c>
      <c r="E5" s="119" t="s">
        <v>164</v>
      </c>
      <c r="F5" s="139" t="s">
        <v>164</v>
      </c>
      <c r="G5" s="139" t="s">
        <v>164</v>
      </c>
      <c r="H5" s="119" t="s">
        <v>164</v>
      </c>
      <c r="I5" s="119" t="s">
        <v>164</v>
      </c>
      <c r="J5" s="119" t="s">
        <v>164</v>
      </c>
      <c r="K5" s="119" t="s">
        <v>164</v>
      </c>
      <c r="L5" s="119" t="s">
        <v>164</v>
      </c>
      <c r="M5" s="119" t="s">
        <v>164</v>
      </c>
      <c r="N5" s="119" t="s">
        <v>164</v>
      </c>
      <c r="O5" s="119" t="s">
        <v>164</v>
      </c>
      <c r="P5" s="113">
        <v>6.12</v>
      </c>
      <c r="Q5" s="120" t="s">
        <v>164</v>
      </c>
      <c r="R5" s="120" t="s">
        <v>164</v>
      </c>
      <c r="S5" s="120" t="s">
        <v>164</v>
      </c>
      <c r="T5" s="120" t="s">
        <v>164</v>
      </c>
      <c r="U5" s="120" t="s">
        <v>164</v>
      </c>
      <c r="V5" s="120" t="s">
        <v>164</v>
      </c>
      <c r="W5" s="120" t="s">
        <v>164</v>
      </c>
    </row>
    <row r="6" spans="1:34">
      <c r="A6" s="113">
        <f>HRT!A6</f>
        <v>4.0208333333357587</v>
      </c>
      <c r="B6">
        <v>0.89200000000000002</v>
      </c>
      <c r="C6" s="113">
        <f>B6*1440/$Z$2</f>
        <v>52.502759043531576</v>
      </c>
      <c r="D6">
        <v>2</v>
      </c>
      <c r="E6" s="113">
        <f>D6*1440/$Z$2</f>
        <v>117.71919068056407</v>
      </c>
      <c r="F6" s="139" t="s">
        <v>164</v>
      </c>
      <c r="G6" s="139" t="s">
        <v>164</v>
      </c>
      <c r="H6" s="119" t="s">
        <v>164</v>
      </c>
      <c r="I6" s="119" t="s">
        <v>164</v>
      </c>
      <c r="J6" s="119" t="s">
        <v>164</v>
      </c>
      <c r="K6" s="119" t="s">
        <v>164</v>
      </c>
      <c r="L6" s="119" t="s">
        <v>164</v>
      </c>
      <c r="M6" s="119" t="s">
        <v>164</v>
      </c>
      <c r="N6" s="119" t="s">
        <v>164</v>
      </c>
      <c r="O6" s="119" t="s">
        <v>164</v>
      </c>
      <c r="P6" s="113">
        <v>5.4</v>
      </c>
      <c r="Q6" s="120" t="s">
        <v>164</v>
      </c>
      <c r="R6" s="120" t="s">
        <v>164</v>
      </c>
      <c r="S6" s="120" t="s">
        <v>164</v>
      </c>
      <c r="T6" s="120" t="s">
        <v>164</v>
      </c>
      <c r="U6" s="120" t="s">
        <v>164</v>
      </c>
      <c r="V6" s="120" t="s">
        <v>164</v>
      </c>
      <c r="W6" s="120" t="s">
        <v>164</v>
      </c>
    </row>
    <row r="7" spans="1:34" s="226" customFormat="1">
      <c r="A7" s="225">
        <f>HRT!A7</f>
        <v>5.7222222222262644</v>
      </c>
      <c r="B7" s="226">
        <v>0.78200000000000003</v>
      </c>
      <c r="C7" s="225">
        <f t="shared" ref="C7:C70" si="0">B7*1440/$Z$2</f>
        <v>46.02820355610055</v>
      </c>
      <c r="D7" s="226">
        <v>2</v>
      </c>
      <c r="E7" s="225">
        <f t="shared" ref="E7:E70" si="1">D7*1440/$Z$2</f>
        <v>117.71919068056407</v>
      </c>
      <c r="F7" s="235" t="s">
        <v>164</v>
      </c>
      <c r="G7" s="235" t="s">
        <v>164</v>
      </c>
      <c r="H7" s="236" t="s">
        <v>164</v>
      </c>
      <c r="I7" s="236" t="s">
        <v>164</v>
      </c>
      <c r="J7" s="236" t="s">
        <v>164</v>
      </c>
      <c r="K7" s="236" t="s">
        <v>164</v>
      </c>
      <c r="L7" s="236" t="s">
        <v>164</v>
      </c>
      <c r="M7" s="236" t="s">
        <v>164</v>
      </c>
      <c r="N7" s="236" t="s">
        <v>164</v>
      </c>
      <c r="O7" s="236" t="s">
        <v>164</v>
      </c>
      <c r="P7" s="225">
        <v>5.24</v>
      </c>
      <c r="Q7" s="237" t="s">
        <v>164</v>
      </c>
      <c r="R7" s="237" t="s">
        <v>164</v>
      </c>
      <c r="S7" s="237" t="s">
        <v>164</v>
      </c>
      <c r="T7" s="237" t="s">
        <v>164</v>
      </c>
      <c r="U7" s="237" t="s">
        <v>164</v>
      </c>
      <c r="V7" s="237" t="s">
        <v>164</v>
      </c>
      <c r="W7" s="237" t="s">
        <v>164</v>
      </c>
    </row>
    <row r="8" spans="1:34">
      <c r="A8" s="113">
        <f>HRT!A8</f>
        <v>6.7687500000029104</v>
      </c>
      <c r="B8">
        <v>0.88400000000000001</v>
      </c>
      <c r="C8" s="113">
        <f t="shared" si="0"/>
        <v>52.03188228080932</v>
      </c>
      <c r="D8">
        <v>2</v>
      </c>
      <c r="E8" s="113">
        <f t="shared" si="1"/>
        <v>117.71919068056407</v>
      </c>
      <c r="F8" s="139" t="s">
        <v>164</v>
      </c>
      <c r="G8" s="139" t="s">
        <v>164</v>
      </c>
      <c r="H8" s="119" t="s">
        <v>164</v>
      </c>
      <c r="I8" s="119" t="s">
        <v>164</v>
      </c>
      <c r="J8" s="119" t="s">
        <v>164</v>
      </c>
      <c r="K8" s="119" t="s">
        <v>164</v>
      </c>
      <c r="L8" s="119" t="s">
        <v>164</v>
      </c>
      <c r="M8" s="119" t="s">
        <v>164</v>
      </c>
      <c r="N8" s="119" t="s">
        <v>164</v>
      </c>
      <c r="O8" s="119" t="s">
        <v>164</v>
      </c>
      <c r="P8" s="113">
        <v>5.9</v>
      </c>
      <c r="Q8" s="120" t="s">
        <v>164</v>
      </c>
      <c r="R8" s="120" t="s">
        <v>164</v>
      </c>
      <c r="S8" s="120" t="s">
        <v>164</v>
      </c>
      <c r="T8" s="120" t="s">
        <v>164</v>
      </c>
      <c r="U8" s="120" t="s">
        <v>164</v>
      </c>
      <c r="V8" s="120" t="s">
        <v>164</v>
      </c>
      <c r="W8" s="120" t="s">
        <v>164</v>
      </c>
    </row>
    <row r="9" spans="1:34">
      <c r="A9" s="113">
        <f>HRT!A9</f>
        <v>7.7881944444452529</v>
      </c>
      <c r="B9">
        <v>0.873</v>
      </c>
      <c r="C9" s="113">
        <f t="shared" si="0"/>
        <v>51.38442673206621</v>
      </c>
      <c r="D9">
        <v>2</v>
      </c>
      <c r="E9" s="113">
        <f t="shared" si="1"/>
        <v>117.71919068056407</v>
      </c>
      <c r="F9" s="139" t="s">
        <v>164</v>
      </c>
      <c r="G9" s="139" t="s">
        <v>164</v>
      </c>
      <c r="H9" s="119" t="s">
        <v>164</v>
      </c>
      <c r="I9" s="119" t="s">
        <v>164</v>
      </c>
      <c r="J9" s="119" t="s">
        <v>164</v>
      </c>
      <c r="K9" s="119" t="s">
        <v>164</v>
      </c>
      <c r="L9" s="119" t="s">
        <v>164</v>
      </c>
      <c r="M9" s="119" t="s">
        <v>164</v>
      </c>
      <c r="N9" s="119" t="s">
        <v>164</v>
      </c>
      <c r="O9" s="119" t="s">
        <v>164</v>
      </c>
      <c r="P9" s="113">
        <v>5.88</v>
      </c>
      <c r="Q9" s="120" t="s">
        <v>164</v>
      </c>
      <c r="R9" s="120" t="s">
        <v>164</v>
      </c>
      <c r="S9" s="120" t="s">
        <v>164</v>
      </c>
      <c r="T9" s="120" t="s">
        <v>164</v>
      </c>
      <c r="U9" s="120" t="s">
        <v>164</v>
      </c>
      <c r="V9" s="120" t="s">
        <v>164</v>
      </c>
      <c r="W9" s="120" t="s">
        <v>164</v>
      </c>
    </row>
    <row r="10" spans="1:34">
      <c r="A10" s="113">
        <f>HRT!A10</f>
        <v>10.788194444445253</v>
      </c>
      <c r="B10">
        <v>0.84499999999999997</v>
      </c>
      <c r="C10" s="113">
        <f t="shared" si="0"/>
        <v>49.736358062538315</v>
      </c>
      <c r="D10">
        <v>2</v>
      </c>
      <c r="E10" s="113">
        <f t="shared" si="1"/>
        <v>117.71919068056407</v>
      </c>
      <c r="F10" s="139" t="s">
        <v>164</v>
      </c>
      <c r="G10" s="139" t="s">
        <v>164</v>
      </c>
      <c r="H10" s="113">
        <v>0.05</v>
      </c>
      <c r="I10" s="113">
        <v>0.26500000000000001</v>
      </c>
      <c r="J10" s="113">
        <v>95.37</v>
      </c>
      <c r="K10" s="119" t="s">
        <v>164</v>
      </c>
      <c r="L10" s="113">
        <v>3.335</v>
      </c>
      <c r="M10" s="113">
        <f>SUM(H10:L10)</f>
        <v>99.02</v>
      </c>
      <c r="N10" s="113">
        <f>((L10/100)/Constants!$D$25/((10^-P10)^2))*(((10^-P10)^2)+(10^-P10)*Constants!$D$22+Constants!$D$22*Constants!$D$23)*1000</f>
        <v>1.5348135299376493</v>
      </c>
      <c r="O10" s="113">
        <f>N10*(HRT!D10/1000)</f>
        <v>0.88824366481763106</v>
      </c>
      <c r="P10" s="113">
        <v>5.9</v>
      </c>
      <c r="Q10" s="120" t="s">
        <v>164</v>
      </c>
      <c r="R10" s="120" t="s">
        <v>164</v>
      </c>
      <c r="S10" s="120" t="s">
        <v>164</v>
      </c>
      <c r="T10" s="120" t="s">
        <v>164</v>
      </c>
      <c r="U10" s="120" t="s">
        <v>164</v>
      </c>
      <c r="V10" s="120" t="s">
        <v>164</v>
      </c>
      <c r="W10" s="120" t="s">
        <v>164</v>
      </c>
    </row>
    <row r="11" spans="1:34">
      <c r="A11" s="113">
        <f>HRT!A11</f>
        <v>12.790972222224809</v>
      </c>
      <c r="B11">
        <v>0.81200000000000006</v>
      </c>
      <c r="C11" s="113">
        <f t="shared" si="0"/>
        <v>47.793991416309012</v>
      </c>
      <c r="D11">
        <v>2</v>
      </c>
      <c r="E11" s="113">
        <f t="shared" si="1"/>
        <v>117.71919068056407</v>
      </c>
      <c r="F11" s="139" t="s">
        <v>164</v>
      </c>
      <c r="G11" s="139" t="s">
        <v>164</v>
      </c>
      <c r="H11" s="113">
        <v>0.04</v>
      </c>
      <c r="I11" s="113">
        <v>0.26500000000000001</v>
      </c>
      <c r="J11" s="113">
        <v>95.305000000000007</v>
      </c>
      <c r="K11" s="119" t="s">
        <v>164</v>
      </c>
      <c r="L11" s="113">
        <v>3.0949999999999998</v>
      </c>
      <c r="M11" s="113">
        <f t="shared" ref="M11:M74" si="2">SUM(H11:L11)</f>
        <v>98.705000000000013</v>
      </c>
      <c r="N11" s="113">
        <f>((L11/100)/Constants!$D$25/((10^-P11)^2))*(((10^-P11)^2)+(10^-P11)*Constants!$D$22+Constants!$D$22*Constants!$D$23)*1000</f>
        <v>1.4076188710402182</v>
      </c>
      <c r="O11" s="113">
        <f>N11*(HRT!D11/1000)</f>
        <v>0.81329682371719736</v>
      </c>
      <c r="P11" s="113">
        <v>5.88</v>
      </c>
      <c r="Q11" s="120" t="s">
        <v>164</v>
      </c>
      <c r="R11" s="120" t="s">
        <v>164</v>
      </c>
      <c r="S11" s="120" t="s">
        <v>164</v>
      </c>
      <c r="T11" s="120" t="s">
        <v>164</v>
      </c>
      <c r="U11" s="120" t="s">
        <v>164</v>
      </c>
      <c r="V11" s="120" t="s">
        <v>164</v>
      </c>
      <c r="W11" s="120" t="s">
        <v>164</v>
      </c>
    </row>
    <row r="12" spans="1:34">
      <c r="A12" s="113">
        <f>HRT!A12</f>
        <v>14.790277777778101</v>
      </c>
      <c r="B12">
        <v>0.84</v>
      </c>
      <c r="C12" s="113">
        <f t="shared" si="0"/>
        <v>49.442060085836907</v>
      </c>
      <c r="D12">
        <v>2</v>
      </c>
      <c r="E12" s="113">
        <f t="shared" si="1"/>
        <v>117.71919068056407</v>
      </c>
      <c r="F12">
        <f>'lab journal'!G11-'lab journal'!G9</f>
        <v>27399</v>
      </c>
      <c r="G12" s="116">
        <f>F12/('lab journal'!H11-'lab journal'!H9)*60*24</f>
        <v>13713.785192909279</v>
      </c>
      <c r="H12" s="113">
        <v>9.5000000000000001E-2</v>
      </c>
      <c r="I12" s="113">
        <v>0.185</v>
      </c>
      <c r="J12" s="113">
        <v>96.314999999999998</v>
      </c>
      <c r="K12" s="119" t="s">
        <v>164</v>
      </c>
      <c r="L12" s="113">
        <v>3.0750000000000002</v>
      </c>
      <c r="M12" s="113">
        <f t="shared" si="2"/>
        <v>99.67</v>
      </c>
      <c r="N12" s="113">
        <f>((L12/100)/Constants!$D$25/((10^-P12)^2))*(((10^-P12)^2)+(10^-P12)*Constants!$D$22+Constants!$D$22*Constants!$D$23)*1000</f>
        <v>1.3749634400861055</v>
      </c>
      <c r="O12" s="113">
        <f>N12*(HRT!D12/1000)</f>
        <v>0.82338300649251117</v>
      </c>
      <c r="P12" s="113">
        <v>5.85</v>
      </c>
      <c r="Q12" s="113">
        <f>(AVERAGE(H11:H12)/100*G12)/$Z$3</f>
        <v>0.36608419699492856</v>
      </c>
      <c r="R12">
        <f>(AVERAGE(I11:I12)/100*G12)/$Z$3</f>
        <v>1.2202806566497619</v>
      </c>
      <c r="S12">
        <f>(AVERAGE(J11:J12)/100*G12)/$Z$3</f>
        <v>519.62262094939422</v>
      </c>
      <c r="T12" s="120" t="s">
        <v>164</v>
      </c>
      <c r="U12">
        <f>(AVERAGE(L11:L12)/100*G12)/$Z$3</f>
        <v>16.731403670064513</v>
      </c>
      <c r="V12" s="113">
        <f>U12-(W12-S12-O12)</f>
        <v>-5.1695508850541252</v>
      </c>
      <c r="W12">
        <f>S12/AVERAGE(J11:J12)*100</f>
        <v>542.34695851100537</v>
      </c>
    </row>
    <row r="13" spans="1:34">
      <c r="A13" s="113">
        <f>HRT!A13</f>
        <v>17.790277777778101</v>
      </c>
      <c r="B13">
        <v>0.84399999999999997</v>
      </c>
      <c r="C13" s="113">
        <f t="shared" si="0"/>
        <v>49.677498467198035</v>
      </c>
      <c r="D13">
        <v>2</v>
      </c>
      <c r="E13" s="113">
        <f t="shared" si="1"/>
        <v>117.71919068056407</v>
      </c>
      <c r="F13">
        <f>'lab journal'!G12-'lab journal'!G11</f>
        <v>40641</v>
      </c>
      <c r="G13" s="116">
        <f>F13/('lab journal'!H12-'lab journal'!H11)*60*24</f>
        <v>13750.714285714286</v>
      </c>
      <c r="H13" s="113">
        <v>6.5000000000000002E-2</v>
      </c>
      <c r="I13" s="113">
        <v>0.185</v>
      </c>
      <c r="J13" s="113">
        <v>97.454999999999998</v>
      </c>
      <c r="K13" s="119" t="s">
        <v>164</v>
      </c>
      <c r="L13" s="113">
        <v>3.085</v>
      </c>
      <c r="M13" s="113">
        <f t="shared" si="2"/>
        <v>100.78999999999999</v>
      </c>
      <c r="N13" s="113">
        <f>((L13/100)/Constants!$D$25/((10^-P13)^2))*(((10^-P13)^2)+(10^-P13)*Constants!$D$22+Constants!$D$22*Constants!$D$23)*1000</f>
        <v>1.4030708294536585</v>
      </c>
      <c r="O13" s="113">
        <f>N13*(HRT!D13/1000)</f>
        <v>0.7857150350881531</v>
      </c>
      <c r="P13" s="113">
        <v>5.88</v>
      </c>
      <c r="Q13" s="113">
        <f>(AVERAGE(H12:H13)/100*G13)/$Z$3</f>
        <v>0.43504593168438777</v>
      </c>
      <c r="R13">
        <f t="shared" ref="R13:R76" si="3">(AVERAGE(I12:I13)/100*G13)/$Z$3</f>
        <v>1.0060437170201466</v>
      </c>
      <c r="S13">
        <f t="shared" ref="S13:S76" si="4">(AVERAGE(J12:J13)/100*G13)/$Z$3</f>
        <v>526.86781364052376</v>
      </c>
      <c r="T13" s="120" t="s">
        <v>164</v>
      </c>
      <c r="U13">
        <f t="shared" ref="U13:U76" si="5">(AVERAGE(L12:L13)/100*G13)/$Z$3</f>
        <v>16.749268369848931</v>
      </c>
      <c r="V13" s="113">
        <f t="shared" ref="V13:V76" si="6">U13-(W13-S13-O13)</f>
        <v>0.59538243997612383</v>
      </c>
      <c r="W13">
        <f>S13/AVERAGE(J12:J13)*100</f>
        <v>543.80741460548472</v>
      </c>
      <c r="Z13" t="s">
        <v>249</v>
      </c>
      <c r="AA13" t="s">
        <v>250</v>
      </c>
      <c r="AB13" t="s">
        <v>251</v>
      </c>
      <c r="AC13" t="s">
        <v>252</v>
      </c>
      <c r="AD13" t="s">
        <v>251</v>
      </c>
      <c r="AE13" t="s">
        <v>253</v>
      </c>
      <c r="AF13" t="s">
        <v>251</v>
      </c>
      <c r="AG13" t="s">
        <v>254</v>
      </c>
      <c r="AH13" t="s">
        <v>251</v>
      </c>
    </row>
    <row r="14" spans="1:34">
      <c r="A14" s="113">
        <f>HRT!A14</f>
        <v>19.788194444445253</v>
      </c>
      <c r="B14">
        <v>0.81299999999999994</v>
      </c>
      <c r="C14" s="113">
        <f t="shared" si="0"/>
        <v>47.8528510116493</v>
      </c>
      <c r="D14">
        <v>2</v>
      </c>
      <c r="E14" s="113">
        <f t="shared" si="1"/>
        <v>117.71919068056407</v>
      </c>
      <c r="F14">
        <f>'lab journal'!G13-'lab journal'!G12</f>
        <v>27465</v>
      </c>
      <c r="G14" s="116">
        <f>F14/('lab journal'!H13-'lab journal'!H12)*60*24</f>
        <v>13737.269885376867</v>
      </c>
      <c r="H14" s="113">
        <v>0.1</v>
      </c>
      <c r="I14" s="113">
        <v>0.23499999999999999</v>
      </c>
      <c r="J14" s="113">
        <v>96.875</v>
      </c>
      <c r="K14" s="119" t="s">
        <v>164</v>
      </c>
      <c r="L14" s="113">
        <v>3.0949999999999998</v>
      </c>
      <c r="M14" s="113">
        <f t="shared" si="2"/>
        <v>100.30499999999999</v>
      </c>
      <c r="N14" s="113">
        <f>((L14/100)/Constants!$D$25/((10^-P14)^2))*(((10^-P14)^2)+(10^-P14)*Constants!$D$22+Constants!$D$22*Constants!$D$23)*1000</f>
        <v>1.3547332049088718</v>
      </c>
      <c r="O14" s="113">
        <f>N14*(HRT!D14/1000)</f>
        <v>0.75739764779789631</v>
      </c>
      <c r="P14" s="113">
        <v>5.81</v>
      </c>
      <c r="Q14" s="113">
        <f t="shared" ref="Q14:Q76" si="7">(AVERAGE(H13:H14)/100*G14)/$Z$3</f>
        <v>0.44820246996108182</v>
      </c>
      <c r="R14">
        <f t="shared" si="3"/>
        <v>1.1408790144463901</v>
      </c>
      <c r="S14">
        <f t="shared" si="4"/>
        <v>527.8738544699213</v>
      </c>
      <c r="T14" s="120" t="s">
        <v>164</v>
      </c>
      <c r="U14">
        <f t="shared" si="5"/>
        <v>16.787219783996882</v>
      </c>
      <c r="V14" s="113">
        <f t="shared" si="6"/>
        <v>2.142750736768436</v>
      </c>
      <c r="W14">
        <f t="shared" ref="W14:W77" si="8">S14/AVERAGE(J13:J14)*100</f>
        <v>543.27572116494764</v>
      </c>
      <c r="Z14" t="s">
        <v>259</v>
      </c>
      <c r="AA14" s="265" t="s">
        <v>260</v>
      </c>
      <c r="AB14" s="265"/>
      <c r="AC14" s="265" t="s">
        <v>261</v>
      </c>
      <c r="AD14" s="265"/>
      <c r="AE14" s="265" t="s">
        <v>262</v>
      </c>
      <c r="AF14" s="265"/>
      <c r="AG14" s="265" t="s">
        <v>263</v>
      </c>
      <c r="AH14" s="265"/>
    </row>
    <row r="15" spans="1:34">
      <c r="A15" s="113">
        <f>HRT!A15</f>
        <v>21.788194444445253</v>
      </c>
      <c r="B15">
        <v>0.83</v>
      </c>
      <c r="C15" s="113">
        <f t="shared" si="0"/>
        <v>48.853464132434091</v>
      </c>
      <c r="D15">
        <v>2</v>
      </c>
      <c r="E15" s="113">
        <f t="shared" si="1"/>
        <v>117.71919068056407</v>
      </c>
      <c r="F15">
        <f>'lab journal'!G14-'lab journal'!G13</f>
        <v>27528</v>
      </c>
      <c r="G15" s="116">
        <f>F15/('lab journal'!H14-'lab journal'!H13)*60*24</f>
        <v>13744.909847434119</v>
      </c>
      <c r="H15" s="113">
        <v>0.06</v>
      </c>
      <c r="I15" s="113">
        <v>0.95</v>
      </c>
      <c r="J15" s="113">
        <v>95.564999999999998</v>
      </c>
      <c r="K15" s="119" t="s">
        <v>164</v>
      </c>
      <c r="L15" s="113">
        <v>2.875</v>
      </c>
      <c r="M15" s="113">
        <f t="shared" si="2"/>
        <v>99.45</v>
      </c>
      <c r="N15" s="113">
        <f>((L15/100)/Constants!$D$25/((10^-P15)^2))*(((10^-P15)^2)+(10^-P15)*Constants!$D$22+Constants!$D$22*Constants!$D$23)*1000</f>
        <v>1.2396876763321798</v>
      </c>
      <c r="O15" s="113">
        <f>N15*(HRT!D15/1000)</f>
        <v>0.71360977140379656</v>
      </c>
      <c r="P15" s="113">
        <v>5.78</v>
      </c>
      <c r="Q15" s="113">
        <f t="shared" si="7"/>
        <v>0.43486229051440695</v>
      </c>
      <c r="R15">
        <f t="shared" si="3"/>
        <v>3.2206988391223268</v>
      </c>
      <c r="S15">
        <f t="shared" si="4"/>
        <v>523.03061991620302</v>
      </c>
      <c r="T15" s="120" t="s">
        <v>164</v>
      </c>
      <c r="U15">
        <f t="shared" si="5"/>
        <v>16.225799214818807</v>
      </c>
      <c r="V15" s="113">
        <f t="shared" si="6"/>
        <v>-3.6078342405831876</v>
      </c>
      <c r="W15">
        <f t="shared" si="8"/>
        <v>543.57786314300881</v>
      </c>
      <c r="Z15" t="s">
        <v>26</v>
      </c>
      <c r="AA15" s="233">
        <f>AVERAGE(H19:H23)</f>
        <v>3.6999999999999998E-2</v>
      </c>
      <c r="AB15" s="233">
        <f>STDEVA(H19:H23)</f>
        <v>3.1741140496207756E-2</v>
      </c>
      <c r="AC15" s="233">
        <f>AVERAGE(H30:H46)</f>
        <v>6.5000000000000002E-2</v>
      </c>
      <c r="AD15" s="233">
        <f>STDEVA(H30:H46)</f>
        <v>5.4457552276979924E-2</v>
      </c>
      <c r="AE15" s="233">
        <f>AVERAGE(H51:H55)</f>
        <v>0</v>
      </c>
      <c r="AF15" s="233">
        <f>STDEVA(H51:H55)</f>
        <v>0</v>
      </c>
      <c r="AG15" s="233">
        <f>AVERAGE(H62:H93)</f>
        <v>0</v>
      </c>
      <c r="AH15" s="233">
        <f>STDEVA(H62:H93)</f>
        <v>0</v>
      </c>
    </row>
    <row r="16" spans="1:34">
      <c r="A16" s="113">
        <f>HRT!A16</f>
        <v>24.75</v>
      </c>
      <c r="B16">
        <v>0.82099999999999995</v>
      </c>
      <c r="C16" s="113">
        <f t="shared" si="0"/>
        <v>48.323727774371555</v>
      </c>
      <c r="D16">
        <v>1.99</v>
      </c>
      <c r="E16" s="113">
        <f t="shared" si="1"/>
        <v>117.13059472716125</v>
      </c>
      <c r="F16">
        <f>'lab journal'!G16-'lab journal'!G14</f>
        <v>40852</v>
      </c>
      <c r="G16" s="116">
        <f>F16/('lab journal'!H16-'lab journal'!H14)*60*24</f>
        <v>13812.369100727872</v>
      </c>
      <c r="H16" s="113">
        <v>8.4999999999999992E-2</v>
      </c>
      <c r="I16" s="113">
        <v>0.23500000000000001</v>
      </c>
      <c r="J16" s="113">
        <v>96.254999999999995</v>
      </c>
      <c r="K16" s="119" t="s">
        <v>164</v>
      </c>
      <c r="L16" s="113">
        <v>3.06</v>
      </c>
      <c r="M16" s="113">
        <f t="shared" si="2"/>
        <v>99.634999999999991</v>
      </c>
      <c r="N16" s="113">
        <f>((L16/100)/Constants!$D$25/((10^-P16)^2))*(((10^-P16)^2)+(10^-P16)*Constants!$D$22+Constants!$D$22*Constants!$D$23)*1000</f>
        <v>1.6508606539732014</v>
      </c>
      <c r="O16" s="113">
        <f>N16*(HRT!D16/1000)</f>
        <v>0.96725887096546792</v>
      </c>
      <c r="P16" s="113">
        <v>6.12</v>
      </c>
      <c r="Q16" s="113">
        <f t="shared" si="7"/>
        <v>0.39602814197689257</v>
      </c>
      <c r="R16">
        <f t="shared" si="3"/>
        <v>3.2365058499490882</v>
      </c>
      <c r="S16">
        <f t="shared" si="4"/>
        <v>523.90426340694853</v>
      </c>
      <c r="T16" s="120" t="s">
        <v>164</v>
      </c>
      <c r="U16">
        <f t="shared" si="5"/>
        <v>16.209841535399018</v>
      </c>
      <c r="V16" s="113">
        <f t="shared" si="6"/>
        <v>-5.1643492582629911</v>
      </c>
      <c r="W16">
        <f t="shared" si="8"/>
        <v>546.24571307157601</v>
      </c>
      <c r="Z16" t="s">
        <v>184</v>
      </c>
      <c r="AA16" s="233">
        <f>AVERAGE(I19:I23)</f>
        <v>9.6000000000000002E-2</v>
      </c>
      <c r="AB16" s="233">
        <f>STDEVA(I19:I23)</f>
        <v>8.9610267268879426E-2</v>
      </c>
      <c r="AC16" s="233">
        <f>AVERAGE(I30:I46)</f>
        <v>0.24647058823529414</v>
      </c>
      <c r="AD16" s="233">
        <f>STDEVA(I30:I46)</f>
        <v>0.1626419063645109</v>
      </c>
      <c r="AE16" s="233">
        <f>AVERAGE(I51:I55)</f>
        <v>0.26100000000000001</v>
      </c>
      <c r="AF16" s="233">
        <f>STDEVA(I51:I55)</f>
        <v>0.1266589909955072</v>
      </c>
      <c r="AG16" s="233">
        <f>AVERAGE(I62:I93)</f>
        <v>0.24730468750000006</v>
      </c>
      <c r="AH16" s="233">
        <f>STDEVA(I62:I93)</f>
        <v>7.5722400869541559E-2</v>
      </c>
    </row>
    <row r="17" spans="1:34">
      <c r="A17" s="113">
        <f>HRT!A17</f>
        <v>26.75</v>
      </c>
      <c r="B17">
        <v>0.80300000000000005</v>
      </c>
      <c r="C17" s="113">
        <f t="shared" si="0"/>
        <v>47.264255058246484</v>
      </c>
      <c r="D17">
        <v>2</v>
      </c>
      <c r="E17" s="113">
        <f t="shared" si="1"/>
        <v>117.71919068056407</v>
      </c>
      <c r="F17">
        <f>'lab journal'!G17-'lab journal'!G16</f>
        <v>28025</v>
      </c>
      <c r="G17" s="116">
        <f>F17/('lab journal'!H17-'lab journal'!H16)*60*24</f>
        <v>13456.485495165056</v>
      </c>
      <c r="H17" s="113">
        <v>0.02</v>
      </c>
      <c r="I17" s="113">
        <v>0.255</v>
      </c>
      <c r="J17" s="113">
        <v>97.210000000000008</v>
      </c>
      <c r="K17" s="119" t="s">
        <v>164</v>
      </c>
      <c r="L17" s="113">
        <v>2.9750000000000001</v>
      </c>
      <c r="M17" s="113">
        <f t="shared" si="2"/>
        <v>100.46000000000001</v>
      </c>
      <c r="N17" s="113">
        <f>((L17/100)/Constants!$D$25/((10^-P17)^2))*(((10^-P17)^2)+(10^-P17)*Constants!$D$22+Constants!$D$22*Constants!$D$23)*1000</f>
        <v>1.3691365072157444</v>
      </c>
      <c r="O17" s="113">
        <f>N17*(HRT!D17/1000)</f>
        <v>0.89309228987526101</v>
      </c>
      <c r="P17" s="113">
        <v>5.9</v>
      </c>
      <c r="Q17" s="113">
        <f t="shared" si="7"/>
        <v>0.27938997409482141</v>
      </c>
      <c r="R17">
        <f t="shared" si="3"/>
        <v>1.3038198791091666</v>
      </c>
      <c r="S17">
        <f t="shared" si="4"/>
        <v>514.78267941194883</v>
      </c>
      <c r="T17" s="120" t="s">
        <v>164</v>
      </c>
      <c r="U17">
        <f t="shared" si="5"/>
        <v>16.058271368211877</v>
      </c>
      <c r="V17" s="113">
        <f t="shared" si="6"/>
        <v>-0.43733615819524374</v>
      </c>
      <c r="W17">
        <f t="shared" si="8"/>
        <v>532.17137922823122</v>
      </c>
      <c r="Z17" t="s">
        <v>172</v>
      </c>
      <c r="AA17" s="233">
        <f>AVERAGE(J19:J23)</f>
        <v>95.921000000000006</v>
      </c>
      <c r="AB17" s="233">
        <f>STDEVA(J19:J23)</f>
        <v>0.67100111773380056</v>
      </c>
      <c r="AC17" s="233">
        <f>AVERAGE(J30:J46)</f>
        <v>92.618382352941197</v>
      </c>
      <c r="AD17" s="233">
        <f>STDEVA(J30:J46)</f>
        <v>1.1913139218082331</v>
      </c>
      <c r="AE17" s="233">
        <f>AVERAGE(J51:J55)</f>
        <v>94.226500000000016</v>
      </c>
      <c r="AF17" s="233">
        <f>STDEVA(J51:J55)</f>
        <v>0.31008869698845731</v>
      </c>
      <c r="AG17" s="233">
        <f>AVERAGE(J62:J93)</f>
        <v>94.194335937500014</v>
      </c>
      <c r="AH17" s="233">
        <f>STDEVA(J62:J93)</f>
        <v>0.38524682917921738</v>
      </c>
    </row>
    <row r="18" spans="1:34">
      <c r="A18" s="113">
        <f>HRT!A18</f>
        <v>28.75</v>
      </c>
      <c r="B18">
        <v>0.87</v>
      </c>
      <c r="C18" s="113">
        <f t="shared" si="0"/>
        <v>51.207847946045369</v>
      </c>
      <c r="D18">
        <v>2</v>
      </c>
      <c r="E18" s="113">
        <f t="shared" si="1"/>
        <v>117.71919068056407</v>
      </c>
      <c r="F18">
        <f>'lab journal'!G18-'lab journal'!G17</f>
        <v>26456</v>
      </c>
      <c r="G18" s="116">
        <f>F18/('lab journal'!H18-'lab journal'!H17)*60*24</f>
        <v>13818.150163220891</v>
      </c>
      <c r="H18" s="113">
        <v>1.4999999999999999E-2</v>
      </c>
      <c r="I18" s="113">
        <v>0.23499999999999999</v>
      </c>
      <c r="J18" s="113">
        <v>96.11</v>
      </c>
      <c r="K18" s="119" t="s">
        <v>164</v>
      </c>
      <c r="L18" s="113">
        <v>2.9750000000000001</v>
      </c>
      <c r="M18" s="113">
        <f t="shared" si="2"/>
        <v>99.334999999999994</v>
      </c>
      <c r="N18" s="113">
        <f>((L18/100)/Constants!$D$25/((10^-P18)^2))*(((10^-P18)^2)+(10^-P18)*Constants!$D$22+Constants!$D$22*Constants!$D$23)*1000</f>
        <v>1.3774658353857547</v>
      </c>
      <c r="O18" s="113">
        <f>N18*(HRT!D18/1000)</f>
        <v>0.77890900364505333</v>
      </c>
      <c r="P18" s="113">
        <v>5.91</v>
      </c>
      <c r="Q18" s="113">
        <f t="shared" si="7"/>
        <v>9.5633009513709413E-2</v>
      </c>
      <c r="R18">
        <f t="shared" si="3"/>
        <v>1.3388621331919315</v>
      </c>
      <c r="S18">
        <f t="shared" si="4"/>
        <v>528.22209711972289</v>
      </c>
      <c r="T18" s="120" t="s">
        <v>164</v>
      </c>
      <c r="U18">
        <f t="shared" si="5"/>
        <v>16.2576116173306</v>
      </c>
      <c r="V18" s="113">
        <f t="shared" si="6"/>
        <v>-1.2157223376408801</v>
      </c>
      <c r="W18">
        <f t="shared" si="8"/>
        <v>546.47434007833942</v>
      </c>
      <c r="Z18" t="s">
        <v>27</v>
      </c>
      <c r="AA18" s="233">
        <f>AVERAGE(L19:L23)</f>
        <v>3.0300000000000002</v>
      </c>
      <c r="AB18" s="233">
        <f>STDEVA(L19:L23)</f>
        <v>8.0389675954067624E-2</v>
      </c>
      <c r="AC18" s="233">
        <f>AVERAGE(L30:L46)</f>
        <v>6.9495588235294106</v>
      </c>
      <c r="AD18" s="233">
        <f>STDEVA(L30:L46)</f>
        <v>0.95010699861833448</v>
      </c>
      <c r="AE18" s="233">
        <f>AVERAGE(L51:L55)</f>
        <v>5.8745000000000003</v>
      </c>
      <c r="AF18" s="233">
        <f>STDEVA(L51:L55)</f>
        <v>9.2168324276836189E-2</v>
      </c>
      <c r="AG18" s="233">
        <f>AVERAGE(L62:L93)</f>
        <v>6.0563281249999994</v>
      </c>
      <c r="AH18" s="233">
        <f>STDEVA(L62:L93)</f>
        <v>9.0616135550890792E-2</v>
      </c>
    </row>
    <row r="19" spans="1:34">
      <c r="A19" s="230">
        <f>HRT!A19</f>
        <v>31.75</v>
      </c>
      <c r="B19">
        <v>0.82499999999999996</v>
      </c>
      <c r="C19" s="113">
        <f t="shared" si="0"/>
        <v>48.559166155732683</v>
      </c>
      <c r="D19">
        <v>2</v>
      </c>
      <c r="E19" s="113">
        <f t="shared" si="1"/>
        <v>117.71919068056407</v>
      </c>
      <c r="F19">
        <f>'lab journal'!G19-'lab journal'!G18</f>
        <v>41033</v>
      </c>
      <c r="G19" s="116">
        <f>F19/('lab journal'!H19-'lab journal'!H18)*60*24</f>
        <v>13677.666666666668</v>
      </c>
      <c r="H19" s="113">
        <v>0.06</v>
      </c>
      <c r="I19" s="113">
        <v>0.19</v>
      </c>
      <c r="J19" s="113">
        <v>96.4</v>
      </c>
      <c r="K19" s="119" t="s">
        <v>164</v>
      </c>
      <c r="L19" s="113">
        <v>3.165</v>
      </c>
      <c r="M19" s="113">
        <f t="shared" si="2"/>
        <v>99.815000000000012</v>
      </c>
      <c r="N19" s="113">
        <f>((L19/100)/Constants!$D$25/((10^-P19)^2))*(((10^-P19)^2)+(10^-P19)*Constants!$D$22+Constants!$D$22*Constants!$D$23)*1000</f>
        <v>1.439455162146136</v>
      </c>
      <c r="O19" s="113">
        <f>N19*(HRT!D19/1000)</f>
        <v>0.82955043629558511</v>
      </c>
      <c r="P19" s="113">
        <v>5.88</v>
      </c>
      <c r="Q19" s="113">
        <f t="shared" si="7"/>
        <v>0.20284445938463971</v>
      </c>
      <c r="R19">
        <f t="shared" si="3"/>
        <v>1.1494519365129585</v>
      </c>
      <c r="S19">
        <f t="shared" si="4"/>
        <v>520.66115834849325</v>
      </c>
      <c r="T19" s="120" t="s">
        <v>164</v>
      </c>
      <c r="U19">
        <f t="shared" si="5"/>
        <v>16.606199741622504</v>
      </c>
      <c r="V19" s="113">
        <f t="shared" si="6"/>
        <v>-2.8216498326279194</v>
      </c>
      <c r="W19">
        <f t="shared" si="8"/>
        <v>540.91855835903925</v>
      </c>
    </row>
    <row r="20" spans="1:34">
      <c r="A20" s="230">
        <f>HRT!A20</f>
        <v>33.761111111110949</v>
      </c>
      <c r="B20">
        <v>0.78100000000000003</v>
      </c>
      <c r="C20" s="113">
        <f t="shared" si="0"/>
        <v>45.969343960760277</v>
      </c>
      <c r="D20">
        <v>2</v>
      </c>
      <c r="E20" s="113">
        <f t="shared" si="1"/>
        <v>117.71919068056407</v>
      </c>
      <c r="F20">
        <f>'lab journal'!G20-'lab journal'!G19</f>
        <v>27554</v>
      </c>
      <c r="G20" s="116">
        <f>F20/('lab journal'!H20-'lab journal'!H19)*60*24</f>
        <v>13757.891816920943</v>
      </c>
      <c r="H20" s="113">
        <v>2.5000000000000001E-2</v>
      </c>
      <c r="I20" s="113">
        <v>0</v>
      </c>
      <c r="J20" s="113">
        <v>95.394999999999996</v>
      </c>
      <c r="K20" s="119" t="s">
        <v>164</v>
      </c>
      <c r="L20" s="113">
        <v>3.02</v>
      </c>
      <c r="M20" s="113">
        <f t="shared" si="2"/>
        <v>98.44</v>
      </c>
      <c r="N20" s="113">
        <f>((L20/100)/Constants!$D$25/((10^-P20)^2))*(((10^-P20)^2)+(10^-P20)*Constants!$D$22+Constants!$D$22*Constants!$D$23)*1000</f>
        <v>1.3815832977596803</v>
      </c>
      <c r="O20" s="113">
        <f>N20*(HRT!D20/1000)</f>
        <v>0.7800744648100375</v>
      </c>
      <c r="P20" s="113">
        <v>5.89</v>
      </c>
      <c r="Q20" s="113">
        <f t="shared" si="7"/>
        <v>0.2312387891398956</v>
      </c>
      <c r="R20">
        <f t="shared" si="3"/>
        <v>0.51688670513623725</v>
      </c>
      <c r="S20">
        <f t="shared" si="4"/>
        <v>521.76992427160337</v>
      </c>
      <c r="T20" s="120" t="s">
        <v>164</v>
      </c>
      <c r="U20">
        <f t="shared" si="5"/>
        <v>16.826022480355935</v>
      </c>
      <c r="V20" s="113">
        <f t="shared" si="6"/>
        <v>-4.7152473476909336</v>
      </c>
      <c r="W20">
        <f t="shared" si="8"/>
        <v>544.09126856446028</v>
      </c>
    </row>
    <row r="21" spans="1:34">
      <c r="A21" s="230">
        <f>HRT!A21</f>
        <v>35.759722222224809</v>
      </c>
      <c r="B21">
        <v>0.80900000000000005</v>
      </c>
      <c r="C21" s="113">
        <f t="shared" si="0"/>
        <v>47.617412630288172</v>
      </c>
      <c r="D21">
        <v>1.99</v>
      </c>
      <c r="E21" s="113">
        <f t="shared" si="1"/>
        <v>117.13059472716125</v>
      </c>
      <c r="F21">
        <f>'lab journal'!G21-'lab journal'!G20</f>
        <v>27410</v>
      </c>
      <c r="G21" s="116">
        <f>F21/('lab journal'!H21-'lab journal'!H20)*60*24</f>
        <v>13681.247833622187</v>
      </c>
      <c r="H21" s="113">
        <f>AVERAGE(H20,H22)</f>
        <v>1.5000000000000001E-2</v>
      </c>
      <c r="I21">
        <v>0</v>
      </c>
      <c r="J21" s="113">
        <v>96.344999999999999</v>
      </c>
      <c r="K21" s="119" t="s">
        <v>164</v>
      </c>
      <c r="L21" s="113">
        <v>2.95</v>
      </c>
      <c r="M21" s="113">
        <f t="shared" si="2"/>
        <v>99.31</v>
      </c>
      <c r="N21" s="113">
        <f>((L21/100)/Constants!$D$25/((10^-P21)^2))*(((10^-P21)^2)+(10^-P21)*Constants!$D$22+Constants!$D$22*Constants!$D$23)*1000</f>
        <v>1.3190706173183773</v>
      </c>
      <c r="O21" s="113">
        <f>N21*(HRT!D21/1000)</f>
        <v>0.7632919795882932</v>
      </c>
      <c r="P21" s="113">
        <v>5.85</v>
      </c>
      <c r="Q21" s="113">
        <f t="shared" si="7"/>
        <v>0.10821203696608547</v>
      </c>
      <c r="R21">
        <f>(AVERAGE(I20:I21)/100*G21)/$Z$3</f>
        <v>0</v>
      </c>
      <c r="S21">
        <f t="shared" si="4"/>
        <v>518.71439919693069</v>
      </c>
      <c r="T21" s="120" t="s">
        <v>164</v>
      </c>
      <c r="U21">
        <f t="shared" si="5"/>
        <v>16.150646517188257</v>
      </c>
      <c r="V21" s="113">
        <f t="shared" si="6"/>
        <v>-5.4318471367200267</v>
      </c>
      <c r="W21">
        <f t="shared" si="8"/>
        <v>541.06018483042726</v>
      </c>
    </row>
    <row r="22" spans="1:34">
      <c r="A22" s="230">
        <f>HRT!A22</f>
        <v>38.75</v>
      </c>
      <c r="B22">
        <v>0.82</v>
      </c>
      <c r="C22" s="113">
        <f t="shared" si="0"/>
        <v>48.264868179031268</v>
      </c>
      <c r="D22">
        <v>2</v>
      </c>
      <c r="E22" s="113">
        <f t="shared" si="1"/>
        <v>117.71919068056407</v>
      </c>
      <c r="F22">
        <f>'lab journal'!G22-'lab journal'!G21</f>
        <v>40693</v>
      </c>
      <c r="G22" s="116">
        <f>F22/('lab journal'!H22-'lab journal'!H21)*60*24</f>
        <v>13646.464834653005</v>
      </c>
      <c r="H22" s="113">
        <v>5.0000000000000001E-3</v>
      </c>
      <c r="I22" s="113">
        <v>0.15</v>
      </c>
      <c r="J22" s="113">
        <v>96.455000000000013</v>
      </c>
      <c r="K22" s="119" t="s">
        <v>164</v>
      </c>
      <c r="L22" s="113">
        <v>3.0149999999999997</v>
      </c>
      <c r="M22" s="113">
        <f t="shared" si="2"/>
        <v>99.625000000000014</v>
      </c>
      <c r="N22" s="113">
        <f>((L22/100)/Constants!$D$25/((10^-P22)^2))*(((10^-P22)^2)+(10^-P22)*Constants!$D$22+Constants!$D$22*Constants!$D$23)*1000</f>
        <v>1.3481348851575956</v>
      </c>
      <c r="O22" s="113">
        <f>N22*(HRT!D22/1000)</f>
        <v>0.74438596851949446</v>
      </c>
      <c r="P22" s="113">
        <v>5.85</v>
      </c>
      <c r="Q22" s="113">
        <f t="shared" si="7"/>
        <v>5.3968460154445161E-2</v>
      </c>
      <c r="R22">
        <f t="shared" si="3"/>
        <v>0.40476345115833873</v>
      </c>
      <c r="S22">
        <f t="shared" si="4"/>
        <v>520.25595588885142</v>
      </c>
      <c r="T22" s="120" t="s">
        <v>164</v>
      </c>
      <c r="U22">
        <f t="shared" si="5"/>
        <v>16.096093241063269</v>
      </c>
      <c r="V22" s="113">
        <f t="shared" si="6"/>
        <v>-2.5881664460174711</v>
      </c>
      <c r="W22">
        <f t="shared" si="8"/>
        <v>539.68460154445165</v>
      </c>
    </row>
    <row r="23" spans="1:34">
      <c r="A23" s="230">
        <f>HRT!A23</f>
        <v>40.759722222224809</v>
      </c>
      <c r="B23">
        <v>0.87</v>
      </c>
      <c r="C23" s="113">
        <f t="shared" si="0"/>
        <v>51.207847946045369</v>
      </c>
      <c r="D23">
        <v>2</v>
      </c>
      <c r="E23" s="113">
        <f t="shared" si="1"/>
        <v>117.71919068056407</v>
      </c>
      <c r="F23">
        <f>'lab journal'!G23-'lab journal'!G22</f>
        <v>27524</v>
      </c>
      <c r="G23" s="116">
        <f>F23/('lab journal'!H23-'lab journal'!H22)*60*24</f>
        <v>13695.425017277126</v>
      </c>
      <c r="H23" s="113">
        <f>AVERAGE(H22,H25)</f>
        <v>0.08</v>
      </c>
      <c r="I23">
        <v>0.14000000000000001</v>
      </c>
      <c r="J23" s="113">
        <v>95.009999999999991</v>
      </c>
      <c r="K23" s="119" t="s">
        <v>164</v>
      </c>
      <c r="L23" s="113">
        <v>3</v>
      </c>
      <c r="M23" s="113">
        <f t="shared" si="2"/>
        <v>98.22999999999999</v>
      </c>
      <c r="N23" s="113">
        <f>((L23/100)/Constants!$D$25/((10^-P23)^2))*(((10^-P23)^2)+(10^-P23)*Constants!$D$22+Constants!$D$22*Constants!$D$23)*1000</f>
        <v>1.3890411785402565</v>
      </c>
      <c r="O23" s="113">
        <f>N23*(HRT!D23/1000)</f>
        <v>0.78024681445498034</v>
      </c>
      <c r="P23" s="113">
        <v>5.91</v>
      </c>
      <c r="Q23" s="113">
        <f t="shared" si="7"/>
        <v>0.2301888646817519</v>
      </c>
      <c r="R23">
        <f t="shared" si="3"/>
        <v>0.78535024420833011</v>
      </c>
      <c r="S23">
        <f t="shared" si="4"/>
        <v>518.50718795637204</v>
      </c>
      <c r="T23" s="120" t="s">
        <v>164</v>
      </c>
      <c r="U23">
        <f t="shared" si="5"/>
        <v>16.289247306596913</v>
      </c>
      <c r="V23" s="113">
        <f t="shared" si="6"/>
        <v>-6.0441759972863984</v>
      </c>
      <c r="W23">
        <f t="shared" si="8"/>
        <v>541.62085807471033</v>
      </c>
    </row>
    <row r="24" spans="1:34" s="226" customFormat="1">
      <c r="A24" s="225">
        <f>HRT!A24</f>
        <v>42.725694444445253</v>
      </c>
      <c r="B24" s="226">
        <v>0.80900000000000005</v>
      </c>
      <c r="C24" s="225">
        <f t="shared" si="0"/>
        <v>47.617412630288172</v>
      </c>
      <c r="D24" s="226">
        <v>2</v>
      </c>
      <c r="E24" s="225">
        <f t="shared" si="1"/>
        <v>117.71919068056407</v>
      </c>
      <c r="F24" s="226">
        <f>'lab journal'!G24-'lab journal'!G23</f>
        <v>27130</v>
      </c>
      <c r="G24" s="238">
        <f>F24/('lab journal'!H24-'lab journal'!H23)*60*24</f>
        <v>13814.427157001415</v>
      </c>
      <c r="H24" s="225">
        <f>AVERAGE(H23,H25)</f>
        <v>0.11749999999999999</v>
      </c>
      <c r="I24" s="226">
        <v>0.12</v>
      </c>
      <c r="J24" s="225">
        <v>95.75</v>
      </c>
      <c r="K24" s="236" t="s">
        <v>164</v>
      </c>
      <c r="L24" s="225">
        <v>2.915</v>
      </c>
      <c r="M24" s="225">
        <f t="shared" si="2"/>
        <v>98.902500000000003</v>
      </c>
      <c r="N24" s="225">
        <f>((L24/100)/Constants!$D$25/((10^-P24)^2))*(((10^-P24)^2)+(10^-P24)*Constants!$D$22+Constants!$D$22*Constants!$D$23)*1000</f>
        <v>1.3335481168773071</v>
      </c>
      <c r="O24" s="225">
        <f>N24*(HRT!D24/1000)</f>
        <v>0.73768618156451338</v>
      </c>
      <c r="P24" s="225">
        <v>5.89</v>
      </c>
      <c r="Q24" s="225">
        <f t="shared" si="7"/>
        <v>0.53949801540531905</v>
      </c>
      <c r="R24" s="226">
        <f t="shared" si="3"/>
        <v>0.71022523547029337</v>
      </c>
      <c r="S24" s="226">
        <f t="shared" si="4"/>
        <v>521.08679199351218</v>
      </c>
      <c r="T24" s="237" t="s">
        <v>164</v>
      </c>
      <c r="U24" s="226">
        <f t="shared" si="5"/>
        <v>16.157624106949175</v>
      </c>
      <c r="V24" s="225">
        <f t="shared" si="6"/>
        <v>-8.3450019258920882</v>
      </c>
      <c r="W24" s="226">
        <f t="shared" si="8"/>
        <v>546.32710420791796</v>
      </c>
    </row>
    <row r="25" spans="1:34">
      <c r="A25" s="113">
        <f>HRT!A25</f>
        <v>42.944444444445253</v>
      </c>
      <c r="B25">
        <v>0.873</v>
      </c>
      <c r="C25" s="113">
        <f t="shared" si="0"/>
        <v>51.38442673206621</v>
      </c>
      <c r="D25">
        <v>2</v>
      </c>
      <c r="E25" s="113">
        <f t="shared" si="1"/>
        <v>117.71919068056407</v>
      </c>
      <c r="F25">
        <f>'lab journal'!G25-'lab journal'!G24</f>
        <v>2418</v>
      </c>
      <c r="G25" s="116">
        <f>F25/('lab journal'!H25-'lab journal'!H24)*60*24</f>
        <v>11018.73417721519</v>
      </c>
      <c r="H25" s="113">
        <v>0.155</v>
      </c>
      <c r="I25" s="113">
        <v>0.44500000000000001</v>
      </c>
      <c r="J25" s="113">
        <v>95.17</v>
      </c>
      <c r="K25" s="119" t="s">
        <v>164</v>
      </c>
      <c r="L25" s="113">
        <v>3.68</v>
      </c>
      <c r="M25" s="113">
        <f t="shared" si="2"/>
        <v>99.45</v>
      </c>
      <c r="N25" s="113">
        <f>((L25/100)/Constants!$D$25/((10^-P25)^2))*(((10^-P25)^2)+(10^-P25)*Constants!$D$22+Constants!$D$22*Constants!$D$23)*1000</f>
        <v>1.683518720448882</v>
      </c>
      <c r="O25" s="113">
        <f>N25*(HRT!D25/1000)</f>
        <v>1.2852544396506032</v>
      </c>
      <c r="P25" s="113">
        <v>5.89</v>
      </c>
      <c r="Q25" s="113">
        <f t="shared" si="7"/>
        <v>0.59372875569309869</v>
      </c>
      <c r="R25">
        <f t="shared" si="3"/>
        <v>1.2310339338223881</v>
      </c>
      <c r="S25">
        <f t="shared" si="4"/>
        <v>415.98052857587686</v>
      </c>
      <c r="T25" s="120" t="s">
        <v>164</v>
      </c>
      <c r="U25">
        <f t="shared" si="5"/>
        <v>14.369325298333896</v>
      </c>
      <c r="V25" s="113">
        <f t="shared" si="6"/>
        <v>-4.1291160480460913</v>
      </c>
      <c r="W25">
        <f t="shared" si="8"/>
        <v>435.76422436190745</v>
      </c>
    </row>
    <row r="26" spans="1:34">
      <c r="A26" s="113">
        <f>HRT!A26</f>
        <v>45.740277777782467</v>
      </c>
      <c r="B26">
        <v>0.85599999999999998</v>
      </c>
      <c r="C26" s="113">
        <f t="shared" si="0"/>
        <v>50.383813611281418</v>
      </c>
      <c r="D26">
        <v>2</v>
      </c>
      <c r="E26" s="113">
        <f t="shared" si="1"/>
        <v>117.71919068056407</v>
      </c>
      <c r="F26">
        <f>'lab journal'!G26-'lab journal'!G25</f>
        <v>39034</v>
      </c>
      <c r="G26" s="116">
        <f>F26/('lab journal'!H26-'lab journal'!H25)*60*24</f>
        <v>13989.288203086113</v>
      </c>
      <c r="H26" s="113">
        <v>0.02</v>
      </c>
      <c r="I26" s="113">
        <v>0.67</v>
      </c>
      <c r="J26" s="113">
        <v>95.525000000000006</v>
      </c>
      <c r="K26" s="119" t="s">
        <v>164</v>
      </c>
      <c r="L26" s="113">
        <v>3.085</v>
      </c>
      <c r="M26" s="113">
        <f t="shared" si="2"/>
        <v>99.3</v>
      </c>
      <c r="N26" s="113">
        <f>((L26/100)/Constants!$D$25/((10^-P26)^2))*(((10^-P26)^2)+(10^-P26)*Constants!$D$22+Constants!$D$22*Constants!$D$23)*1000</f>
        <v>1.3871328075065439</v>
      </c>
      <c r="O26" s="113">
        <f>N26*(HRT!D26/1000)</f>
        <v>0.73834761244387204</v>
      </c>
      <c r="P26" s="113">
        <v>5.86</v>
      </c>
      <c r="Q26" s="113">
        <f t="shared" si="7"/>
        <v>0.48408713033695905</v>
      </c>
      <c r="R26">
        <f t="shared" si="3"/>
        <v>3.084326573289768</v>
      </c>
      <c r="S26">
        <f t="shared" si="4"/>
        <v>527.50283039775093</v>
      </c>
      <c r="T26" s="120" t="s">
        <v>164</v>
      </c>
      <c r="U26">
        <f t="shared" si="5"/>
        <v>18.713425352740163</v>
      </c>
      <c r="V26" s="113">
        <f t="shared" si="6"/>
        <v>-6.2878313078753649</v>
      </c>
      <c r="W26">
        <f t="shared" si="8"/>
        <v>553.24243467081033</v>
      </c>
    </row>
    <row r="27" spans="1:34">
      <c r="A27" s="113">
        <f>HRT!A27</f>
        <v>47.751388888893416</v>
      </c>
      <c r="B27">
        <v>0.85199999999999998</v>
      </c>
      <c r="C27" s="113">
        <f t="shared" si="0"/>
        <v>50.148375229920291</v>
      </c>
      <c r="D27">
        <v>2</v>
      </c>
      <c r="E27" s="113">
        <f t="shared" si="1"/>
        <v>117.71919068056407</v>
      </c>
      <c r="F27">
        <f>'lab journal'!G27-'lab journal'!G26</f>
        <v>28015</v>
      </c>
      <c r="G27" s="116">
        <f>F27/('lab journal'!H27-'lab journal'!H26)*60*24</f>
        <v>13920.496894409938</v>
      </c>
      <c r="H27" s="113">
        <v>0.01</v>
      </c>
      <c r="I27" s="113">
        <v>0.21500000000000002</v>
      </c>
      <c r="J27" s="113">
        <v>96.254999999999995</v>
      </c>
      <c r="K27" s="119" t="s">
        <v>164</v>
      </c>
      <c r="L27" s="113">
        <v>3.04</v>
      </c>
      <c r="M27" s="113">
        <f t="shared" si="2"/>
        <v>99.52</v>
      </c>
      <c r="N27" s="113">
        <f>((L27/100)/Constants!$D$25/((10^-P27)^2))*(((10^-P27)^2)+(10^-P27)*Constants!$D$22+Constants!$D$22*Constants!$D$23)*1000</f>
        <v>1.3375769438245</v>
      </c>
      <c r="O27" s="113">
        <f>N27*(HRT!D27/1000)</f>
        <v>0.69713187522163023</v>
      </c>
      <c r="P27" s="113">
        <v>5.82</v>
      </c>
      <c r="Q27" s="113">
        <f t="shared" si="7"/>
        <v>8.2578285777168803E-2</v>
      </c>
      <c r="R27">
        <f t="shared" si="3"/>
        <v>2.43605943042648</v>
      </c>
      <c r="S27">
        <f t="shared" si="4"/>
        <v>527.89545487818111</v>
      </c>
      <c r="T27" s="120" t="s">
        <v>164</v>
      </c>
      <c r="U27">
        <f t="shared" si="5"/>
        <v>16.859733346171968</v>
      </c>
      <c r="V27" s="113">
        <f t="shared" si="6"/>
        <v>-5.0695850815506525</v>
      </c>
      <c r="W27">
        <f t="shared" si="8"/>
        <v>550.52190518112536</v>
      </c>
    </row>
    <row r="28" spans="1:34">
      <c r="A28" s="113">
        <f>HRT!A28</f>
        <v>48.746527777781012</v>
      </c>
      <c r="B28">
        <v>0.8</v>
      </c>
      <c r="C28" s="113">
        <f t="shared" si="0"/>
        <v>47.087676272225629</v>
      </c>
      <c r="D28">
        <v>2</v>
      </c>
      <c r="E28" s="113">
        <f t="shared" si="1"/>
        <v>117.71919068056407</v>
      </c>
      <c r="F28">
        <f>'lab journal'!G28-0</f>
        <v>111</v>
      </c>
      <c r="G28" s="116">
        <f>F28/('lab journal'!H28-0)*60*24</f>
        <v>7265.454545454546</v>
      </c>
      <c r="H28" s="113">
        <f>AVERAGE(H27,H29)</f>
        <v>5.2499999999999998E-2</v>
      </c>
      <c r="I28" s="113">
        <f>AVERAGE(I27,I29)</f>
        <v>0.22</v>
      </c>
      <c r="J28" s="113">
        <f>AVERAGE(J27,J29)</f>
        <v>88.502499999999998</v>
      </c>
      <c r="K28" s="119" t="s">
        <v>164</v>
      </c>
      <c r="L28" s="113">
        <f>AVERAGE(L27,L29)</f>
        <v>10.7425</v>
      </c>
      <c r="M28" s="113">
        <f t="shared" si="2"/>
        <v>99.517499999999984</v>
      </c>
      <c r="N28" s="113">
        <f>((L28/100)/Constants!$D$25/((10^-P28)^2))*(((10^-P28)^2)+(10^-P28)*Constants!$D$22+Constants!$D$22*Constants!$D$23)*1000</f>
        <v>4.8302347438052022</v>
      </c>
      <c r="O28" s="113">
        <f>N28*(HRT!D28/1000)</f>
        <v>3.6456447204842424</v>
      </c>
      <c r="P28" s="113">
        <v>5.86</v>
      </c>
      <c r="Q28" s="113">
        <f t="shared" si="7"/>
        <v>8.97909730860771E-2</v>
      </c>
      <c r="R28">
        <f t="shared" si="3"/>
        <v>0.62494517267909666</v>
      </c>
      <c r="S28">
        <f t="shared" si="4"/>
        <v>265.43289135921424</v>
      </c>
      <c r="T28" s="120" t="s">
        <v>164</v>
      </c>
      <c r="U28">
        <f t="shared" si="5"/>
        <v>19.800705384941718</v>
      </c>
      <c r="V28" s="113">
        <f t="shared" si="6"/>
        <v>1.5481275891934949</v>
      </c>
      <c r="W28">
        <f t="shared" si="8"/>
        <v>287.3311138754467</v>
      </c>
    </row>
    <row r="29" spans="1:34">
      <c r="A29" s="113">
        <f>HRT!A29</f>
        <v>49.74861111111386</v>
      </c>
      <c r="B29">
        <v>0.82</v>
      </c>
      <c r="C29" s="113">
        <f t="shared" si="0"/>
        <v>48.264868179031268</v>
      </c>
      <c r="D29">
        <v>2</v>
      </c>
      <c r="E29" s="113">
        <f t="shared" si="1"/>
        <v>117.71919068056407</v>
      </c>
      <c r="F29">
        <f>'lab journal'!G29-'lab journal'!G28</f>
        <v>3819</v>
      </c>
      <c r="G29" s="116">
        <f>F29/('lab journal'!H29-'lab journal'!H28)*60*24</f>
        <v>3824.311543810848</v>
      </c>
      <c r="H29" s="113">
        <v>9.5000000000000001E-2</v>
      </c>
      <c r="I29">
        <v>0.22499999999999998</v>
      </c>
      <c r="J29" s="113">
        <v>80.75</v>
      </c>
      <c r="K29" s="119" t="s">
        <v>164</v>
      </c>
      <c r="L29" s="113">
        <v>18.445</v>
      </c>
      <c r="M29" s="113">
        <f t="shared" si="2"/>
        <v>99.514999999999986</v>
      </c>
      <c r="N29" s="113">
        <f>((L29/100)/Constants!$D$25/((10^-P29)^2))*(((10^-P29)^2)+(10^-P29)*Constants!$D$22+Constants!$D$22*Constants!$D$23)*1000</f>
        <v>8.3888627064093146</v>
      </c>
      <c r="O29" s="113">
        <f>N29*(HRT!D29/1000)</f>
        <v>3.675117210951119</v>
      </c>
      <c r="P29" s="113">
        <v>5.88</v>
      </c>
      <c r="Q29" s="113">
        <f t="shared" si="7"/>
        <v>0.11154115967572967</v>
      </c>
      <c r="R29">
        <f t="shared" si="3"/>
        <v>0.33651400715728602</v>
      </c>
      <c r="S29">
        <f t="shared" si="4"/>
        <v>127.99064493570465</v>
      </c>
      <c r="T29" s="120" t="s">
        <v>164</v>
      </c>
      <c r="U29">
        <f t="shared" si="5"/>
        <v>22.071915918883793</v>
      </c>
      <c r="V29" s="113">
        <f t="shared" si="6"/>
        <v>2.4954276577705272</v>
      </c>
      <c r="W29">
        <f t="shared" si="8"/>
        <v>151.24225040776903</v>
      </c>
    </row>
    <row r="30" spans="1:34">
      <c r="A30" s="231">
        <f>HRT!A30</f>
        <v>52.738194444449618</v>
      </c>
      <c r="B30">
        <v>0.85099999999999998</v>
      </c>
      <c r="C30" s="113">
        <f t="shared" si="0"/>
        <v>50.089515634580017</v>
      </c>
      <c r="D30">
        <v>5</v>
      </c>
      <c r="E30" s="113">
        <f t="shared" si="1"/>
        <v>294.29797670141016</v>
      </c>
      <c r="F30">
        <f>'lab journal'!G30-'lab journal'!G29</f>
        <v>19228</v>
      </c>
      <c r="G30" s="116">
        <f>F30/('lab journal'!H30-'lab journal'!H29)*60*24</f>
        <v>6445.1396648044683</v>
      </c>
      <c r="H30" s="113">
        <v>0.16</v>
      </c>
      <c r="I30" s="113">
        <v>0.12</v>
      </c>
      <c r="J30" s="113">
        <v>88.4</v>
      </c>
      <c r="K30" s="119" t="s">
        <v>164</v>
      </c>
      <c r="L30" s="113">
        <v>10.559999999999999</v>
      </c>
      <c r="M30" s="113">
        <f t="shared" si="2"/>
        <v>99.240000000000009</v>
      </c>
      <c r="N30" s="113">
        <f>((L30/100)/Constants!$D$25/((10^-P30)^2))*(((10^-P30)^2)+(10^-P30)*Constants!$D$22+Constants!$D$22*Constants!$D$23)*1000</f>
        <v>4.3732137016150361</v>
      </c>
      <c r="O30" s="113">
        <f>N30*(HRT!D30/1000)</f>
        <v>2.2874965431778063</v>
      </c>
      <c r="P30" s="113">
        <v>5.69</v>
      </c>
      <c r="Q30" s="113">
        <f t="shared" si="7"/>
        <v>0.32498430248460403</v>
      </c>
      <c r="R30">
        <f t="shared" si="3"/>
        <v>0.43968464453799361</v>
      </c>
      <c r="S30">
        <f t="shared" si="4"/>
        <v>215.57292064812066</v>
      </c>
      <c r="T30" s="120" t="s">
        <v>164</v>
      </c>
      <c r="U30">
        <f t="shared" si="5"/>
        <v>36.965371347317408</v>
      </c>
      <c r="V30" s="113">
        <f t="shared" si="6"/>
        <v>-6.3860468916637103E-2</v>
      </c>
      <c r="W30">
        <f t="shared" si="8"/>
        <v>254.88964900753251</v>
      </c>
    </row>
    <row r="31" spans="1:34">
      <c r="A31" s="231">
        <f>HRT!A31</f>
        <v>54.743055555554747</v>
      </c>
      <c r="B31">
        <v>0.80500000000000005</v>
      </c>
      <c r="C31" s="113">
        <f t="shared" si="0"/>
        <v>47.381974248927044</v>
      </c>
      <c r="D31">
        <v>8</v>
      </c>
      <c r="E31" s="113">
        <f t="shared" si="1"/>
        <v>470.87676272225627</v>
      </c>
      <c r="F31">
        <f>'lab journal'!G31-'lab journal'!G30</f>
        <v>24036</v>
      </c>
      <c r="G31" s="116">
        <f>F31/('lab journal'!H31-'lab journal'!H30)*60*24</f>
        <v>11955.730569948188</v>
      </c>
      <c r="H31" s="113">
        <v>1.4999999999999999E-2</v>
      </c>
      <c r="I31" s="113">
        <v>0.11499999999999999</v>
      </c>
      <c r="J31" s="113">
        <v>92.919999999999987</v>
      </c>
      <c r="K31" s="119" t="s">
        <v>164</v>
      </c>
      <c r="L31" s="113">
        <v>7.32</v>
      </c>
      <c r="M31" s="113">
        <f t="shared" si="2"/>
        <v>100.36999999999998</v>
      </c>
      <c r="N31" s="113">
        <f>((L31/100)/Constants!$D$25/((10^-P31)^2))*(((10^-P31)^2)+(10^-P31)*Constants!$D$22+Constants!$D$22*Constants!$D$23)*1000</f>
        <v>3.3892604756382267</v>
      </c>
      <c r="O31" s="113">
        <f>N31*(HRT!D31/1000)</f>
        <v>1.8059146257702656</v>
      </c>
      <c r="P31" s="113">
        <v>5.91</v>
      </c>
      <c r="Q31" s="113">
        <f t="shared" si="7"/>
        <v>0.41371764014492857</v>
      </c>
      <c r="R31">
        <f t="shared" si="3"/>
        <v>0.55556368819461821</v>
      </c>
      <c r="S31">
        <f t="shared" si="4"/>
        <v>428.65875720616248</v>
      </c>
      <c r="T31" s="120" t="s">
        <v>164</v>
      </c>
      <c r="U31">
        <f t="shared" si="5"/>
        <v>42.270122318807552</v>
      </c>
      <c r="V31" s="113">
        <f t="shared" si="6"/>
        <v>-8.5366014892322539E-2</v>
      </c>
      <c r="W31">
        <f t="shared" si="8"/>
        <v>472.82016016563261</v>
      </c>
    </row>
    <row r="32" spans="1:34">
      <c r="A32" s="231">
        <f>HRT!A32</f>
        <v>56.75</v>
      </c>
      <c r="B32">
        <v>0.80700000000000005</v>
      </c>
      <c r="C32" s="113">
        <f t="shared" si="0"/>
        <v>47.499693439607611</v>
      </c>
      <c r="D32">
        <v>9</v>
      </c>
      <c r="E32" s="113">
        <f t="shared" si="1"/>
        <v>529.73635806253833</v>
      </c>
      <c r="F32">
        <f>'lab journal'!G32-'lab journal'!G31</f>
        <v>27680</v>
      </c>
      <c r="G32" s="116">
        <f>F32/('lab journal'!H32-'lab journal'!H31)*60*24</f>
        <v>13787.340020754064</v>
      </c>
      <c r="H32" s="113">
        <v>0.02</v>
      </c>
      <c r="I32" s="113">
        <v>0.22999999999999998</v>
      </c>
      <c r="J32" s="113">
        <v>93.31</v>
      </c>
      <c r="K32" s="119" t="s">
        <v>164</v>
      </c>
      <c r="L32" s="113">
        <v>6.6850000000000005</v>
      </c>
      <c r="M32" s="113">
        <f t="shared" si="2"/>
        <v>100.245</v>
      </c>
      <c r="N32" s="113">
        <f>((L32/100)/Constants!$D$25/((10^-P32)^2))*(((10^-P32)^2)+(10^-P32)*Constants!$D$22+Constants!$D$22*Constants!$D$23)*1000</f>
        <v>3.076530269155378</v>
      </c>
      <c r="O32" s="113">
        <f>N32*(HRT!D32/1000)</f>
        <v>1.6459393067264276</v>
      </c>
      <c r="P32" s="113">
        <v>5.9</v>
      </c>
      <c r="Q32" s="113">
        <f t="shared" si="7"/>
        <v>9.5419777886259632E-2</v>
      </c>
      <c r="R32">
        <f t="shared" si="3"/>
        <v>0.94056638202170195</v>
      </c>
      <c r="S32">
        <f t="shared" si="4"/>
        <v>507.71500673594659</v>
      </c>
      <c r="T32" s="120" t="s">
        <v>164</v>
      </c>
      <c r="U32">
        <f t="shared" si="5"/>
        <v>38.181542551344748</v>
      </c>
      <c r="V32" s="113">
        <f t="shared" si="6"/>
        <v>2.2866149582483857</v>
      </c>
      <c r="W32">
        <f t="shared" si="8"/>
        <v>545.25587363576938</v>
      </c>
    </row>
    <row r="33" spans="1:23">
      <c r="A33" s="231">
        <f>HRT!A33</f>
        <v>59.74722222222772</v>
      </c>
      <c r="B33">
        <v>0.86699999999999999</v>
      </c>
      <c r="C33" s="113">
        <f t="shared" si="0"/>
        <v>51.031269160024529</v>
      </c>
      <c r="D33">
        <v>9</v>
      </c>
      <c r="E33" s="113">
        <f t="shared" si="1"/>
        <v>529.73635806253833</v>
      </c>
      <c r="F33">
        <f>'lab journal'!G33-'lab journal'!G32</f>
        <v>41426</v>
      </c>
      <c r="G33" s="116">
        <f>F33/('lab journal'!H33-'lab journal'!H32)*60*24</f>
        <v>13850.345948456003</v>
      </c>
      <c r="H33" s="113">
        <f>AVERAGE(H32,H34)</f>
        <v>0.05</v>
      </c>
      <c r="I33" s="113">
        <f>AVERAGE(I32,I34)</f>
        <v>0.16999999999999998</v>
      </c>
      <c r="J33" s="113">
        <f>AVERAGE(J32,J34)</f>
        <v>93.362499999999997</v>
      </c>
      <c r="K33" s="119" t="s">
        <v>164</v>
      </c>
      <c r="L33" s="113">
        <f>AVERAGE(L32,L34)</f>
        <v>6.5825000000000005</v>
      </c>
      <c r="M33" s="113">
        <f t="shared" si="2"/>
        <v>100.16499999999999</v>
      </c>
      <c r="N33" s="113">
        <f>((L33/100)/Constants!$D$25/((10^-P33)^2))*(((10^-P33)^2)+(10^-P33)*Constants!$D$22+Constants!$D$22*Constants!$D$23)*1000</f>
        <v>3.1056925019319084</v>
      </c>
      <c r="O33" s="113">
        <f>N33*(HRT!D33/1000)</f>
        <v>1.596298880491912</v>
      </c>
      <c r="P33" s="113">
        <v>5.94</v>
      </c>
      <c r="Q33" s="113">
        <f t="shared" si="7"/>
        <v>0.19171166186662983</v>
      </c>
      <c r="R33">
        <f t="shared" si="3"/>
        <v>1.0954952106664559</v>
      </c>
      <c r="S33">
        <f t="shared" si="4"/>
        <v>511.247074282835</v>
      </c>
      <c r="T33" s="120" t="s">
        <v>164</v>
      </c>
      <c r="U33">
        <f t="shared" si="5"/>
        <v>36.336206768793012</v>
      </c>
      <c r="V33" s="113">
        <f t="shared" si="6"/>
        <v>1.4319745988919621</v>
      </c>
      <c r="W33">
        <f t="shared" si="8"/>
        <v>547.74760533322797</v>
      </c>
    </row>
    <row r="34" spans="1:23">
      <c r="A34" s="231">
        <f>HRT!A34</f>
        <v>61.711111111115315</v>
      </c>
      <c r="B34">
        <v>0.80800000000000005</v>
      </c>
      <c r="C34" s="113">
        <f t="shared" si="0"/>
        <v>47.558553034947884</v>
      </c>
      <c r="D34">
        <v>9</v>
      </c>
      <c r="E34" s="113">
        <f t="shared" si="1"/>
        <v>529.73635806253833</v>
      </c>
      <c r="F34">
        <f>'lab journal'!G34-'lab journal'!G33</f>
        <v>27286</v>
      </c>
      <c r="G34" s="116">
        <f>F34/('lab journal'!H34-'lab journal'!H33)*60*24</f>
        <v>13908.615929203541</v>
      </c>
      <c r="H34" s="113">
        <v>0.08</v>
      </c>
      <c r="I34" s="113">
        <v>0.11000000000000001</v>
      </c>
      <c r="J34" s="113">
        <v>93.414999999999992</v>
      </c>
      <c r="K34" s="119" t="s">
        <v>164</v>
      </c>
      <c r="L34" s="113">
        <v>6.48</v>
      </c>
      <c r="M34" s="113">
        <f t="shared" si="2"/>
        <v>100.08499999999999</v>
      </c>
      <c r="N34" s="113">
        <f>((L34/100)/Constants!$D$25/((10^-P34)^2))*(((10^-P34)^2)+(10^-P34)*Constants!$D$22+Constants!$D$22*Constants!$D$23)*1000</f>
        <v>3.0188941088586572</v>
      </c>
      <c r="O34" s="113">
        <f>N34*(HRT!D34/1000)</f>
        <v>1.5616622471916579</v>
      </c>
      <c r="P34" s="113">
        <v>5.92</v>
      </c>
      <c r="Q34" s="113">
        <f t="shared" si="7"/>
        <v>0.35753382717639404</v>
      </c>
      <c r="R34">
        <f t="shared" si="3"/>
        <v>0.77007285853377205</v>
      </c>
      <c r="S34">
        <f t="shared" si="4"/>
        <v>513.68672619568417</v>
      </c>
      <c r="T34" s="120" t="s">
        <v>164</v>
      </c>
      <c r="U34">
        <f t="shared" si="5"/>
        <v>35.925273980704979</v>
      </c>
      <c r="V34" s="113">
        <f t="shared" si="6"/>
        <v>1.1216206137437297</v>
      </c>
      <c r="W34">
        <f t="shared" si="8"/>
        <v>550.05204180983708</v>
      </c>
    </row>
    <row r="35" spans="1:23">
      <c r="A35" s="231">
        <f>HRT!A35</f>
        <v>63.732638888890506</v>
      </c>
      <c r="B35">
        <v>0.81399999999999995</v>
      </c>
      <c r="C35" s="113">
        <f t="shared" si="0"/>
        <v>47.911710606989573</v>
      </c>
      <c r="D35">
        <v>9</v>
      </c>
      <c r="E35" s="113">
        <f t="shared" si="1"/>
        <v>529.73635806253833</v>
      </c>
      <c r="F35">
        <f>'lab journal'!G35-'lab journal'!G34</f>
        <v>28053</v>
      </c>
      <c r="G35" s="116">
        <f>F35/('lab journal'!H35-'lab journal'!H34)*60*24</f>
        <v>13891.444291609354</v>
      </c>
      <c r="H35" s="113">
        <v>0.19</v>
      </c>
      <c r="I35">
        <v>0.18</v>
      </c>
      <c r="J35" s="113">
        <v>92.335000000000008</v>
      </c>
      <c r="K35" s="119" t="s">
        <v>164</v>
      </c>
      <c r="L35" s="113">
        <v>6.86</v>
      </c>
      <c r="M35" s="113">
        <f t="shared" si="2"/>
        <v>99.565000000000012</v>
      </c>
      <c r="N35" s="113">
        <f>((L35/100)/Constants!$D$25/((10^-P35)^2))*(((10^-P35)^2)+(10^-P35)*Constants!$D$22+Constants!$D$22*Constants!$D$23)*1000</f>
        <v>3.1762741615953871</v>
      </c>
      <c r="O35" s="113">
        <f>N35*(HRT!D35/1000)</f>
        <v>1.6335187341956181</v>
      </c>
      <c r="P35" s="113">
        <v>5.91</v>
      </c>
      <c r="Q35" s="113">
        <f t="shared" si="7"/>
        <v>0.74165347598167475</v>
      </c>
      <c r="R35">
        <f t="shared" si="3"/>
        <v>0.79659077049883587</v>
      </c>
      <c r="S35">
        <f t="shared" si="4"/>
        <v>510.23012282813363</v>
      </c>
      <c r="T35" s="120" t="s">
        <v>164</v>
      </c>
      <c r="U35">
        <f t="shared" si="5"/>
        <v>36.643175442946443</v>
      </c>
      <c r="V35" s="113">
        <f t="shared" si="6"/>
        <v>-0.86612816633522982</v>
      </c>
      <c r="W35">
        <f t="shared" si="8"/>
        <v>549.37294517161092</v>
      </c>
    </row>
    <row r="36" spans="1:23">
      <c r="A36" s="231">
        <f>HRT!A36</f>
        <v>66.740972222221899</v>
      </c>
      <c r="B36">
        <v>0.82699999999999996</v>
      </c>
      <c r="C36" s="113">
        <f t="shared" si="0"/>
        <v>48.676885346413236</v>
      </c>
      <c r="D36">
        <v>9</v>
      </c>
      <c r="E36" s="113">
        <f t="shared" si="1"/>
        <v>529.73635806253833</v>
      </c>
      <c r="F36">
        <f>'lab journal'!G36-'lab journal'!G35</f>
        <v>42625</v>
      </c>
      <c r="G36" s="116">
        <f>F36/('lab journal'!H36-'lab journal'!H35)*60*24</f>
        <v>14178.794178794182</v>
      </c>
      <c r="H36" s="113">
        <v>0.06</v>
      </c>
      <c r="I36" s="113">
        <v>0.16500000000000001</v>
      </c>
      <c r="J36" s="113">
        <v>92.974999999999994</v>
      </c>
      <c r="K36" s="119" t="s">
        <v>164</v>
      </c>
      <c r="L36" s="113">
        <v>6.57</v>
      </c>
      <c r="M36" s="113">
        <f t="shared" si="2"/>
        <v>99.769999999999982</v>
      </c>
      <c r="N36" s="113">
        <f>((L36/100)/Constants!$D$25/((10^-P36)^2))*(((10^-P36)^2)+(10^-P36)*Constants!$D$22+Constants!$D$22*Constants!$D$23)*1000</f>
        <v>3.0056298894970528</v>
      </c>
      <c r="O36" s="113">
        <f>N36*(HRT!D36/1000)</f>
        <v>1.5637363113948031</v>
      </c>
      <c r="P36" s="113">
        <v>5.89</v>
      </c>
      <c r="Q36" s="113">
        <f t="shared" si="7"/>
        <v>0.70092117074637061</v>
      </c>
      <c r="R36">
        <f t="shared" si="3"/>
        <v>0.96727121562999141</v>
      </c>
      <c r="S36">
        <f t="shared" si="4"/>
        <v>519.55080860403973</v>
      </c>
      <c r="T36" s="120" t="s">
        <v>164</v>
      </c>
      <c r="U36">
        <f t="shared" si="5"/>
        <v>37.653485292495027</v>
      </c>
      <c r="V36" s="113">
        <f t="shared" si="6"/>
        <v>-1.9689063891669107</v>
      </c>
      <c r="W36">
        <f t="shared" si="8"/>
        <v>560.73693659709647</v>
      </c>
    </row>
    <row r="37" spans="1:23">
      <c r="A37" s="231">
        <f>HRT!A37</f>
        <v>68.715277777781012</v>
      </c>
      <c r="B37">
        <v>0.80700000000000005</v>
      </c>
      <c r="C37" s="113">
        <f t="shared" si="0"/>
        <v>47.499693439607611</v>
      </c>
      <c r="D37">
        <v>9</v>
      </c>
      <c r="E37" s="113">
        <f t="shared" si="1"/>
        <v>529.73635806253833</v>
      </c>
      <c r="F37">
        <f>'lab journal'!G37-'lab journal'!G36</f>
        <v>28484</v>
      </c>
      <c r="G37" s="116">
        <f>F37/('lab journal'!H37-'lab journal'!H36)*60*24</f>
        <v>14417.209138840069</v>
      </c>
      <c r="H37" s="113">
        <v>0.03</v>
      </c>
      <c r="I37" s="113">
        <v>0.42</v>
      </c>
      <c r="J37" s="113">
        <v>93.02000000000001</v>
      </c>
      <c r="K37" s="119" t="s">
        <v>164</v>
      </c>
      <c r="L37" s="113">
        <v>6.54</v>
      </c>
      <c r="M37" s="113">
        <f t="shared" si="2"/>
        <v>100.01000000000002</v>
      </c>
      <c r="N37" s="113">
        <f>((L37/100)/Constants!$D$25/((10^-P37)^2))*(((10^-P37)^2)+(10^-P37)*Constants!$D$22+Constants!$D$22*Constants!$D$23)*1000</f>
        <v>2.9243124872075219</v>
      </c>
      <c r="O37" s="113">
        <f>N37*(HRT!D37/1000)</f>
        <v>1.5050773514055149</v>
      </c>
      <c r="P37" s="113">
        <v>5.85</v>
      </c>
      <c r="Q37" s="113">
        <f t="shared" si="7"/>
        <v>0.2565745516284913</v>
      </c>
      <c r="R37">
        <f t="shared" si="3"/>
        <v>1.6677345855851933</v>
      </c>
      <c r="S37">
        <f t="shared" si="4"/>
        <v>530.23981922379153</v>
      </c>
      <c r="T37" s="120" t="s">
        <v>164</v>
      </c>
      <c r="U37">
        <f t="shared" si="5"/>
        <v>37.374359687216895</v>
      </c>
      <c r="V37" s="113">
        <f t="shared" si="6"/>
        <v>-1.0464140231222387</v>
      </c>
      <c r="W37">
        <f t="shared" si="8"/>
        <v>570.16567028553618</v>
      </c>
    </row>
    <row r="38" spans="1:23">
      <c r="A38" s="231">
        <f>HRT!A38</f>
        <v>70.715277777781012</v>
      </c>
      <c r="B38">
        <v>0.83</v>
      </c>
      <c r="C38" s="113">
        <f t="shared" si="0"/>
        <v>48.853464132434091</v>
      </c>
      <c r="D38">
        <v>9</v>
      </c>
      <c r="E38" s="113">
        <f t="shared" si="1"/>
        <v>529.73635806253833</v>
      </c>
      <c r="F38">
        <f>'lab journal'!G38-'lab journal'!G37</f>
        <v>28721</v>
      </c>
      <c r="G38" s="116">
        <f>F38/('lab journal'!H38-'lab journal'!H37)*60*24</f>
        <v>14380.472878998607</v>
      </c>
      <c r="H38" s="113">
        <v>0.09</v>
      </c>
      <c r="I38" s="113">
        <v>0.18</v>
      </c>
      <c r="J38" s="113">
        <v>92.23</v>
      </c>
      <c r="K38" s="119" t="s">
        <v>164</v>
      </c>
      <c r="L38" s="113">
        <v>6.67</v>
      </c>
      <c r="M38" s="113">
        <f t="shared" si="2"/>
        <v>99.17</v>
      </c>
      <c r="N38" s="113">
        <f>((L38/100)/Constants!$D$25/((10^-P38)^2))*(((10^-P38)^2)+(10^-P38)*Constants!$D$22+Constants!$D$22*Constants!$D$23)*1000</f>
        <v>2.9347494129307283</v>
      </c>
      <c r="O38" s="113">
        <f>N38*(HRT!D38/1000)</f>
        <v>1.5665398608823888</v>
      </c>
      <c r="P38" s="113">
        <v>5.82</v>
      </c>
      <c r="Q38" s="113">
        <f t="shared" si="7"/>
        <v>0.3412277041603719</v>
      </c>
      <c r="R38">
        <f t="shared" si="3"/>
        <v>1.7061385208018596</v>
      </c>
      <c r="S38">
        <f t="shared" si="4"/>
        <v>526.77026829757415</v>
      </c>
      <c r="T38" s="120" t="s">
        <v>164</v>
      </c>
      <c r="U38">
        <f t="shared" si="5"/>
        <v>37.56348309965427</v>
      </c>
      <c r="V38" s="113">
        <f t="shared" si="6"/>
        <v>-2.8125490091757328</v>
      </c>
      <c r="W38">
        <f t="shared" si="8"/>
        <v>568.71284026728654</v>
      </c>
    </row>
    <row r="39" spans="1:23">
      <c r="A39" s="231">
        <f>HRT!A39</f>
        <v>73.722916666665697</v>
      </c>
      <c r="B39">
        <v>0.82399999999999995</v>
      </c>
      <c r="C39" s="113">
        <f t="shared" si="0"/>
        <v>48.500306560392396</v>
      </c>
      <c r="D39">
        <v>9</v>
      </c>
      <c r="E39" s="113">
        <f t="shared" si="1"/>
        <v>529.73635806253833</v>
      </c>
      <c r="F39">
        <f>'lab journal'!G39-'lab journal'!G38</f>
        <v>43357</v>
      </c>
      <c r="G39" s="116">
        <f>F39/('lab journal'!H39-'lab journal'!H38)*60*24</f>
        <v>14432.288488210817</v>
      </c>
      <c r="H39" s="113">
        <v>0.12</v>
      </c>
      <c r="I39" s="113">
        <v>0.11</v>
      </c>
      <c r="J39" s="113">
        <v>93.460000000000008</v>
      </c>
      <c r="K39" s="119" t="s">
        <v>164</v>
      </c>
      <c r="L39" s="113">
        <v>6.8</v>
      </c>
      <c r="M39" s="113">
        <f t="shared" si="2"/>
        <v>100.49000000000001</v>
      </c>
      <c r="N39" s="113">
        <f>((L39/100)/Constants!$D$25/((10^-P39)^2))*(((10^-P39)^2)+(10^-P39)*Constants!$D$22+Constants!$D$22*Constants!$D$23)*1000</f>
        <v>2.9613510450621718</v>
      </c>
      <c r="O39" s="113">
        <f>N39*(HRT!D39/1000)</f>
        <v>1.5726830986106832</v>
      </c>
      <c r="P39" s="113">
        <v>5.8</v>
      </c>
      <c r="Q39" s="113">
        <f t="shared" si="7"/>
        <v>0.59930012309662883</v>
      </c>
      <c r="R39">
        <f t="shared" si="3"/>
        <v>0.82760493189534456</v>
      </c>
      <c r="S39">
        <f t="shared" si="4"/>
        <v>529.92399932291914</v>
      </c>
      <c r="T39" s="120" t="s">
        <v>164</v>
      </c>
      <c r="U39">
        <f t="shared" si="5"/>
        <v>38.44082218148376</v>
      </c>
      <c r="V39" s="113">
        <f t="shared" si="6"/>
        <v>-0.82451739377578548</v>
      </c>
      <c r="W39">
        <f t="shared" si="8"/>
        <v>570.76202199678937</v>
      </c>
    </row>
    <row r="40" spans="1:23">
      <c r="A40" s="231">
        <f>HRT!A40</f>
        <v>75.719444444446708</v>
      </c>
      <c r="B40">
        <v>0.84299999999999997</v>
      </c>
      <c r="C40" s="113">
        <f t="shared" si="0"/>
        <v>49.618638871857762</v>
      </c>
      <c r="D40">
        <v>9</v>
      </c>
      <c r="E40" s="113">
        <f t="shared" si="1"/>
        <v>529.73635806253833</v>
      </c>
      <c r="F40">
        <f>'lab journal'!G40-'lab journal'!G39</f>
        <v>28800</v>
      </c>
      <c r="G40" s="116">
        <f>F40/('lab journal'!H40-'lab journal'!H39)*60*24</f>
        <v>14425.043478260872</v>
      </c>
      <c r="H40" s="113">
        <v>0.01</v>
      </c>
      <c r="I40" s="113">
        <v>0.19500000000000001</v>
      </c>
      <c r="J40" s="113">
        <v>92.60499999999999</v>
      </c>
      <c r="K40" s="119" t="s">
        <v>164</v>
      </c>
      <c r="L40" s="113">
        <v>6.6899999999999995</v>
      </c>
      <c r="M40" s="113">
        <f t="shared" si="2"/>
        <v>99.499999999999986</v>
      </c>
      <c r="N40" s="113">
        <f>((L40/100)/Constants!$D$25/((10^-P40)^2))*(((10^-P40)^2)+(10^-P40)*Constants!$D$22+Constants!$D$22*Constants!$D$23)*1000</f>
        <v>2.9134468369802842</v>
      </c>
      <c r="O40" s="113">
        <f>N40*(HRT!D40/1000)</f>
        <v>1.5199476097846483</v>
      </c>
      <c r="P40" s="113">
        <v>5.8</v>
      </c>
      <c r="Q40" s="113">
        <f t="shared" si="7"/>
        <v>0.37080907462111706</v>
      </c>
      <c r="R40">
        <f t="shared" si="3"/>
        <v>0.86997513661108228</v>
      </c>
      <c r="S40">
        <f t="shared" si="4"/>
        <v>530.72761899521652</v>
      </c>
      <c r="T40" s="120" t="s">
        <v>164</v>
      </c>
      <c r="U40">
        <f t="shared" si="5"/>
        <v>38.47857243568361</v>
      </c>
      <c r="V40" s="113">
        <f t="shared" si="6"/>
        <v>0.25063962358162684</v>
      </c>
      <c r="W40">
        <f t="shared" si="8"/>
        <v>570.47549941710315</v>
      </c>
    </row>
    <row r="41" spans="1:23">
      <c r="A41" s="231">
        <f>HRT!A41</f>
        <v>77.722222222226264</v>
      </c>
      <c r="B41">
        <v>0.81499999999999995</v>
      </c>
      <c r="C41" s="113">
        <f t="shared" si="0"/>
        <v>47.970570202329853</v>
      </c>
      <c r="D41">
        <v>9</v>
      </c>
      <c r="E41" s="113">
        <f t="shared" si="1"/>
        <v>529.73635806253833</v>
      </c>
      <c r="F41">
        <f>'lab journal'!G41-'lab journal'!G40</f>
        <v>29013</v>
      </c>
      <c r="G41" s="116">
        <f>F41/('lab journal'!H41-'lab journal'!H40)*60*24</f>
        <v>14501.464769177368</v>
      </c>
      <c r="H41" s="113">
        <v>0.04</v>
      </c>
      <c r="I41" s="113">
        <v>0.16499999999999998</v>
      </c>
      <c r="J41" s="113">
        <v>93.405000000000001</v>
      </c>
      <c r="K41" s="119" t="s">
        <v>164</v>
      </c>
      <c r="L41" s="113">
        <v>6.7549999999999999</v>
      </c>
      <c r="M41" s="113">
        <f t="shared" si="2"/>
        <v>100.36499999999999</v>
      </c>
      <c r="N41" s="113">
        <f>((L41/100)/Constants!$D$25/((10^-P41)^2))*(((10^-P41)^2)+(10^-P41)*Constants!$D$22+Constants!$D$22*Constants!$D$23)*1000</f>
        <v>2.8585340712826364</v>
      </c>
      <c r="O41" s="113">
        <f>N41*(HRT!D41/1000)</f>
        <v>1.4596649638100305</v>
      </c>
      <c r="P41" s="113">
        <v>5.74</v>
      </c>
      <c r="Q41" s="113">
        <f t="shared" si="7"/>
        <v>0.14337444405182084</v>
      </c>
      <c r="R41">
        <f t="shared" si="3"/>
        <v>1.03229599717311</v>
      </c>
      <c r="S41">
        <f t="shared" si="4"/>
        <v>533.38160676158384</v>
      </c>
      <c r="T41" s="120" t="s">
        <v>164</v>
      </c>
      <c r="U41">
        <f t="shared" si="5"/>
        <v>38.553388005534629</v>
      </c>
      <c r="V41" s="113">
        <f t="shared" si="6"/>
        <v>-0.10311647635482757</v>
      </c>
      <c r="W41">
        <f t="shared" si="8"/>
        <v>573.49777620728332</v>
      </c>
    </row>
    <row r="42" spans="1:23">
      <c r="A42" s="231">
        <f>HRT!A42</f>
        <v>80.712500000001455</v>
      </c>
      <c r="B42">
        <v>0.81399999999999995</v>
      </c>
      <c r="C42" s="113">
        <f t="shared" si="0"/>
        <v>47.911710606989573</v>
      </c>
      <c r="D42">
        <v>9</v>
      </c>
      <c r="E42" s="113">
        <f t="shared" si="1"/>
        <v>529.73635806253833</v>
      </c>
      <c r="F42">
        <f>'lab journal'!G42-'lab journal'!G41</f>
        <v>43072</v>
      </c>
      <c r="G42" s="116">
        <f>F42/('lab journal'!H42-'lab journal'!H41)*60*24</f>
        <v>14417.405857740587</v>
      </c>
      <c r="H42" s="113">
        <f>AVERAGE(H41,H43)</f>
        <v>0.02</v>
      </c>
      <c r="I42" s="113">
        <v>0.21500000000000002</v>
      </c>
      <c r="J42" s="113">
        <v>93.234999999999999</v>
      </c>
      <c r="K42" s="119" t="s">
        <v>164</v>
      </c>
      <c r="L42" s="113">
        <v>6.81</v>
      </c>
      <c r="M42" s="113">
        <f t="shared" si="2"/>
        <v>100.28</v>
      </c>
      <c r="N42" s="113">
        <f>((L42/100)/Constants!$D$25/((10^-P42)^2))*(((10^-P42)^2)+(10^-P42)*Constants!$D$22+Constants!$D$22*Constants!$D$23)*1000</f>
        <v>2.881808589997743</v>
      </c>
      <c r="O42" s="113">
        <f>N42*(HRT!D42/1000)</f>
        <v>1.5007405469090664</v>
      </c>
      <c r="P42" s="113">
        <v>5.74</v>
      </c>
      <c r="Q42" s="113">
        <f t="shared" si="7"/>
        <v>0.17105203501234578</v>
      </c>
      <c r="R42">
        <f t="shared" si="3"/>
        <v>1.0833295550781901</v>
      </c>
      <c r="S42">
        <f t="shared" si="4"/>
        <v>532.08586357840363</v>
      </c>
      <c r="T42" s="120" t="s">
        <v>164</v>
      </c>
      <c r="U42">
        <f t="shared" si="5"/>
        <v>38.672014249041176</v>
      </c>
      <c r="V42" s="113">
        <f t="shared" si="6"/>
        <v>2.0851683332011675</v>
      </c>
      <c r="W42">
        <f t="shared" si="8"/>
        <v>570.17345004115271</v>
      </c>
    </row>
    <row r="43" spans="1:23">
      <c r="A43" s="231">
        <f>HRT!A43</f>
        <v>82.766666666670062</v>
      </c>
      <c r="B43">
        <v>0.82499999999999996</v>
      </c>
      <c r="C43" s="113">
        <f t="shared" si="0"/>
        <v>48.559166155732683</v>
      </c>
      <c r="D43">
        <v>9</v>
      </c>
      <c r="E43" s="113">
        <f t="shared" si="1"/>
        <v>529.73635806253833</v>
      </c>
      <c r="F43">
        <f>'lab journal'!G43-'lab journal'!G42</f>
        <v>29235</v>
      </c>
      <c r="G43" s="116">
        <f>F43/('lab journal'!H43-'lab journal'!H42)*60*24</f>
        <v>14241.677943166442</v>
      </c>
      <c r="H43" s="113">
        <v>0</v>
      </c>
      <c r="I43" s="113">
        <v>0.16999999999999998</v>
      </c>
      <c r="J43" s="113">
        <v>92.965000000000003</v>
      </c>
      <c r="K43" s="119" t="s">
        <v>164</v>
      </c>
      <c r="L43" s="113">
        <v>6.8650000000000002</v>
      </c>
      <c r="M43" s="113">
        <f t="shared" si="2"/>
        <v>100</v>
      </c>
      <c r="N43" s="113">
        <f>((L43/100)/Constants!$D$25/((10^-P43)^2))*(((10^-P43)^2)+(10^-P43)*Constants!$D$22+Constants!$D$22*Constants!$D$23)*1000</f>
        <v>3.198257416252265</v>
      </c>
      <c r="O43" s="113">
        <f>N43*(HRT!D43/1000)</f>
        <v>1.6714980492826124</v>
      </c>
      <c r="P43" s="113">
        <v>5.92</v>
      </c>
      <c r="Q43" s="113">
        <f t="shared" si="7"/>
        <v>5.6322383703102274E-2</v>
      </c>
      <c r="R43">
        <f t="shared" si="3"/>
        <v>1.0842058862847188</v>
      </c>
      <c r="S43">
        <f t="shared" si="4"/>
        <v>524.36139227588217</v>
      </c>
      <c r="T43" s="120" t="s">
        <v>164</v>
      </c>
      <c r="U43">
        <f t="shared" si="5"/>
        <v>38.510429856996183</v>
      </c>
      <c r="V43" s="113">
        <f t="shared" si="6"/>
        <v>1.3194831511382077</v>
      </c>
      <c r="W43">
        <f t="shared" si="8"/>
        <v>563.22383703102275</v>
      </c>
    </row>
    <row r="44" spans="1:23">
      <c r="A44" s="231">
        <f>HRT!A44</f>
        <v>84.759722222224809</v>
      </c>
      <c r="B44">
        <v>0.82399999999999995</v>
      </c>
      <c r="C44" s="113">
        <f t="shared" si="0"/>
        <v>48.500306560392396</v>
      </c>
      <c r="D44">
        <v>9</v>
      </c>
      <c r="E44" s="113">
        <f t="shared" si="1"/>
        <v>529.73635806253833</v>
      </c>
      <c r="F44">
        <f>'lab journal'!G44-'lab journal'!G43</f>
        <v>28563</v>
      </c>
      <c r="G44" s="116">
        <f>F44/('lab journal'!H44-'lab journal'!H43)*60*24</f>
        <v>14341.255230125522</v>
      </c>
      <c r="H44" s="113">
        <v>0.03</v>
      </c>
      <c r="I44">
        <v>0.48</v>
      </c>
      <c r="J44" s="113">
        <v>92.834999999999994</v>
      </c>
      <c r="K44" s="119" t="s">
        <v>164</v>
      </c>
      <c r="L44" s="113">
        <v>6.7850000000000001</v>
      </c>
      <c r="M44" s="113">
        <f t="shared" si="2"/>
        <v>100.13</v>
      </c>
      <c r="N44" s="113">
        <f>((L44/100)/Constants!$D$25/((10^-P44)^2))*(((10^-P44)^2)+(10^-P44)*Constants!$D$22+Constants!$D$22*Constants!$D$23)*1000</f>
        <v>2.9400729483935035</v>
      </c>
      <c r="O44" s="113">
        <f>N44*(HRT!D44/1000)</f>
        <v>1.5269830447280477</v>
      </c>
      <c r="P44" s="113">
        <v>5.79</v>
      </c>
      <c r="Q44" s="113">
        <f t="shared" si="7"/>
        <v>8.5074281599257603E-2</v>
      </c>
      <c r="R44">
        <f t="shared" si="3"/>
        <v>1.8432761013172481</v>
      </c>
      <c r="S44">
        <f t="shared" si="4"/>
        <v>526.89338403806892</v>
      </c>
      <c r="T44" s="120" t="s">
        <v>164</v>
      </c>
      <c r="U44">
        <f t="shared" si="5"/>
        <v>38.70879812766222</v>
      </c>
      <c r="V44" s="113">
        <f t="shared" si="6"/>
        <v>-3.271211792502271E-2</v>
      </c>
      <c r="W44">
        <f t="shared" si="8"/>
        <v>567.16187732838421</v>
      </c>
    </row>
    <row r="45" spans="1:23">
      <c r="A45" s="231">
        <f>HRT!A45</f>
        <v>87.712500000001455</v>
      </c>
      <c r="B45">
        <v>0.80600000000000005</v>
      </c>
      <c r="C45" s="113">
        <f t="shared" si="0"/>
        <v>47.440833844267324</v>
      </c>
      <c r="D45">
        <v>9</v>
      </c>
      <c r="E45" s="113">
        <f t="shared" si="1"/>
        <v>529.73635806253833</v>
      </c>
      <c r="F45">
        <f>'lab journal'!G45-'lab journal'!G44</f>
        <v>42687</v>
      </c>
      <c r="G45" s="116">
        <f>F45/('lab journal'!H45-'lab journal'!H44)*60*24</f>
        <v>14470.169491525425</v>
      </c>
      <c r="H45" s="113">
        <f>AVERAGE(H44,H48)</f>
        <v>9.5000000000000001E-2</v>
      </c>
      <c r="I45" s="113">
        <v>0.53500000000000003</v>
      </c>
      <c r="J45" s="113">
        <v>92.17</v>
      </c>
      <c r="K45" s="119" t="s">
        <v>164</v>
      </c>
      <c r="L45" s="113">
        <v>6.6</v>
      </c>
      <c r="M45" s="113">
        <f t="shared" si="2"/>
        <v>99.399999999999991</v>
      </c>
      <c r="N45" s="113">
        <f>((L45/100)/Constants!$D$25/((10^-P45)^2))*(((10^-P45)^2)+(10^-P45)*Constants!$D$22+Constants!$D$22*Constants!$D$23)*1000</f>
        <v>3.1342106155320661</v>
      </c>
      <c r="O45" s="113">
        <f>N45*(HRT!D45/1000)</f>
        <v>1.5376035216866291</v>
      </c>
      <c r="P45" s="113">
        <v>5.95</v>
      </c>
      <c r="Q45" s="113">
        <f t="shared" si="7"/>
        <v>0.35766257740264928</v>
      </c>
      <c r="R45">
        <f t="shared" si="3"/>
        <v>2.9042201285095128</v>
      </c>
      <c r="S45">
        <f t="shared" si="4"/>
        <v>529.3549210590171</v>
      </c>
      <c r="T45" s="120" t="s">
        <v>164</v>
      </c>
      <c r="U45">
        <f t="shared" si="5"/>
        <v>38.298508788275683</v>
      </c>
      <c r="V45" s="113">
        <f t="shared" si="6"/>
        <v>-3.0690904752595216</v>
      </c>
      <c r="W45">
        <f t="shared" si="8"/>
        <v>572.26012384423893</v>
      </c>
    </row>
    <row r="46" spans="1:23">
      <c r="A46" s="231">
        <f>HRT!A46</f>
        <v>89.76736111111677</v>
      </c>
      <c r="B46">
        <v>0.81100000000000005</v>
      </c>
      <c r="C46" s="113">
        <f t="shared" si="0"/>
        <v>47.735131820968739</v>
      </c>
      <c r="D46">
        <v>9</v>
      </c>
      <c r="E46" s="113">
        <f t="shared" si="1"/>
        <v>529.73635806253833</v>
      </c>
      <c r="F46">
        <f>'lab journal'!G46-'lab journal'!G45</f>
        <v>29728</v>
      </c>
      <c r="G46" s="116">
        <f>F46/('lab journal'!H46-'lab journal'!H45)*60*24</f>
        <v>14476.942847480554</v>
      </c>
      <c r="H46">
        <v>9.5000000000000001E-2</v>
      </c>
      <c r="I46" s="113">
        <v>0.63</v>
      </c>
      <c r="J46" s="113">
        <v>91.87</v>
      </c>
      <c r="K46" s="119" t="s">
        <v>164</v>
      </c>
      <c r="L46" s="113">
        <v>6.57</v>
      </c>
      <c r="M46" s="113">
        <f t="shared" si="2"/>
        <v>99.164999999999992</v>
      </c>
      <c r="N46" s="113">
        <f>((L46/100)/Constants!$D$25/((10^-P46)^2))*(((10^-P46)^2)+(10^-P46)*Constants!$D$22+Constants!$D$22*Constants!$D$23)*1000</f>
        <v>3.0420001810031621</v>
      </c>
      <c r="O46" s="113">
        <f>N46*(HRT!D46/1000)</f>
        <v>1.5063026789244691</v>
      </c>
      <c r="P46" s="113">
        <v>5.91</v>
      </c>
      <c r="Q46" s="113">
        <f t="shared" si="7"/>
        <v>0.54390159396925275</v>
      </c>
      <c r="R46">
        <f t="shared" si="3"/>
        <v>3.3349755630219975</v>
      </c>
      <c r="S46">
        <f t="shared" si="4"/>
        <v>526.84025975842781</v>
      </c>
      <c r="T46" s="120" t="s">
        <v>164</v>
      </c>
      <c r="U46">
        <f t="shared" si="5"/>
        <v>37.700968381974</v>
      </c>
      <c r="V46" s="113">
        <f t="shared" si="6"/>
        <v>-6.4804628325187323</v>
      </c>
      <c r="W46">
        <f t="shared" si="8"/>
        <v>572.52799365184501</v>
      </c>
    </row>
    <row r="47" spans="1:23">
      <c r="A47" s="113">
        <f>HRT!A47</f>
        <v>91.739583333335759</v>
      </c>
      <c r="B47">
        <v>0.83099999999999996</v>
      </c>
      <c r="C47" s="113">
        <f t="shared" si="0"/>
        <v>48.912323727774364</v>
      </c>
      <c r="D47">
        <v>9</v>
      </c>
      <c r="E47" s="113">
        <f t="shared" si="1"/>
        <v>529.73635806253833</v>
      </c>
      <c r="F47">
        <f>'lab journal'!G47-'lab journal'!G46</f>
        <v>28659</v>
      </c>
      <c r="G47" s="116">
        <f>F47/('lab journal'!H47-'lab journal'!H46)*60*24</f>
        <v>14531.323943661973</v>
      </c>
      <c r="H47">
        <v>9.5000000000000001E-2</v>
      </c>
      <c r="I47">
        <v>0.22999999999999998</v>
      </c>
      <c r="J47" s="113">
        <v>93.265000000000001</v>
      </c>
      <c r="K47" s="119" t="s">
        <v>164</v>
      </c>
      <c r="L47" s="113">
        <v>6.7149999999999999</v>
      </c>
      <c r="M47" s="113">
        <f t="shared" si="2"/>
        <v>100.30500000000001</v>
      </c>
      <c r="N47" s="113">
        <f>((L47/100)/Constants!$D$25/((10^-P47)^2))*(((10^-P47)^2)+(10^-P47)*Constants!$D$22+Constants!$D$22*Constants!$D$23)*1000</f>
        <v>3.0025624390823404</v>
      </c>
      <c r="O47" s="113">
        <f>N47*(HRT!D47/1000)</f>
        <v>1.6363415894391973</v>
      </c>
      <c r="P47" s="113">
        <v>5.85</v>
      </c>
      <c r="Q47" s="113">
        <f t="shared" si="7"/>
        <v>0.54594470246297844</v>
      </c>
      <c r="R47">
        <f t="shared" si="3"/>
        <v>2.4711181269376921</v>
      </c>
      <c r="S47">
        <f t="shared" si="4"/>
        <v>531.96564468675535</v>
      </c>
      <c r="T47" s="120" t="s">
        <v>164</v>
      </c>
      <c r="U47">
        <f t="shared" si="5"/>
        <v>38.173028274845628</v>
      </c>
      <c r="V47" s="113">
        <f t="shared" si="6"/>
        <v>-2.9036196205160891</v>
      </c>
      <c r="W47">
        <f t="shared" si="8"/>
        <v>574.67863417155627</v>
      </c>
    </row>
    <row r="48" spans="1:23" s="226" customFormat="1">
      <c r="A48" s="225">
        <f>HRT!A48</f>
        <v>94.725694444445253</v>
      </c>
      <c r="B48" s="226">
        <v>0.79900000000000004</v>
      </c>
      <c r="C48" s="225">
        <f t="shared" si="0"/>
        <v>47.028816676885356</v>
      </c>
      <c r="D48" s="226">
        <v>9</v>
      </c>
      <c r="E48" s="225">
        <f t="shared" si="1"/>
        <v>529.73635806253833</v>
      </c>
      <c r="F48" s="226">
        <f>'lab journal'!G48-'lab journal'!G47</f>
        <v>43072</v>
      </c>
      <c r="G48" s="238">
        <f>F48/('lab journal'!H48-'lab journal'!H47)*60*24</f>
        <v>14437.541899441339</v>
      </c>
      <c r="H48" s="225">
        <v>0.16</v>
      </c>
      <c r="I48" s="226">
        <v>0.14500000000000002</v>
      </c>
      <c r="J48" s="225">
        <v>93.644999999999996</v>
      </c>
      <c r="K48" s="236" t="s">
        <v>164</v>
      </c>
      <c r="L48" s="225">
        <v>6.32</v>
      </c>
      <c r="M48" s="225">
        <f t="shared" si="2"/>
        <v>100.27000000000001</v>
      </c>
      <c r="N48" s="225">
        <f>((L48/100)/Constants!$D$25/((10^-P48)^2))*(((10^-P48)^2)+(10^-P48)*Constants!$D$22+Constants!$D$22*Constants!$D$23)*1000</f>
        <v>2.7663695815909763</v>
      </c>
      <c r="O48" s="225">
        <f>N48*(HRT!D48/1000)</f>
        <v>1.3996286310303623</v>
      </c>
      <c r="P48" s="225">
        <v>5.81</v>
      </c>
      <c r="Q48" s="225">
        <f t="shared" si="7"/>
        <v>0.72798647163599262</v>
      </c>
      <c r="R48" s="226">
        <f t="shared" si="3"/>
        <v>1.0705683406411655</v>
      </c>
      <c r="S48" s="226">
        <f t="shared" si="4"/>
        <v>533.59980946464066</v>
      </c>
      <c r="T48" s="237" t="s">
        <v>164</v>
      </c>
      <c r="U48" s="226">
        <f t="shared" si="5"/>
        <v>37.212955520686911</v>
      </c>
      <c r="V48" s="225">
        <f t="shared" si="6"/>
        <v>1.242611941069697</v>
      </c>
      <c r="W48" s="226">
        <f t="shared" si="8"/>
        <v>570.96978167528823</v>
      </c>
    </row>
    <row r="49" spans="1:23">
      <c r="A49" s="113">
        <f>HRT!A49</f>
        <v>96.754166666665697</v>
      </c>
      <c r="B49">
        <v>0.81</v>
      </c>
      <c r="C49" s="113">
        <f t="shared" si="0"/>
        <v>47.676272225628452</v>
      </c>
      <c r="D49">
        <v>9</v>
      </c>
      <c r="E49" s="113">
        <f t="shared" si="1"/>
        <v>529.73635806253833</v>
      </c>
      <c r="F49">
        <f>'lab journal'!G49-'lab journal'!G48</f>
        <v>29160</v>
      </c>
      <c r="G49" s="116">
        <f>F49/('lab journal'!H49-'lab journal'!H48)*60*24</f>
        <v>14390.130226182315</v>
      </c>
      <c r="H49" s="113">
        <v>0</v>
      </c>
      <c r="I49">
        <v>0.11</v>
      </c>
      <c r="J49" s="113">
        <v>93.655000000000001</v>
      </c>
      <c r="K49" s="119" t="s">
        <v>164</v>
      </c>
      <c r="L49" s="113">
        <v>5.9399999999999995</v>
      </c>
      <c r="M49" s="113">
        <f t="shared" si="2"/>
        <v>99.704999999999998</v>
      </c>
      <c r="N49" s="113">
        <f>((L49/100)/Constants!$D$25/((10^-P49)^2))*(((10^-P49)^2)+(10^-P49)*Constants!$D$22+Constants!$D$22*Constants!$D$23)*1000</f>
        <v>2.8980787274120132</v>
      </c>
      <c r="O49" s="113">
        <f>N49*(HRT!D49/1000)</f>
        <v>1.9374268281153866</v>
      </c>
      <c r="P49" s="113">
        <v>5.99</v>
      </c>
      <c r="Q49" s="113">
        <f t="shared" si="7"/>
        <v>0.45527581194913597</v>
      </c>
      <c r="R49">
        <f t="shared" si="3"/>
        <v>0.7255958252939354</v>
      </c>
      <c r="S49">
        <f t="shared" si="4"/>
        <v>532.95724736295733</v>
      </c>
      <c r="T49" s="120" t="s">
        <v>164</v>
      </c>
      <c r="U49">
        <f t="shared" si="5"/>
        <v>34.88550909060254</v>
      </c>
      <c r="V49" s="113">
        <f t="shared" si="6"/>
        <v>0.68541834525536416</v>
      </c>
      <c r="W49">
        <f t="shared" si="8"/>
        <v>569.09476493641989</v>
      </c>
    </row>
    <row r="50" spans="1:23">
      <c r="A50" s="113">
        <f>HRT!A50</f>
        <v>98.71736111111386</v>
      </c>
      <c r="B50">
        <v>0.83299999999999996</v>
      </c>
      <c r="C50" s="113">
        <f t="shared" si="0"/>
        <v>49.030042918454939</v>
      </c>
      <c r="D50">
        <v>9</v>
      </c>
      <c r="E50" s="113">
        <f t="shared" si="1"/>
        <v>529.73635806253833</v>
      </c>
      <c r="F50">
        <f>'lab journal'!G50-'lab journal'!G49</f>
        <v>28374</v>
      </c>
      <c r="G50" s="116">
        <f>F50/('lab journal'!H50-'lab journal'!H49)*60*24</f>
        <v>14463.207079646018</v>
      </c>
      <c r="H50" s="113">
        <v>0</v>
      </c>
      <c r="I50" s="113">
        <v>0.185</v>
      </c>
      <c r="J50" s="113">
        <v>93.534999999999997</v>
      </c>
      <c r="K50" s="119" t="s">
        <v>164</v>
      </c>
      <c r="L50" s="113">
        <v>5.7949999999999999</v>
      </c>
      <c r="M50" s="113">
        <f t="shared" si="2"/>
        <v>99.515000000000001</v>
      </c>
      <c r="N50" s="113">
        <f>((L50/100)/Constants!$D$25/((10^-P50)^2))*(((10^-P50)^2)+(10^-P50)*Constants!$D$22+Constants!$D$22*Constants!$D$23)*1000</f>
        <v>2.666939851870668</v>
      </c>
      <c r="O50" s="113">
        <f>N50*(HRT!D50/1000)</f>
        <v>1.5087526178729138</v>
      </c>
      <c r="P50" s="113">
        <v>5.9</v>
      </c>
      <c r="Q50" s="113">
        <f t="shared" si="7"/>
        <v>0</v>
      </c>
      <c r="R50">
        <f t="shared" si="3"/>
        <v>0.84367754656639549</v>
      </c>
      <c r="S50">
        <f t="shared" si="4"/>
        <v>535.34915234496123</v>
      </c>
      <c r="T50" s="120" t="s">
        <v>164</v>
      </c>
      <c r="U50">
        <f t="shared" si="5"/>
        <v>33.56120681002254</v>
      </c>
      <c r="V50" s="113">
        <f t="shared" si="6"/>
        <v>-1.5656655602927145</v>
      </c>
      <c r="W50">
        <f t="shared" si="8"/>
        <v>571.9847773331494</v>
      </c>
    </row>
    <row r="51" spans="1:23">
      <c r="A51" s="223">
        <f>HRT!A51</f>
        <v>101.71527777778101</v>
      </c>
      <c r="B51">
        <v>0.82199999999999995</v>
      </c>
      <c r="C51" s="113">
        <f t="shared" si="0"/>
        <v>48.382587369711828</v>
      </c>
      <c r="D51">
        <v>9</v>
      </c>
      <c r="E51" s="113">
        <f t="shared" si="1"/>
        <v>529.73635806253833</v>
      </c>
      <c r="F51">
        <f>'lab journal'!G51-'lab journal'!G50</f>
        <v>43287</v>
      </c>
      <c r="G51" s="116">
        <f>F51/('lab journal'!H51-'lab journal'!H50)*60*24</f>
        <v>14449.068150208623</v>
      </c>
      <c r="H51" s="113">
        <v>0</v>
      </c>
      <c r="I51" s="113">
        <v>0.12000000000000001</v>
      </c>
      <c r="J51" s="113">
        <v>94.16</v>
      </c>
      <c r="K51" s="119" t="s">
        <v>164</v>
      </c>
      <c r="L51" s="113">
        <v>5.8650000000000002</v>
      </c>
      <c r="M51" s="113">
        <f t="shared" si="2"/>
        <v>100.145</v>
      </c>
      <c r="N51" s="113">
        <f>((L51/100)/Constants!$D$25/((10^-P51)^2))*(((10^-P51)^2)+(10^-P51)*Constants!$D$22+Constants!$D$22*Constants!$D$23)*1000</f>
        <v>2.715575504046202</v>
      </c>
      <c r="O51" s="113">
        <f>N51*(HRT!D51/1000)</f>
        <v>1.5421745152306432</v>
      </c>
      <c r="P51" s="113">
        <v>5.91</v>
      </c>
      <c r="Q51" s="113">
        <f t="shared" si="7"/>
        <v>0</v>
      </c>
      <c r="R51">
        <f t="shared" si="3"/>
        <v>0.87142406584940868</v>
      </c>
      <c r="S51">
        <f t="shared" si="4"/>
        <v>536.26865586755662</v>
      </c>
      <c r="T51" s="120" t="s">
        <v>164</v>
      </c>
      <c r="U51">
        <f t="shared" si="5"/>
        <v>33.314113468210181</v>
      </c>
      <c r="V51" s="113">
        <f t="shared" si="6"/>
        <v>-0.30067309943451903</v>
      </c>
      <c r="W51">
        <f t="shared" si="8"/>
        <v>571.42561695043196</v>
      </c>
    </row>
    <row r="52" spans="1:23">
      <c r="A52" s="223">
        <f>HRT!A52</f>
        <v>103.72847222222481</v>
      </c>
      <c r="B52">
        <v>0.81200000000000006</v>
      </c>
      <c r="C52" s="113">
        <f t="shared" si="0"/>
        <v>47.793991416309012</v>
      </c>
      <c r="D52">
        <v>9</v>
      </c>
      <c r="E52" s="113">
        <f t="shared" si="1"/>
        <v>529.73635806253833</v>
      </c>
      <c r="F52">
        <f>'lab journal'!G52-'lab journal'!G51</f>
        <v>29305</v>
      </c>
      <c r="G52" s="116">
        <f>F52/('lab journal'!H52-'lab journal'!H51)*60*24</f>
        <v>14566.517086641352</v>
      </c>
      <c r="H52" s="113">
        <v>0</v>
      </c>
      <c r="I52" s="113">
        <v>0.255</v>
      </c>
      <c r="J52" s="113">
        <v>94.625</v>
      </c>
      <c r="K52" s="119" t="s">
        <v>164</v>
      </c>
      <c r="L52" s="113">
        <v>5.98</v>
      </c>
      <c r="M52" s="113">
        <f t="shared" si="2"/>
        <v>100.86</v>
      </c>
      <c r="N52" s="113">
        <f>((L52/100)/Constants!$D$25/((10^-P52)^2))*(((10^-P52)^2)+(10^-P52)*Constants!$D$22+Constants!$D$22*Constants!$D$23)*1000</f>
        <v>2.7688220825569125</v>
      </c>
      <c r="O52" s="113">
        <f>N52*(HRT!D52/1000)</f>
        <v>1.573910839869741</v>
      </c>
      <c r="P52" s="113">
        <v>5.91</v>
      </c>
      <c r="Q52" s="113">
        <f t="shared" si="7"/>
        <v>0</v>
      </c>
      <c r="R52">
        <f t="shared" si="3"/>
        <v>1.0801320706103192</v>
      </c>
      <c r="S52">
        <f t="shared" si="4"/>
        <v>543.76728786711772</v>
      </c>
      <c r="T52" s="120" t="s">
        <v>164</v>
      </c>
      <c r="U52">
        <f t="shared" si="5"/>
        <v>34.117771670344617</v>
      </c>
      <c r="V52" s="113">
        <f t="shared" si="6"/>
        <v>3.3885327184950498</v>
      </c>
      <c r="W52">
        <f t="shared" si="8"/>
        <v>576.07043765883702</v>
      </c>
    </row>
    <row r="53" spans="1:23">
      <c r="A53" s="223">
        <f>HRT!A53</f>
        <v>105.74375000000146</v>
      </c>
      <c r="B53">
        <v>0.82799999999999996</v>
      </c>
      <c r="C53" s="113">
        <f t="shared" si="0"/>
        <v>48.735744941753524</v>
      </c>
      <c r="D53">
        <v>9</v>
      </c>
      <c r="E53" s="113">
        <f t="shared" si="1"/>
        <v>529.73635806253833</v>
      </c>
      <c r="F53">
        <f>'lab journal'!G53-'lab journal'!G52</f>
        <v>29308</v>
      </c>
      <c r="G53" s="116">
        <f>F53/('lab journal'!H53-'lab journal'!H52)*60*24</f>
        <v>14552.937931034481</v>
      </c>
      <c r="H53" s="113">
        <v>0</v>
      </c>
      <c r="I53" s="113">
        <v>0.46499999999999997</v>
      </c>
      <c r="J53" s="113">
        <v>94.44</v>
      </c>
      <c r="K53" s="119" t="s">
        <v>164</v>
      </c>
      <c r="L53" s="113">
        <v>5.9550000000000001</v>
      </c>
      <c r="M53" s="113">
        <f t="shared" si="2"/>
        <v>100.86</v>
      </c>
      <c r="N53" s="113">
        <f>((L53/100)/Constants!$D$25/((10^-P53)^2))*(((10^-P53)^2)+(10^-P53)*Constants!$D$22+Constants!$D$22*Constants!$D$23)*1000</f>
        <v>2.7917662558514929</v>
      </c>
      <c r="O53" s="113">
        <f>N53*(HRT!D53/1000)</f>
        <v>1.5957095185277772</v>
      </c>
      <c r="P53" s="113">
        <v>5.93</v>
      </c>
      <c r="Q53" s="113">
        <f t="shared" si="7"/>
        <v>0</v>
      </c>
      <c r="R53">
        <f t="shared" si="3"/>
        <v>2.0719202939066728</v>
      </c>
      <c r="S53">
        <f t="shared" si="4"/>
        <v>544.06612551036812</v>
      </c>
      <c r="T53" s="120" t="s">
        <v>164</v>
      </c>
      <c r="U53">
        <f t="shared" si="5"/>
        <v>34.344956538577975</v>
      </c>
      <c r="V53" s="113">
        <f t="shared" si="6"/>
        <v>4.4733765933981218</v>
      </c>
      <c r="W53">
        <f t="shared" si="8"/>
        <v>575.53341497407575</v>
      </c>
    </row>
    <row r="54" spans="1:23">
      <c r="A54" s="223">
        <f>HRT!A54</f>
        <v>108.73541666667006</v>
      </c>
      <c r="B54">
        <v>0.85899999999999999</v>
      </c>
      <c r="C54" s="113">
        <f t="shared" si="0"/>
        <v>50.560392397302273</v>
      </c>
      <c r="D54">
        <v>9</v>
      </c>
      <c r="E54" s="113">
        <f t="shared" si="1"/>
        <v>529.73635806253833</v>
      </c>
      <c r="F54">
        <f>'lab journal'!G54-'lab journal'!G53</f>
        <v>43390</v>
      </c>
      <c r="G54" s="116">
        <f>F54/('lab journal'!H54-'lab journal'!H53)*60*24</f>
        <v>14513.728222996517</v>
      </c>
      <c r="H54" s="113">
        <v>0</v>
      </c>
      <c r="I54" s="113">
        <v>0.21000000000000002</v>
      </c>
      <c r="J54" s="113">
        <v>94.07</v>
      </c>
      <c r="K54" s="119" t="s">
        <v>164</v>
      </c>
      <c r="L54" s="113">
        <v>5.8049999999999997</v>
      </c>
      <c r="M54" s="113">
        <f t="shared" si="2"/>
        <v>100.08499999999998</v>
      </c>
      <c r="N54" s="113">
        <f>((L54/100)/Constants!$D$25/((10^-P54)^2))*(((10^-P54)^2)+(10^-P54)*Constants!$D$22+Constants!$D$22*Constants!$D$23)*1000</f>
        <v>2.7388598516847291</v>
      </c>
      <c r="O54" s="113">
        <f>N54*(HRT!D54/1000)</f>
        <v>1.5748202202967412</v>
      </c>
      <c r="P54" s="113">
        <v>5.94</v>
      </c>
      <c r="Q54" s="113">
        <f t="shared" si="7"/>
        <v>0</v>
      </c>
      <c r="R54">
        <f t="shared" si="3"/>
        <v>1.9371918355063376</v>
      </c>
      <c r="S54">
        <f t="shared" si="4"/>
        <v>541.00745616488837</v>
      </c>
      <c r="T54" s="120" t="s">
        <v>164</v>
      </c>
      <c r="U54">
        <f t="shared" si="5"/>
        <v>33.750186645265963</v>
      </c>
      <c r="V54" s="113">
        <f t="shared" si="6"/>
        <v>2.3496969544991977</v>
      </c>
      <c r="W54">
        <f t="shared" si="8"/>
        <v>573.98276607595187</v>
      </c>
    </row>
    <row r="55" spans="1:23">
      <c r="A55" s="223">
        <f>HRT!A55</f>
        <v>110.75069444444671</v>
      </c>
      <c r="B55">
        <v>0.90500000000000003</v>
      </c>
      <c r="C55" s="113">
        <f t="shared" si="0"/>
        <v>53.267933782955247</v>
      </c>
      <c r="D55">
        <v>9</v>
      </c>
      <c r="E55" s="113">
        <f t="shared" si="1"/>
        <v>529.73635806253833</v>
      </c>
      <c r="F55">
        <f>'lab journal'!G55-'lab journal'!G54</f>
        <v>29225</v>
      </c>
      <c r="G55" s="116">
        <f>F55/('lab journal'!H55-'lab journal'!H54)*60*24</f>
        <v>14516.729906864435</v>
      </c>
      <c r="H55" s="113">
        <v>0</v>
      </c>
      <c r="I55" s="113">
        <f>AVERAGE(I54,I56)</f>
        <v>0.255</v>
      </c>
      <c r="J55" s="113">
        <f>AVERAGE(J54,J56)</f>
        <v>93.837500000000006</v>
      </c>
      <c r="K55" s="119" t="s">
        <v>164</v>
      </c>
      <c r="L55" s="113">
        <f>AVERAGE(L54,L56)</f>
        <v>5.7675000000000001</v>
      </c>
      <c r="M55" s="113">
        <f t="shared" si="2"/>
        <v>99.86</v>
      </c>
      <c r="N55" s="113">
        <f>((L55/100)/Constants!$D$25/((10^-P55)^2))*(((10^-P55)^2)+(10^-P55)*Constants!$D$22+Constants!$D$22*Constants!$D$23)*1000</f>
        <v>2.7755311113394368</v>
      </c>
      <c r="O55" s="113">
        <f>N55*(HRT!D55/1000)</f>
        <v>1.5890876073602707</v>
      </c>
      <c r="P55" s="113">
        <v>5.97</v>
      </c>
      <c r="Q55" s="113">
        <f t="shared" si="7"/>
        <v>0</v>
      </c>
      <c r="R55">
        <f t="shared" si="3"/>
        <v>1.3347859302958085</v>
      </c>
      <c r="S55">
        <f t="shared" si="4"/>
        <v>539.3898649399132</v>
      </c>
      <c r="T55" s="120" t="s">
        <v>164</v>
      </c>
      <c r="U55">
        <f t="shared" si="5"/>
        <v>33.218946620103743</v>
      </c>
      <c r="V55" s="113">
        <f t="shared" si="6"/>
        <v>9.6423771330528041E-2</v>
      </c>
      <c r="W55">
        <f t="shared" si="8"/>
        <v>574.10147539604668</v>
      </c>
    </row>
    <row r="56" spans="1:23">
      <c r="A56" s="113">
        <f>HRT!A56</f>
        <v>112.74791666666715</v>
      </c>
      <c r="B56">
        <v>0.82399999999999995</v>
      </c>
      <c r="C56" s="113">
        <f t="shared" si="0"/>
        <v>48.500306560392396</v>
      </c>
      <c r="D56">
        <v>9</v>
      </c>
      <c r="E56" s="113">
        <f t="shared" si="1"/>
        <v>529.73635806253833</v>
      </c>
      <c r="F56">
        <f>'lab journal'!G56-'lab journal'!G55</f>
        <v>28947</v>
      </c>
      <c r="G56" s="116">
        <f>F56/('lab journal'!H56-'lab journal'!H55)*60*24</f>
        <v>14498.671304347827</v>
      </c>
      <c r="H56" s="113">
        <v>0</v>
      </c>
      <c r="I56" s="113">
        <v>0.30000000000000004</v>
      </c>
      <c r="J56" s="113">
        <v>93.605000000000004</v>
      </c>
      <c r="K56" s="119" t="s">
        <v>164</v>
      </c>
      <c r="L56" s="113">
        <v>5.73</v>
      </c>
      <c r="M56" s="113">
        <f t="shared" si="2"/>
        <v>99.635000000000005</v>
      </c>
      <c r="N56" s="113">
        <f>((L56/100)/Constants!$D$25/((10^-P56)^2))*(((10^-P56)^2)+(10^-P56)*Constants!$D$22+Constants!$D$22*Constants!$D$23)*1000</f>
        <v>2.6530686510118908</v>
      </c>
      <c r="O56" s="113">
        <f>N56*(HRT!D56/1000)</f>
        <v>1.5055835607188615</v>
      </c>
      <c r="P56" s="113">
        <v>5.91</v>
      </c>
      <c r="Q56" s="113">
        <f t="shared" si="7"/>
        <v>0</v>
      </c>
      <c r="R56">
        <f t="shared" si="3"/>
        <v>1.5911497615109238</v>
      </c>
      <c r="S56">
        <f t="shared" si="4"/>
        <v>537.38574625587626</v>
      </c>
      <c r="T56" s="120" t="s">
        <v>164</v>
      </c>
      <c r="U56">
        <f t="shared" si="5"/>
        <v>32.962602491841167</v>
      </c>
      <c r="V56" s="113">
        <f t="shared" si="6"/>
        <v>-1.5333691369416584</v>
      </c>
      <c r="W56">
        <f t="shared" si="8"/>
        <v>573.38730144537794</v>
      </c>
    </row>
    <row r="57" spans="1:23">
      <c r="A57" s="113">
        <f>HRT!A57</f>
        <v>115.7229166666657</v>
      </c>
      <c r="B57">
        <v>0.80500000000000005</v>
      </c>
      <c r="C57" s="113">
        <f t="shared" si="0"/>
        <v>47.381974248927044</v>
      </c>
      <c r="D57">
        <v>9</v>
      </c>
      <c r="E57" s="113">
        <f t="shared" si="1"/>
        <v>529.73635806253833</v>
      </c>
      <c r="F57">
        <f>'lab journal'!G57-'lab journal'!G56</f>
        <v>42863</v>
      </c>
      <c r="G57" s="116">
        <f>F57/('lab journal'!H57-'lab journal'!H56)*60*24</f>
        <v>14421.196261682244</v>
      </c>
      <c r="H57" s="113">
        <v>0</v>
      </c>
      <c r="I57" s="113">
        <v>0.26500000000000001</v>
      </c>
      <c r="J57" s="113">
        <v>93.664999999999992</v>
      </c>
      <c r="K57" s="119" t="s">
        <v>164</v>
      </c>
      <c r="L57" s="113">
        <v>5.8</v>
      </c>
      <c r="M57" s="113">
        <f t="shared" si="2"/>
        <v>99.72999999999999</v>
      </c>
      <c r="N57" s="113">
        <f>((L57/100)/Constants!$D$25/((10^-P57)^2))*(((10^-P57)^2)+(10^-P57)*Constants!$D$22+Constants!$D$22*Constants!$D$23)*1000</f>
        <v>2.6078996056849126</v>
      </c>
      <c r="O57" s="113">
        <f>N57*(HRT!D57/1000)</f>
        <v>1.486767908150465</v>
      </c>
      <c r="P57" s="113">
        <v>5.86</v>
      </c>
      <c r="Q57" s="113">
        <f t="shared" si="7"/>
        <v>0</v>
      </c>
      <c r="R57">
        <f t="shared" si="3"/>
        <v>1.6111634675018722</v>
      </c>
      <c r="S57">
        <f t="shared" si="4"/>
        <v>534.02227001606286</v>
      </c>
      <c r="T57" s="120" t="s">
        <v>164</v>
      </c>
      <c r="U57">
        <f t="shared" si="5"/>
        <v>32.879141204064759</v>
      </c>
      <c r="V57" s="113">
        <f t="shared" si="6"/>
        <v>-1.9351721998181546</v>
      </c>
      <c r="W57">
        <f t="shared" si="8"/>
        <v>570.32335132809624</v>
      </c>
    </row>
    <row r="58" spans="1:23">
      <c r="A58" s="113">
        <f>HRT!A58</f>
        <v>117.72152777777956</v>
      </c>
      <c r="B58">
        <v>0.83299999999999996</v>
      </c>
      <c r="C58" s="113">
        <f t="shared" si="0"/>
        <v>49.030042918454939</v>
      </c>
      <c r="D58">
        <v>9</v>
      </c>
      <c r="E58" s="113">
        <f t="shared" si="1"/>
        <v>529.73635806253833</v>
      </c>
      <c r="F58">
        <f>'lab journal'!G58-'lab journal'!G57</f>
        <v>29133</v>
      </c>
      <c r="G58" s="116">
        <f>F58/('lab journal'!H58-'lab journal'!H57)*60*24</f>
        <v>14586.759388038943</v>
      </c>
      <c r="H58" s="113">
        <v>0</v>
      </c>
      <c r="I58" s="113">
        <v>0.20500000000000002</v>
      </c>
      <c r="J58" s="113">
        <v>93.954999999999998</v>
      </c>
      <c r="K58" s="119" t="s">
        <v>164</v>
      </c>
      <c r="L58" s="113">
        <v>5.78</v>
      </c>
      <c r="M58" s="113">
        <f t="shared" si="2"/>
        <v>99.94</v>
      </c>
      <c r="N58" s="113">
        <f>((L58/100)/Constants!$D$25/((10^-P58)^2))*(((10^-P58)^2)+(10^-P58)*Constants!$D$22+Constants!$D$22*Constants!$D$23)*1000</f>
        <v>2.6136655435513503</v>
      </c>
      <c r="O58" s="113">
        <f>N58*(HRT!D58/1000)</f>
        <v>1.4809374284809382</v>
      </c>
      <c r="P58" s="113">
        <v>5.87</v>
      </c>
      <c r="Q58" s="113">
        <f t="shared" si="7"/>
        <v>0</v>
      </c>
      <c r="R58">
        <f t="shared" si="3"/>
        <v>1.3556467832749945</v>
      </c>
      <c r="S58">
        <f t="shared" si="4"/>
        <v>541.16265846394572</v>
      </c>
      <c r="T58" s="120" t="s">
        <v>164</v>
      </c>
      <c r="U58">
        <f t="shared" si="5"/>
        <v>33.400829256009445</v>
      </c>
      <c r="V58" s="113">
        <f t="shared" si="6"/>
        <v>-0.82654645794453785</v>
      </c>
      <c r="W58">
        <f t="shared" si="8"/>
        <v>576.87097160638064</v>
      </c>
    </row>
    <row r="59" spans="1:23">
      <c r="A59" s="113">
        <f>HRT!A59</f>
        <v>119.69305555555911</v>
      </c>
      <c r="B59">
        <v>0.83799999999999997</v>
      </c>
      <c r="C59" s="113">
        <f t="shared" si="0"/>
        <v>49.324340895156347</v>
      </c>
      <c r="D59">
        <v>9</v>
      </c>
      <c r="E59" s="113">
        <f t="shared" si="1"/>
        <v>529.73635806253833</v>
      </c>
      <c r="F59">
        <f>'lab journal'!G59-'lab journal'!G58</f>
        <v>28758</v>
      </c>
      <c r="G59" s="116">
        <f>F59/('lab journal'!H59-'lab journal'!H58)*60*24</f>
        <v>14596.940430031726</v>
      </c>
      <c r="H59" s="113">
        <v>0</v>
      </c>
      <c r="I59" s="113">
        <v>0.315</v>
      </c>
      <c r="J59" s="113">
        <v>93.61</v>
      </c>
      <c r="K59" s="119" t="s">
        <v>164</v>
      </c>
      <c r="L59" s="113">
        <v>5.8049999999999997</v>
      </c>
      <c r="M59" s="113">
        <f t="shared" si="2"/>
        <v>99.72999999999999</v>
      </c>
      <c r="N59" s="113">
        <f>((L59/100)/Constants!$D$25/((10^-P59)^2))*(((10^-P59)^2)+(10^-P59)*Constants!$D$22+Constants!$D$22*Constants!$D$23)*1000</f>
        <v>2.5956626893332819</v>
      </c>
      <c r="O59" s="113">
        <f>N59*(HRT!D59/1000)</f>
        <v>1.4715416193323381</v>
      </c>
      <c r="P59" s="113">
        <v>5.85</v>
      </c>
      <c r="Q59" s="113">
        <f t="shared" si="7"/>
        <v>0</v>
      </c>
      <c r="R59">
        <f t="shared" si="3"/>
        <v>1.5009113785526571</v>
      </c>
      <c r="S59">
        <f t="shared" si="4"/>
        <v>541.38162061197909</v>
      </c>
      <c r="T59" s="120" t="s">
        <v>164</v>
      </c>
      <c r="U59">
        <f t="shared" si="5"/>
        <v>33.43857369333179</v>
      </c>
      <c r="V59" s="113">
        <f t="shared" si="6"/>
        <v>-0.98187121099413588</v>
      </c>
      <c r="W59">
        <f t="shared" si="8"/>
        <v>577.27360713563735</v>
      </c>
    </row>
    <row r="60" spans="1:23" s="226" customFormat="1">
      <c r="A60" s="225">
        <f>HRT!A60</f>
        <v>122.70694444444962</v>
      </c>
      <c r="B60" s="226">
        <v>0.91100000000000003</v>
      </c>
      <c r="C60" s="225">
        <f t="shared" si="0"/>
        <v>53.621091354996942</v>
      </c>
      <c r="D60" s="226">
        <v>9</v>
      </c>
      <c r="E60" s="225">
        <f t="shared" si="1"/>
        <v>529.73635806253833</v>
      </c>
      <c r="F60" s="226">
        <f>'lab journal'!G60-'lab journal'!G59</f>
        <v>43829</v>
      </c>
      <c r="G60" s="238">
        <f>F60/('lab journal'!H60-'lab journal'!H59)*60*24</f>
        <v>14555.756457564574</v>
      </c>
      <c r="H60" s="225">
        <v>0</v>
      </c>
      <c r="I60" s="225">
        <v>0.36</v>
      </c>
      <c r="J60" s="225">
        <v>94.07</v>
      </c>
      <c r="K60" s="236" t="s">
        <v>164</v>
      </c>
      <c r="L60" s="225">
        <v>5.8450000000000006</v>
      </c>
      <c r="M60" s="225">
        <f t="shared" si="2"/>
        <v>100.27499999999999</v>
      </c>
      <c r="N60" s="225">
        <f>((L60/100)/Constants!$D$25/((10^-P60)^2))*(((10^-P60)^2)+(10^-P60)*Constants!$D$22+Constants!$D$22*Constants!$D$23)*1000</f>
        <v>2.4734465798145102</v>
      </c>
      <c r="O60" s="225">
        <f>N60*(HRT!D60/1000)</f>
        <v>1.4009124605336434</v>
      </c>
      <c r="P60" s="225">
        <v>5.74</v>
      </c>
      <c r="Q60" s="225">
        <f t="shared" si="7"/>
        <v>0</v>
      </c>
      <c r="R60" s="226">
        <f t="shared" si="3"/>
        <v>1.9428014729210012</v>
      </c>
      <c r="S60" s="226">
        <f t="shared" si="4"/>
        <v>540.18515620416815</v>
      </c>
      <c r="T60" s="237" t="s">
        <v>164</v>
      </c>
      <c r="U60" s="226">
        <f t="shared" si="5"/>
        <v>33.531314310414317</v>
      </c>
      <c r="V60" s="225">
        <f t="shared" si="6"/>
        <v>-0.52749789036569439</v>
      </c>
      <c r="W60" s="226">
        <f t="shared" si="8"/>
        <v>575.64488086548181</v>
      </c>
    </row>
    <row r="61" spans="1:23">
      <c r="A61" s="113">
        <f>HRT!A61</f>
        <v>124.74305555555475</v>
      </c>
      <c r="B61">
        <v>0.78400000000000003</v>
      </c>
      <c r="C61" s="113">
        <f t="shared" si="0"/>
        <v>46.145922746781117</v>
      </c>
      <c r="D61">
        <v>9</v>
      </c>
      <c r="E61" s="113">
        <f t="shared" si="1"/>
        <v>529.73635806253833</v>
      </c>
      <c r="F61">
        <f>'lab journal'!G62-'lab journal'!G60</f>
        <v>30291</v>
      </c>
      <c r="G61" s="116">
        <f>F61/('lab journal'!H62-'lab journal'!H60)*60*24</f>
        <v>14881.965199590581</v>
      </c>
      <c r="H61" s="113">
        <v>0</v>
      </c>
      <c r="I61" s="113">
        <v>0.39</v>
      </c>
      <c r="J61" s="113">
        <v>93.4</v>
      </c>
      <c r="K61" s="179">
        <v>9.5999999999999992E-3</v>
      </c>
      <c r="L61" s="113">
        <v>5.98</v>
      </c>
      <c r="M61" s="113">
        <f t="shared" si="2"/>
        <v>99.779600000000016</v>
      </c>
      <c r="N61" s="113">
        <f>((L61/100)/Constants!$D$25/((10^-P61)^2))*(((10^-P61)^2)+(10^-P61)*Constants!$D$22+Constants!$D$22*Constants!$D$23)*1000</f>
        <v>2.508194323966169</v>
      </c>
      <c r="O61" s="113">
        <f>N61*(HRT!D61/1000)</f>
        <v>0.18105180925236414</v>
      </c>
      <c r="P61" s="113">
        <v>5.72</v>
      </c>
      <c r="Q61" s="113">
        <f t="shared" si="7"/>
        <v>0</v>
      </c>
      <c r="R61">
        <f t="shared" si="3"/>
        <v>2.2070461717339502</v>
      </c>
      <c r="S61">
        <f t="shared" si="4"/>
        <v>551.67326108661825</v>
      </c>
      <c r="T61">
        <f t="shared" ref="T61:T76" si="9">(AVERAGE(K60:K61)/100*G61)/$Z$3</f>
        <v>5.6500381996389133E-2</v>
      </c>
      <c r="U61">
        <f t="shared" si="5"/>
        <v>34.797761307671955</v>
      </c>
      <c r="V61" s="113">
        <f t="shared" si="6"/>
        <v>-1.8935715921775582</v>
      </c>
      <c r="W61">
        <f t="shared" si="8"/>
        <v>588.54564579572013</v>
      </c>
    </row>
    <row r="62" spans="1:23">
      <c r="A62" s="232">
        <f>HRT!A62</f>
        <v>126.72083333333285</v>
      </c>
      <c r="B62">
        <v>0.83599999999999997</v>
      </c>
      <c r="C62" s="113">
        <f t="shared" si="0"/>
        <v>49.206621704475779</v>
      </c>
      <c r="D62">
        <v>9</v>
      </c>
      <c r="E62" s="113">
        <f t="shared" si="1"/>
        <v>529.73635806253833</v>
      </c>
      <c r="F62">
        <f>'lab journal'!G63-'lab journal'!G62</f>
        <v>29430</v>
      </c>
      <c r="G62" s="116">
        <f>F62/('lab journal'!H63-'lab journal'!H62)*60*24</f>
        <v>14896.028119507908</v>
      </c>
      <c r="H62" s="113">
        <v>0</v>
      </c>
      <c r="I62" s="113">
        <v>0.505</v>
      </c>
      <c r="J62" s="113">
        <v>94.215000000000003</v>
      </c>
      <c r="K62" s="113">
        <v>5.0000000000000001E-3</v>
      </c>
      <c r="L62" s="113">
        <v>5.9649999999999999</v>
      </c>
      <c r="M62" s="113">
        <f t="shared" si="2"/>
        <v>100.69</v>
      </c>
      <c r="N62" s="113">
        <f>((L62/100)/Constants!$D$25/((10^-P62)^2))*(((10^-P62)^2)+(10^-P62)*Constants!$D$22+Constants!$D$22*Constants!$D$23)*1000</f>
        <v>2.697320928595814</v>
      </c>
      <c r="O62" s="113">
        <f>N62*(HRT!D62/1000)</f>
        <v>0.19526481742966043</v>
      </c>
      <c r="P62" s="113">
        <v>5.87</v>
      </c>
      <c r="Q62" s="113">
        <f t="shared" si="7"/>
        <v>0</v>
      </c>
      <c r="R62">
        <f t="shared" si="3"/>
        <v>2.6362305558331833</v>
      </c>
      <c r="S62">
        <f t="shared" si="4"/>
        <v>552.62167120965671</v>
      </c>
      <c r="T62">
        <f t="shared" si="9"/>
        <v>4.3004431413591594E-2</v>
      </c>
      <c r="U62">
        <f t="shared" si="5"/>
        <v>35.184105016119979</v>
      </c>
      <c r="V62" s="113">
        <f t="shared" si="6"/>
        <v>-1.1007591429798609</v>
      </c>
      <c r="W62">
        <f t="shared" si="8"/>
        <v>589.10180018618621</v>
      </c>
    </row>
    <row r="63" spans="1:23">
      <c r="A63" s="232">
        <f>HRT!A63</f>
        <v>129.72638888889196</v>
      </c>
      <c r="B63">
        <v>0.87</v>
      </c>
      <c r="C63" s="113">
        <f t="shared" si="0"/>
        <v>51.207847946045369</v>
      </c>
      <c r="D63">
        <v>9</v>
      </c>
      <c r="E63" s="113">
        <f t="shared" si="1"/>
        <v>529.73635806253833</v>
      </c>
      <c r="F63">
        <f>'lab journal'!G64-'lab journal'!G63</f>
        <v>44905</v>
      </c>
      <c r="G63" s="116">
        <f>F63/('lab journal'!H64-'lab journal'!H63)*60*24</f>
        <v>14951.028901734106</v>
      </c>
      <c r="H63" s="113">
        <v>0</v>
      </c>
      <c r="I63" s="113">
        <f>AVERAGE(I62,I65)</f>
        <v>0.34250000000000003</v>
      </c>
      <c r="J63" s="113">
        <f>AVERAGE(J62,J65)</f>
        <v>93.622500000000002</v>
      </c>
      <c r="K63" s="113">
        <v>6.4500000000000009E-3</v>
      </c>
      <c r="L63" s="113">
        <f>AVERAGE(L62,L65)</f>
        <v>5.9</v>
      </c>
      <c r="M63" s="113">
        <f t="shared" si="2"/>
        <v>99.87145000000001</v>
      </c>
      <c r="N63" s="113">
        <f>((L63/100)/Constants!$D$25/((10^-P63)^2))*(((10^-P63)^2)+(10^-P63)*Constants!$D$22+Constants!$D$22*Constants!$D$23)*1000</f>
        <v>2.6096947078817112</v>
      </c>
      <c r="O63" s="113">
        <f>N63*(HRT!D63/1000)</f>
        <v>0.18214206496521268</v>
      </c>
      <c r="P63" s="113">
        <v>5.83</v>
      </c>
      <c r="Q63" s="113">
        <f t="shared" si="7"/>
        <v>0</v>
      </c>
      <c r="R63">
        <f t="shared" si="3"/>
        <v>2.5055360662460755</v>
      </c>
      <c r="S63">
        <f t="shared" si="4"/>
        <v>555.31991839940679</v>
      </c>
      <c r="T63">
        <f t="shared" si="9"/>
        <v>3.3850605260787696E-2</v>
      </c>
      <c r="U63">
        <f t="shared" si="5"/>
        <v>35.077504927445055</v>
      </c>
      <c r="V63" s="113">
        <f t="shared" si="6"/>
        <v>-0.69738239486750331</v>
      </c>
      <c r="W63">
        <f t="shared" si="8"/>
        <v>591.27694778668456</v>
      </c>
    </row>
    <row r="64" spans="1:23">
      <c r="A64" s="232">
        <f>HRT!A64</f>
        <v>131.7236111111124</v>
      </c>
      <c r="B64">
        <v>0.89200000000000002</v>
      </c>
      <c r="C64" s="113">
        <f t="shared" si="0"/>
        <v>52.502759043531576</v>
      </c>
      <c r="D64">
        <v>9</v>
      </c>
      <c r="E64" s="113">
        <f t="shared" si="1"/>
        <v>529.73635806253833</v>
      </c>
      <c r="F64">
        <f>'lab journal'!G65-'lab journal'!G64</f>
        <v>29802</v>
      </c>
      <c r="G64" s="116">
        <f>F64/('lab journal'!H65-'lab journal'!H64)*60*24</f>
        <v>14932.108559498956</v>
      </c>
      <c r="H64" s="113">
        <v>0</v>
      </c>
      <c r="I64" s="113">
        <f>AVERAGE(I63,I65)</f>
        <v>0.26124999999999998</v>
      </c>
      <c r="J64" s="113">
        <f>AVERAGE(J63,J65)</f>
        <v>93.326250000000002</v>
      </c>
      <c r="K64" s="113">
        <v>4.5999999999999999E-3</v>
      </c>
      <c r="L64" s="113">
        <f>AVERAGE(L65,L63)</f>
        <v>5.8674999999999997</v>
      </c>
      <c r="M64" s="113">
        <f t="shared" si="2"/>
        <v>99.459599999999995</v>
      </c>
      <c r="N64" s="113">
        <f>((L64/100)/Constants!$D$25/((10^-P64)^2))*(((10^-P64)^2)+(10^-P64)*Constants!$D$22+Constants!$D$22*Constants!$D$23)*1000</f>
        <v>2.7003053633910512</v>
      </c>
      <c r="O64" s="113">
        <f>N64*(HRT!D64/1000)</f>
        <v>0.18956886031581505</v>
      </c>
      <c r="P64" s="113">
        <v>5.9</v>
      </c>
      <c r="Q64" s="113">
        <f t="shared" si="7"/>
        <v>0</v>
      </c>
      <c r="R64">
        <f t="shared" si="3"/>
        <v>1.7826584953724383</v>
      </c>
      <c r="S64">
        <f t="shared" si="4"/>
        <v>551.99300602361598</v>
      </c>
      <c r="T64">
        <f t="shared" si="9"/>
        <v>3.2626710350087691E-2</v>
      </c>
      <c r="U64">
        <f t="shared" si="5"/>
        <v>34.745232040240445</v>
      </c>
      <c r="V64" s="113">
        <f t="shared" si="6"/>
        <v>-3.6008871950619223</v>
      </c>
      <c r="W64">
        <f t="shared" si="8"/>
        <v>590.52869411923416</v>
      </c>
    </row>
    <row r="65" spans="1:23">
      <c r="A65" s="232">
        <f>HRT!A65</f>
        <v>133.7993055555562</v>
      </c>
      <c r="B65">
        <v>0.875</v>
      </c>
      <c r="C65" s="113">
        <f t="shared" si="0"/>
        <v>51.502145922746784</v>
      </c>
      <c r="D65">
        <v>9</v>
      </c>
      <c r="E65" s="113">
        <f t="shared" si="1"/>
        <v>529.73635806253833</v>
      </c>
      <c r="F65">
        <f>'lab journal'!G66-'lab journal'!G65</f>
        <v>30906</v>
      </c>
      <c r="G65" s="116">
        <f>F65/('lab journal'!H66-'lab journal'!H65)*60*24</f>
        <v>14899.444258453299</v>
      </c>
      <c r="H65" s="113">
        <v>0</v>
      </c>
      <c r="I65" s="113">
        <v>0.18</v>
      </c>
      <c r="J65" s="113">
        <v>93.03</v>
      </c>
      <c r="K65" s="113">
        <v>1.5E-3</v>
      </c>
      <c r="L65" s="113">
        <v>5.835</v>
      </c>
      <c r="M65" s="113">
        <f t="shared" si="2"/>
        <v>99.046499999999995</v>
      </c>
      <c r="N65" s="113">
        <f>((L65/100)/Constants!$D$25/((10^-P65)^2))*(((10^-P65)^2)+(10^-P65)*Constants!$D$22+Constants!$D$22*Constants!$D$23)*1000</f>
        <v>2.3875855862854065</v>
      </c>
      <c r="O65" s="113">
        <f>N65*(HRT!D65/1000)</f>
        <v>0.16015331925163301</v>
      </c>
      <c r="P65" s="113">
        <v>5.66</v>
      </c>
      <c r="Q65" s="113">
        <f t="shared" si="7"/>
        <v>0</v>
      </c>
      <c r="R65">
        <f t="shared" si="3"/>
        <v>1.3000039110659094</v>
      </c>
      <c r="S65">
        <f t="shared" si="4"/>
        <v>549.03989541433737</v>
      </c>
      <c r="T65">
        <f t="shared" si="9"/>
        <v>1.7971725456095291E-2</v>
      </c>
      <c r="U65">
        <f t="shared" si="5"/>
        <v>34.477724122943471</v>
      </c>
      <c r="V65" s="113">
        <f t="shared" si="6"/>
        <v>-5.5591273433131789</v>
      </c>
      <c r="W65">
        <f t="shared" si="8"/>
        <v>589.23690019984565</v>
      </c>
    </row>
    <row r="66" spans="1:23">
      <c r="A66" s="232">
        <f>HRT!A66</f>
        <v>136.7097222222219</v>
      </c>
      <c r="B66">
        <v>0.85199999999999998</v>
      </c>
      <c r="C66" s="113">
        <f t="shared" si="0"/>
        <v>50.148375229920291</v>
      </c>
      <c r="D66">
        <v>9</v>
      </c>
      <c r="E66" s="113">
        <f t="shared" si="1"/>
        <v>529.73635806253833</v>
      </c>
      <c r="F66">
        <f>'lab journal'!G67-'lab journal'!G66</f>
        <v>43476</v>
      </c>
      <c r="G66" s="116">
        <f>F66/('lab journal'!H67-'lab journal'!H66)*60*24</f>
        <v>14948.767908309455</v>
      </c>
      <c r="H66" s="113">
        <v>0</v>
      </c>
      <c r="I66" s="113">
        <v>0.13500000000000001</v>
      </c>
      <c r="J66" s="113">
        <v>94.03</v>
      </c>
      <c r="K66" s="113">
        <v>1.0149999999999999E-2</v>
      </c>
      <c r="L66" s="113">
        <v>5.8900000000000006</v>
      </c>
      <c r="M66" s="113">
        <f t="shared" si="2"/>
        <v>100.06515</v>
      </c>
      <c r="N66" s="113">
        <f>((L66/100)/Constants!$D$25/((10^-P66)^2))*(((10^-P66)^2)+(10^-P66)*Constants!$D$22+Constants!$D$22*Constants!$D$23)*1000</f>
        <v>2.8344825740423554</v>
      </c>
      <c r="O66" s="113">
        <f>N66*(HRT!D66/1000)</f>
        <v>0.1856822757813025</v>
      </c>
      <c r="P66" s="113">
        <v>5.97</v>
      </c>
      <c r="Q66" s="113">
        <f t="shared" si="7"/>
        <v>0</v>
      </c>
      <c r="R66">
        <f t="shared" si="3"/>
        <v>0.93112036129033415</v>
      </c>
      <c r="S66">
        <f t="shared" si="4"/>
        <v>552.93769772371411</v>
      </c>
      <c r="T66">
        <f t="shared" si="9"/>
        <v>3.4436673679467913E-2</v>
      </c>
      <c r="U66">
        <f t="shared" si="5"/>
        <v>34.658369003584667</v>
      </c>
      <c r="V66" s="113">
        <f t="shared" si="6"/>
        <v>-3.4057819749099565</v>
      </c>
      <c r="W66">
        <f t="shared" si="8"/>
        <v>591.18753097799004</v>
      </c>
    </row>
    <row r="67" spans="1:23">
      <c r="A67" s="232">
        <f>HRT!A67</f>
        <v>138.89444444444962</v>
      </c>
      <c r="B67">
        <v>0.90400000000000003</v>
      </c>
      <c r="C67" s="113">
        <f t="shared" si="0"/>
        <v>53.209074187614959</v>
      </c>
      <c r="D67">
        <v>9</v>
      </c>
      <c r="E67" s="113">
        <f t="shared" si="1"/>
        <v>529.73635806253833</v>
      </c>
      <c r="F67">
        <f>'lab journal'!G68-'lab journal'!G67</f>
        <v>32450</v>
      </c>
      <c r="G67" s="116">
        <f>F67/('lab journal'!H68-'lab journal'!H67)*60*24</f>
        <v>14862.59541984733</v>
      </c>
      <c r="H67" s="113">
        <v>0</v>
      </c>
      <c r="I67" s="113">
        <v>0.36</v>
      </c>
      <c r="J67" s="113">
        <v>93.704999999999998</v>
      </c>
      <c r="K67" s="113">
        <v>3.5500000000000002E-3</v>
      </c>
      <c r="L67" s="113">
        <v>6.0549999999999997</v>
      </c>
      <c r="M67" s="113">
        <f t="shared" si="2"/>
        <v>100.12354999999999</v>
      </c>
      <c r="N67" s="113">
        <f>((L67/100)/Constants!$D$25/((10^-P67)^2))*(((10^-P67)^2)+(10^-P67)*Constants!$D$22+Constants!$D$22*Constants!$D$23)*1000</f>
        <v>2.803548112020418</v>
      </c>
      <c r="O67" s="113">
        <f>N67*(HRT!D67/1000)</f>
        <v>0.19353594314350767</v>
      </c>
      <c r="P67" s="113">
        <v>5.91</v>
      </c>
      <c r="Q67" s="113">
        <f t="shared" si="7"/>
        <v>0</v>
      </c>
      <c r="R67">
        <f t="shared" si="3"/>
        <v>1.4547545544618421</v>
      </c>
      <c r="S67">
        <f t="shared" si="4"/>
        <v>551.73403289271505</v>
      </c>
      <c r="T67">
        <f t="shared" si="9"/>
        <v>4.0262903830560075E-2</v>
      </c>
      <c r="U67">
        <f t="shared" si="5"/>
        <v>35.105137682922631</v>
      </c>
      <c r="V67" s="113">
        <f t="shared" si="6"/>
        <v>-0.74691144559950118</v>
      </c>
      <c r="W67">
        <f t="shared" si="8"/>
        <v>587.77961796438069</v>
      </c>
    </row>
    <row r="68" spans="1:23">
      <c r="A68" s="232">
        <f>HRT!A68</f>
        <v>140.88333333333867</v>
      </c>
      <c r="B68">
        <v>0.84599999999999997</v>
      </c>
      <c r="C68" s="113">
        <f t="shared" si="0"/>
        <v>49.795217657878602</v>
      </c>
      <c r="D68">
        <v>9</v>
      </c>
      <c r="E68" s="113">
        <f t="shared" si="1"/>
        <v>529.73635806253833</v>
      </c>
      <c r="F68">
        <f>'lab journal'!G69-'lab journal'!G68</f>
        <v>29825</v>
      </c>
      <c r="G68" s="116">
        <f>F68/('lab journal'!H69-'lab journal'!H68)*60*24</f>
        <v>15006.289308176101</v>
      </c>
      <c r="H68" s="113">
        <v>0</v>
      </c>
      <c r="I68" s="113">
        <v>0.33</v>
      </c>
      <c r="J68" s="113">
        <v>94.224999999999994</v>
      </c>
      <c r="K68" s="113">
        <v>7.9999999999999993E-4</v>
      </c>
      <c r="L68" s="113">
        <v>6.125</v>
      </c>
      <c r="M68" s="113">
        <f t="shared" si="2"/>
        <v>100.68079999999999</v>
      </c>
      <c r="N68" s="113">
        <f>((L68/100)/Constants!$D$25/((10^-P68)^2))*(((10^-P68)^2)+(10^-P68)*Constants!$D$22+Constants!$D$22*Constants!$D$23)*1000</f>
        <v>2.9278836687826884</v>
      </c>
      <c r="O68" s="113">
        <f>N68*(HRT!D68/1000)</f>
        <v>0.19500932237135232</v>
      </c>
      <c r="P68" s="113">
        <v>5.96</v>
      </c>
      <c r="Q68" s="113">
        <f t="shared" si="7"/>
        <v>0</v>
      </c>
      <c r="R68">
        <f t="shared" si="3"/>
        <v>2.0474451519895416</v>
      </c>
      <c r="S68">
        <f t="shared" si="4"/>
        <v>557.64690929477467</v>
      </c>
      <c r="T68">
        <f t="shared" si="9"/>
        <v>1.2907806392977544E-2</v>
      </c>
      <c r="U68">
        <f t="shared" si="5"/>
        <v>36.141857900337122</v>
      </c>
      <c r="V68" s="113">
        <f t="shared" si="6"/>
        <v>0.52141362196398688</v>
      </c>
      <c r="W68">
        <f t="shared" si="8"/>
        <v>593.46236289551916</v>
      </c>
    </row>
    <row r="69" spans="1:23">
      <c r="A69" s="232">
        <f>HRT!A69</f>
        <v>143.87291666666715</v>
      </c>
      <c r="B69">
        <v>0.82199999999999995</v>
      </c>
      <c r="C69" s="113">
        <f t="shared" si="0"/>
        <v>48.382587369711828</v>
      </c>
      <c r="D69">
        <v>9</v>
      </c>
      <c r="E69" s="113">
        <f t="shared" si="1"/>
        <v>529.73635806253833</v>
      </c>
      <c r="F69">
        <f>'lab journal'!G70-'lab journal'!G69</f>
        <v>44927</v>
      </c>
      <c r="G69" s="116">
        <f>F69/('lab journal'!H70-'lab journal'!H69)*60*24</f>
        <v>15038.326359832636</v>
      </c>
      <c r="H69" s="113">
        <v>0</v>
      </c>
      <c r="I69" s="113">
        <v>0.33499999999999996</v>
      </c>
      <c r="J69" s="113">
        <v>94.12</v>
      </c>
      <c r="K69" s="113">
        <v>6.0000000000000006E-4</v>
      </c>
      <c r="L69" s="113">
        <v>6.2249999999999996</v>
      </c>
      <c r="M69" s="113">
        <f t="shared" si="2"/>
        <v>100.6806</v>
      </c>
      <c r="N69" s="113">
        <f>((L69/100)/Constants!$D$25/((10^-P69)^2))*(((10^-P69)^2)+(10^-P69)*Constants!$D$22+Constants!$D$22*Constants!$D$23)*1000</f>
        <v>2.9000950351304224</v>
      </c>
      <c r="O69" s="113">
        <f>N69*(HRT!D69/1000)</f>
        <v>0.20041128462347965</v>
      </c>
      <c r="P69" s="113">
        <v>5.92</v>
      </c>
      <c r="Q69" s="113">
        <f t="shared" si="7"/>
        <v>0</v>
      </c>
      <c r="R69">
        <f t="shared" si="3"/>
        <v>1.9774750908187737</v>
      </c>
      <c r="S69">
        <f t="shared" si="4"/>
        <v>560.07149771467959</v>
      </c>
      <c r="T69">
        <f t="shared" si="9"/>
        <v>4.1631054543553123E-3</v>
      </c>
      <c r="U69">
        <f t="shared" si="5"/>
        <v>36.724537400920084</v>
      </c>
      <c r="V69" s="113">
        <f t="shared" si="6"/>
        <v>2.2670957780354897</v>
      </c>
      <c r="W69">
        <f t="shared" si="8"/>
        <v>594.72935062218767</v>
      </c>
    </row>
    <row r="70" spans="1:23">
      <c r="A70" s="232">
        <f>HRT!A70</f>
        <v>145.82013888889196</v>
      </c>
      <c r="B70">
        <v>0.81</v>
      </c>
      <c r="C70" s="113">
        <f t="shared" si="0"/>
        <v>47.676272225628452</v>
      </c>
      <c r="D70">
        <v>9</v>
      </c>
      <c r="E70" s="113">
        <f t="shared" si="1"/>
        <v>529.73635806253833</v>
      </c>
      <c r="F70">
        <f>'lab journal'!G71-'lab journal'!G70</f>
        <v>29296</v>
      </c>
      <c r="G70" s="116">
        <f>F70/('lab journal'!H71-'lab journal'!H70)*60*24</f>
        <v>15055.76017130621</v>
      </c>
      <c r="H70" s="113">
        <v>0</v>
      </c>
      <c r="I70" s="113">
        <v>0.22</v>
      </c>
      <c r="J70" s="113">
        <v>94.805000000000007</v>
      </c>
      <c r="K70" s="113">
        <v>6.9999999999999999E-4</v>
      </c>
      <c r="L70" s="113">
        <v>6.165</v>
      </c>
      <c r="M70" s="113">
        <f t="shared" si="2"/>
        <v>101.19070000000001</v>
      </c>
      <c r="N70" s="113">
        <f>((L70/100)/Constants!$D$25/((10^-P70)^2))*(((10^-P70)^2)+(10^-P70)*Constants!$D$22+Constants!$D$22*Constants!$D$23)*1000</f>
        <v>2.8038676381140371</v>
      </c>
      <c r="O70" s="113">
        <f>N70*(HRT!D70/1000)</f>
        <v>0.18583881904138769</v>
      </c>
      <c r="P70" s="113">
        <v>5.88</v>
      </c>
      <c r="Q70" s="113">
        <f t="shared" si="7"/>
        <v>0</v>
      </c>
      <c r="R70">
        <f t="shared" si="3"/>
        <v>1.6522872132948956</v>
      </c>
      <c r="S70">
        <f t="shared" si="4"/>
        <v>562.44749868781651</v>
      </c>
      <c r="T70">
        <f t="shared" si="9"/>
        <v>3.8702223014114674E-3</v>
      </c>
      <c r="U70">
        <f t="shared" si="5"/>
        <v>36.8861956265293</v>
      </c>
      <c r="V70" s="113">
        <f t="shared" si="6"/>
        <v>4.1007175316229834</v>
      </c>
      <c r="W70">
        <f t="shared" si="8"/>
        <v>595.41881560176421</v>
      </c>
    </row>
    <row r="71" spans="1:23">
      <c r="A71" s="232">
        <f>HRT!A71</f>
        <v>147.87291666666715</v>
      </c>
      <c r="B71">
        <v>0.79200000000000004</v>
      </c>
      <c r="C71" s="113">
        <f t="shared" ref="C71:C93" si="10">B71*1440/$Z$2</f>
        <v>46.616799509503373</v>
      </c>
      <c r="D71">
        <v>9</v>
      </c>
      <c r="E71" s="113">
        <f t="shared" ref="E71:E93" si="11">D71*1440/$Z$2</f>
        <v>529.73635806253833</v>
      </c>
      <c r="F71">
        <f>'lab journal'!G72-'lab journal'!G71</f>
        <v>30644</v>
      </c>
      <c r="G71" s="116">
        <f>F71/('lab journal'!H72-'lab journal'!H71)*60*24</f>
        <v>14943.230612935999</v>
      </c>
      <c r="H71" s="113">
        <v>0</v>
      </c>
      <c r="I71" s="113">
        <v>0.21</v>
      </c>
      <c r="J71" s="113">
        <v>94.455000000000013</v>
      </c>
      <c r="K71" s="113">
        <v>5.5000000000000003E-4</v>
      </c>
      <c r="L71" s="113">
        <v>6.165</v>
      </c>
      <c r="M71" s="113">
        <f t="shared" si="2"/>
        <v>100.83055000000002</v>
      </c>
      <c r="N71" s="113">
        <f>((L71/100)/Constants!$D$25/((10^-P71)^2))*(((10^-P71)^2)+(10^-P71)*Constants!$D$22+Constants!$D$22*Constants!$D$23)*1000</f>
        <v>2.6848131165894547</v>
      </c>
      <c r="O71" s="113">
        <f>N71*(HRT!D71/1000)</f>
        <v>0.1759683430438832</v>
      </c>
      <c r="P71" s="113">
        <v>5.8</v>
      </c>
      <c r="Q71" s="113">
        <f t="shared" si="7"/>
        <v>0</v>
      </c>
      <c r="R71">
        <f t="shared" si="3"/>
        <v>1.2705823703951751</v>
      </c>
      <c r="S71">
        <f t="shared" si="4"/>
        <v>559.23353353718801</v>
      </c>
      <c r="T71">
        <f t="shared" si="9"/>
        <v>3.6935534023115552E-3</v>
      </c>
      <c r="U71">
        <f t="shared" si="5"/>
        <v>36.433210760401181</v>
      </c>
      <c r="V71" s="113">
        <f t="shared" si="6"/>
        <v>4.87416827078426</v>
      </c>
      <c r="W71">
        <f t="shared" si="8"/>
        <v>590.96854436984881</v>
      </c>
    </row>
    <row r="72" spans="1:23">
      <c r="A72" s="232">
        <f>HRT!A72</f>
        <v>150.87013888889487</v>
      </c>
      <c r="B72">
        <v>0.85499999999999998</v>
      </c>
      <c r="C72" s="113">
        <f t="shared" si="10"/>
        <v>50.324954015941145</v>
      </c>
      <c r="D72">
        <v>9</v>
      </c>
      <c r="E72" s="113">
        <f t="shared" si="11"/>
        <v>529.73635806253833</v>
      </c>
      <c r="F72">
        <f>'lab journal'!G73-'lab journal'!G72</f>
        <v>45175</v>
      </c>
      <c r="G72" s="116">
        <f>F72/('lab journal'!H73-'lab journal'!H72)*60*24</f>
        <v>15082.773011824716</v>
      </c>
      <c r="H72" s="113">
        <v>0</v>
      </c>
      <c r="I72" s="113">
        <v>0.22499999999999998</v>
      </c>
      <c r="J72" s="113">
        <v>94.330000000000013</v>
      </c>
      <c r="K72" s="113">
        <v>1E-3</v>
      </c>
      <c r="L72" s="113">
        <v>6.1349999999999998</v>
      </c>
      <c r="M72" s="113">
        <f t="shared" si="2"/>
        <v>100.69100000000002</v>
      </c>
      <c r="N72" s="113">
        <f>((L72/100)/Constants!$D$25/((10^-P72)^2))*(((10^-P72)^2)+(10^-P72)*Constants!$D$22+Constants!$D$22*Constants!$D$23)*1000</f>
        <v>3.0807463711086114</v>
      </c>
      <c r="O72" s="113">
        <f>N72*(HRT!D72/1000)</f>
        <v>0.20456921390925398</v>
      </c>
      <c r="P72" s="113">
        <v>6.03</v>
      </c>
      <c r="Q72" s="113">
        <f t="shared" si="7"/>
        <v>0</v>
      </c>
      <c r="R72">
        <f t="shared" si="3"/>
        <v>1.2973594598085403</v>
      </c>
      <c r="S72">
        <f t="shared" si="4"/>
        <v>563.03909337920777</v>
      </c>
      <c r="T72">
        <f t="shared" si="9"/>
        <v>4.6227750866741106E-3</v>
      </c>
      <c r="U72">
        <f t="shared" si="5"/>
        <v>36.683957139413906</v>
      </c>
      <c r="V72" s="113">
        <f t="shared" si="6"/>
        <v>3.4405117745811538</v>
      </c>
      <c r="W72">
        <f t="shared" si="8"/>
        <v>596.48710795794977</v>
      </c>
    </row>
    <row r="73" spans="1:23">
      <c r="A73" s="232">
        <f>HRT!A73</f>
        <v>152.88333333333867</v>
      </c>
      <c r="B73">
        <v>0.78500000000000003</v>
      </c>
      <c r="C73" s="113">
        <f t="shared" si="10"/>
        <v>46.204782342121405</v>
      </c>
      <c r="D73">
        <v>9</v>
      </c>
      <c r="E73" s="113">
        <f t="shared" si="11"/>
        <v>529.73635806253833</v>
      </c>
      <c r="F73">
        <f>'lab journal'!G74-'lab journal'!G73</f>
        <v>30626</v>
      </c>
      <c r="G73" s="116">
        <f>F73/('lab journal'!H74-'lab journal'!H73)*60*24</f>
        <v>15223.141180531587</v>
      </c>
      <c r="H73" s="113">
        <v>0</v>
      </c>
      <c r="I73" s="113">
        <v>0.22499999999999998</v>
      </c>
      <c r="J73" s="113">
        <v>94.259999999999991</v>
      </c>
      <c r="K73" s="113">
        <v>6.4999999999999997E-4</v>
      </c>
      <c r="L73" s="113">
        <v>5.9399999999999995</v>
      </c>
      <c r="M73" s="113">
        <f t="shared" si="2"/>
        <v>100.42564999999998</v>
      </c>
      <c r="N73" s="113">
        <f>((L73/100)/Constants!$D$25/((10^-P73)^2))*(((10^-P73)^2)+(10^-P73)*Constants!$D$22+Constants!$D$22*Constants!$D$23)*1000</f>
        <v>2.5739179533467067</v>
      </c>
      <c r="O73" s="113">
        <f>N73*(HRT!D73/1000)</f>
        <v>0.15460065573273124</v>
      </c>
      <c r="P73" s="113">
        <v>5.79</v>
      </c>
      <c r="Q73" s="113">
        <f t="shared" si="7"/>
        <v>0</v>
      </c>
      <c r="R73">
        <f t="shared" si="3"/>
        <v>1.3545862396660628</v>
      </c>
      <c r="S73">
        <f t="shared" si="4"/>
        <v>567.69204208582858</v>
      </c>
      <c r="T73">
        <f t="shared" si="9"/>
        <v>4.9668162121088979E-3</v>
      </c>
      <c r="U73">
        <f t="shared" si="5"/>
        <v>36.348064097706022</v>
      </c>
      <c r="V73" s="113">
        <f t="shared" si="6"/>
        <v>2.1563780987947325</v>
      </c>
      <c r="W73">
        <f t="shared" si="8"/>
        <v>602.03832874047259</v>
      </c>
    </row>
    <row r="74" spans="1:23">
      <c r="A74" s="232">
        <f>HRT!A74</f>
        <v>155.00763888889196</v>
      </c>
      <c r="B74">
        <v>0.83499999999999996</v>
      </c>
      <c r="C74" s="113">
        <f t="shared" si="10"/>
        <v>49.147762109135492</v>
      </c>
      <c r="D74">
        <v>9</v>
      </c>
      <c r="E74" s="113">
        <f t="shared" si="11"/>
        <v>529.73635806253833</v>
      </c>
      <c r="F74">
        <f>'lab journal'!G75-'lab journal'!G74</f>
        <v>31997</v>
      </c>
      <c r="G74" s="116">
        <f>F74/('lab journal'!H75-'lab journal'!H74)*60*24</f>
        <v>15072.188420019625</v>
      </c>
      <c r="H74" s="113">
        <v>0</v>
      </c>
      <c r="I74" s="113">
        <v>0.185</v>
      </c>
      <c r="J74" s="113">
        <v>94.57</v>
      </c>
      <c r="K74" s="113">
        <v>6.4999999999999997E-4</v>
      </c>
      <c r="L74" s="113">
        <v>6.1449999999999996</v>
      </c>
      <c r="M74" s="113">
        <f t="shared" si="2"/>
        <v>100.90064999999998</v>
      </c>
      <c r="N74" s="113">
        <f>((L74/100)/Constants!$D$25/((10^-P74)^2))*(((10^-P74)^2)+(10^-P74)*Constants!$D$22+Constants!$D$22*Constants!$D$23)*1000</f>
        <v>3.0192632605312819</v>
      </c>
      <c r="O74" s="113">
        <f>N74*(HRT!D74/1000)</f>
        <v>0.19792336287251822</v>
      </c>
      <c r="P74" s="113">
        <v>6</v>
      </c>
      <c r="Q74" s="113">
        <f t="shared" si="7"/>
        <v>0</v>
      </c>
      <c r="R74">
        <f t="shared" si="3"/>
        <v>1.2219404516744532</v>
      </c>
      <c r="S74">
        <f t="shared" si="4"/>
        <v>562.77808656021227</v>
      </c>
      <c r="T74">
        <f t="shared" si="9"/>
        <v>3.8744453345775352E-3</v>
      </c>
      <c r="U74">
        <f t="shared" si="5"/>
        <v>36.017439898745778</v>
      </c>
      <c r="V74" s="113">
        <f t="shared" si="6"/>
        <v>2.9249368099020359</v>
      </c>
      <c r="W74">
        <f t="shared" si="8"/>
        <v>596.06851301192853</v>
      </c>
    </row>
    <row r="75" spans="1:23">
      <c r="A75" s="232">
        <f>HRT!A75</f>
        <v>157.87638888889342</v>
      </c>
      <c r="B75">
        <v>0.81200000000000006</v>
      </c>
      <c r="C75" s="113">
        <f t="shared" si="10"/>
        <v>47.793991416309012</v>
      </c>
      <c r="D75">
        <v>9</v>
      </c>
      <c r="E75" s="113">
        <f t="shared" si="11"/>
        <v>529.73635806253833</v>
      </c>
      <c r="F75">
        <f>'lab journal'!G76-'lab journal'!G75</f>
        <v>43413</v>
      </c>
      <c r="G75" s="116">
        <f>F75/('lab journal'!H76-'lab journal'!H75)*60*24</f>
        <v>15144.069767441859</v>
      </c>
      <c r="H75" s="113">
        <v>0</v>
      </c>
      <c r="I75" s="113">
        <v>0.17499999999999999</v>
      </c>
      <c r="J75" s="113">
        <v>94.44</v>
      </c>
      <c r="K75" s="113">
        <v>6.4999999999999997E-4</v>
      </c>
      <c r="L75" s="113">
        <v>6.07</v>
      </c>
      <c r="M75" s="113">
        <f t="shared" ref="M75:M93" si="12">SUM(H75:L75)</f>
        <v>100.68564999999998</v>
      </c>
      <c r="N75" s="113">
        <f>((L75/100)/Constants!$D$25/((10^-P75)^2))*(((10^-P75)^2)+(10^-P75)*Constants!$D$22+Constants!$D$22*Constants!$D$23)*1000</f>
        <v>2.8825240054969146</v>
      </c>
      <c r="O75" s="113">
        <f>N75*(HRT!D75/1000)</f>
        <v>0.17990683709778565</v>
      </c>
      <c r="P75" s="113">
        <v>5.95</v>
      </c>
      <c r="Q75" s="113">
        <f t="shared" si="7"/>
        <v>0</v>
      </c>
      <c r="R75">
        <f t="shared" si="3"/>
        <v>1.0780402428772975</v>
      </c>
      <c r="S75">
        <f t="shared" si="4"/>
        <v>566.00107307288329</v>
      </c>
      <c r="T75">
        <f t="shared" si="9"/>
        <v>3.8929230992791296E-3</v>
      </c>
      <c r="U75">
        <f t="shared" si="5"/>
        <v>36.578504352072748</v>
      </c>
      <c r="V75" s="113">
        <f t="shared" si="6"/>
        <v>3.848238219110776</v>
      </c>
      <c r="W75">
        <f t="shared" si="8"/>
        <v>598.91124604294305</v>
      </c>
    </row>
    <row r="76" spans="1:23">
      <c r="A76" s="232">
        <f>HRT!A76</f>
        <v>159.9152777777781</v>
      </c>
      <c r="B76">
        <v>0.84699999999999998</v>
      </c>
      <c r="C76" s="113">
        <f t="shared" si="10"/>
        <v>49.85407725321889</v>
      </c>
      <c r="D76">
        <v>9</v>
      </c>
      <c r="E76" s="113">
        <f t="shared" si="11"/>
        <v>529.73635806253833</v>
      </c>
      <c r="F76">
        <f>'lab journal'!G77-'lab journal'!G76</f>
        <v>30924</v>
      </c>
      <c r="G76" s="116">
        <f>F76/('lab journal'!H77-'lab journal'!H76)*60*24</f>
        <v>15177.423312883435</v>
      </c>
      <c r="H76" s="113">
        <v>0</v>
      </c>
      <c r="I76" s="113">
        <v>0.31</v>
      </c>
      <c r="J76" s="113">
        <v>93.93</v>
      </c>
      <c r="K76" s="113">
        <v>8.4999999999999995E-4</v>
      </c>
      <c r="L76" s="113">
        <v>6.0549999999999997</v>
      </c>
      <c r="M76" s="113">
        <f t="shared" si="12"/>
        <v>100.29585</v>
      </c>
      <c r="N76" s="113">
        <f>((L76/100)/Constants!$D$25/((10^-P76)^2))*(((10^-P76)^2)+(10^-P76)*Constants!$D$22+Constants!$D$22*Constants!$D$23)*1000</f>
        <v>2.8754007995525241</v>
      </c>
      <c r="O76" s="113">
        <f>N76*(HRT!D76/1000)</f>
        <v>0.18661796321897164</v>
      </c>
      <c r="P76" s="113">
        <v>5.95</v>
      </c>
      <c r="Q76" s="113">
        <f t="shared" si="7"/>
        <v>0</v>
      </c>
      <c r="R76">
        <f t="shared" si="3"/>
        <v>1.4555584724251494</v>
      </c>
      <c r="S76">
        <f t="shared" si="4"/>
        <v>565.3269060839699</v>
      </c>
      <c r="T76">
        <f t="shared" si="9"/>
        <v>4.5017272343045858E-3</v>
      </c>
      <c r="U76">
        <f t="shared" si="5"/>
        <v>36.388961810628736</v>
      </c>
      <c r="V76" s="113">
        <f t="shared" si="6"/>
        <v>1.6721879505395094</v>
      </c>
      <c r="W76">
        <f t="shared" si="8"/>
        <v>600.2302979072781</v>
      </c>
    </row>
    <row r="77" spans="1:23">
      <c r="A77" s="232">
        <f>HRT!A77</f>
        <v>161.89444444444962</v>
      </c>
      <c r="B77">
        <v>0.85399999999999998</v>
      </c>
      <c r="C77" s="113">
        <f t="shared" si="10"/>
        <v>50.266094420600858</v>
      </c>
      <c r="D77">
        <v>9</v>
      </c>
      <c r="E77" s="113">
        <f t="shared" si="11"/>
        <v>529.73635806253833</v>
      </c>
      <c r="F77">
        <f>'lab journal'!G78-'lab journal'!G77</f>
        <v>29852</v>
      </c>
      <c r="G77" s="116">
        <f>F77/('lab journal'!H78-'lab journal'!H77)*60*24</f>
        <v>15093.707865168539</v>
      </c>
      <c r="H77" s="113">
        <v>0</v>
      </c>
      <c r="I77" s="113">
        <v>0.15000000000000002</v>
      </c>
      <c r="J77" s="113">
        <v>94.935000000000002</v>
      </c>
      <c r="K77" s="113">
        <v>7.5000000000000002E-4</v>
      </c>
      <c r="L77" s="113">
        <v>6.15</v>
      </c>
      <c r="M77" s="113">
        <f t="shared" si="12"/>
        <v>101.23575000000001</v>
      </c>
      <c r="N77" s="113">
        <f>((L77/100)/Constants!$D$25/((10^-P77)^2))*(((10^-P77)^2)+(10^-P77)*Constants!$D$22+Constants!$D$22*Constants!$D$23)*1000</f>
        <v>2.9205144372003344</v>
      </c>
      <c r="O77" s="113">
        <f>N77*(HRT!D77/1000)</f>
        <v>0.1830862792920864</v>
      </c>
      <c r="P77" s="113">
        <v>5.95</v>
      </c>
      <c r="Q77" s="113">
        <f t="shared" ref="Q77:Q93" si="13">(AVERAGE(H76:H77)/100*G77)/$Z$3</f>
        <v>0</v>
      </c>
      <c r="R77">
        <f t="shared" ref="R77:R93" si="14">(AVERAGE(I76:I77)/100*G77)/$Z$3</f>
        <v>1.372914976267011</v>
      </c>
      <c r="S77">
        <f t="shared" ref="S77:S93" si="15">(AVERAGE(J76:J77)/100*G77)/$Z$3</f>
        <v>563.6860586797153</v>
      </c>
      <c r="T77">
        <f t="shared" ref="T77:T93" si="16">(AVERAGE(K76:K77)/100*G77)/$Z$3</f>
        <v>4.7753564391896028E-3</v>
      </c>
      <c r="U77">
        <f t="shared" ref="U77:U93" si="17">(AVERAGE(L76:L77)/100*G77)/$Z$3</f>
        <v>36.42701583769319</v>
      </c>
      <c r="V77" s="113">
        <f t="shared" ref="V77:V93" si="18">U77-(W77-S77-O77)</f>
        <v>3.3766058980001503</v>
      </c>
      <c r="W77">
        <f t="shared" si="8"/>
        <v>596.91955489870043</v>
      </c>
    </row>
    <row r="78" spans="1:23">
      <c r="A78" s="232">
        <f>HRT!A78</f>
        <v>164.87708333333285</v>
      </c>
      <c r="B78">
        <v>0.84</v>
      </c>
      <c r="C78" s="113">
        <f t="shared" si="10"/>
        <v>49.442060085836907</v>
      </c>
      <c r="D78">
        <v>9</v>
      </c>
      <c r="E78" s="113">
        <f t="shared" si="11"/>
        <v>529.73635806253833</v>
      </c>
      <c r="F78">
        <f>'lab journal'!G79-'lab journal'!G78</f>
        <v>45444</v>
      </c>
      <c r="G78" s="116">
        <f>F78/('lab journal'!H79-'lab journal'!H78)*60*24</f>
        <v>15250.375203915171</v>
      </c>
      <c r="H78" s="113">
        <v>0</v>
      </c>
      <c r="I78" s="113">
        <v>0.2</v>
      </c>
      <c r="J78" s="113">
        <v>94.31</v>
      </c>
      <c r="K78" s="113">
        <v>5.4999999999999992E-4</v>
      </c>
      <c r="L78" s="113">
        <v>6.0649999999999995</v>
      </c>
      <c r="M78" s="113">
        <f t="shared" si="12"/>
        <v>100.57555000000001</v>
      </c>
      <c r="N78" s="113">
        <f>((L78/100)/Constants!$D$25/((10^-P78)^2))*(((10^-P78)^2)+(10^-P78)*Constants!$D$22+Constants!$D$22*Constants!$D$23)*1000</f>
        <v>2.8992023593742049</v>
      </c>
      <c r="O78" s="113">
        <f>N78*(HRT!D78/1000)</f>
        <v>0.18315962372329378</v>
      </c>
      <c r="P78" s="113">
        <v>5.96</v>
      </c>
      <c r="Q78" s="113">
        <f t="shared" si="13"/>
        <v>0</v>
      </c>
      <c r="R78">
        <f t="shared" si="14"/>
        <v>1.0554518945998399</v>
      </c>
      <c r="S78">
        <f t="shared" si="15"/>
        <v>570.6828394101334</v>
      </c>
      <c r="T78">
        <f t="shared" si="16"/>
        <v>3.9202498942279762E-3</v>
      </c>
      <c r="U78">
        <f t="shared" si="17"/>
        <v>36.835271121534404</v>
      </c>
      <c r="V78" s="113">
        <f t="shared" si="18"/>
        <v>4.5859018126254014</v>
      </c>
      <c r="W78">
        <f t="shared" ref="W78:W93" si="19">S78/AVERAGE(J77:J78)*100</f>
        <v>603.11536834276569</v>
      </c>
    </row>
    <row r="79" spans="1:23">
      <c r="A79" s="232">
        <f>HRT!A79</f>
        <v>166.88680555555766</v>
      </c>
      <c r="B79">
        <v>0.81200000000000006</v>
      </c>
      <c r="C79" s="113">
        <f t="shared" si="10"/>
        <v>47.793991416309012</v>
      </c>
      <c r="D79">
        <v>9</v>
      </c>
      <c r="E79" s="113">
        <f t="shared" si="11"/>
        <v>529.73635806253833</v>
      </c>
      <c r="F79">
        <f>'lab journal'!G80-'lab journal'!G79</f>
        <v>30657</v>
      </c>
      <c r="G79" s="116">
        <f>F79/('lab journal'!H80-'lab journal'!H79)*60*24</f>
        <v>15259.619771863116</v>
      </c>
      <c r="H79" s="113">
        <v>0</v>
      </c>
      <c r="I79" s="113">
        <v>0.215</v>
      </c>
      <c r="J79" s="113">
        <v>94.33</v>
      </c>
      <c r="K79" s="113">
        <v>7.5000000000000002E-4</v>
      </c>
      <c r="L79" s="113">
        <v>6.04</v>
      </c>
      <c r="M79" s="113">
        <f t="shared" si="12"/>
        <v>100.58575</v>
      </c>
      <c r="N79" s="113">
        <f>((L79/100)/Constants!$D$25/((10^-P79)^2))*(((10^-P79)^2)+(10^-P79)*Constants!$D$22+Constants!$D$22*Constants!$D$23)*1000</f>
        <v>2.9066680385765409</v>
      </c>
      <c r="O79" s="113">
        <f>N79*(HRT!D79/1000)</f>
        <v>0.17978594997977573</v>
      </c>
      <c r="P79" s="113">
        <v>5.97</v>
      </c>
      <c r="Q79" s="113">
        <f t="shared" si="13"/>
        <v>0</v>
      </c>
      <c r="R79">
        <f t="shared" si="14"/>
        <v>1.2522230098321585</v>
      </c>
      <c r="S79">
        <f t="shared" si="15"/>
        <v>569.20324957768287</v>
      </c>
      <c r="T79">
        <f t="shared" si="16"/>
        <v>3.9226262958597736E-3</v>
      </c>
      <c r="U79">
        <f t="shared" si="17"/>
        <v>36.525685624140436</v>
      </c>
      <c r="V79" s="113">
        <f t="shared" si="18"/>
        <v>2.4277525579916386</v>
      </c>
      <c r="W79">
        <f t="shared" si="19"/>
        <v>603.48096859381144</v>
      </c>
    </row>
    <row r="80" spans="1:23">
      <c r="A80" s="232">
        <f>HRT!A80</f>
        <v>168.87638888889342</v>
      </c>
      <c r="B80">
        <v>0.76500000000000001</v>
      </c>
      <c r="C80" s="113">
        <f t="shared" si="10"/>
        <v>45.027590435315751</v>
      </c>
      <c r="D80">
        <v>9</v>
      </c>
      <c r="E80" s="113">
        <f t="shared" si="11"/>
        <v>529.73635806253833</v>
      </c>
      <c r="F80">
        <f>'lab journal'!G81-'lab journal'!G80</f>
        <v>30231</v>
      </c>
      <c r="G80" s="116">
        <f>F80/('lab journal'!H81-'lab journal'!H80)*60*24</f>
        <v>15210.566037735847</v>
      </c>
      <c r="H80" s="113">
        <v>0</v>
      </c>
      <c r="I80" s="113">
        <v>0.22</v>
      </c>
      <c r="J80" s="113">
        <v>94.22</v>
      </c>
      <c r="K80" s="113">
        <v>6.9999999999999999E-4</v>
      </c>
      <c r="L80" s="113">
        <v>6.09</v>
      </c>
      <c r="M80" s="113">
        <f t="shared" si="12"/>
        <v>100.5307</v>
      </c>
      <c r="N80" s="113">
        <f>((L80/100)/Constants!$D$25/((10^-P80)^2))*(((10^-P80)^2)+(10^-P80)*Constants!$D$22+Constants!$D$22*Constants!$D$23)*1000</f>
        <v>2.819753592436721</v>
      </c>
      <c r="O80" s="113">
        <f>N80*(HRT!D80/1000)</f>
        <v>0.17929341174070038</v>
      </c>
      <c r="P80" s="113">
        <v>5.91</v>
      </c>
      <c r="Q80" s="113">
        <f t="shared" si="13"/>
        <v>0</v>
      </c>
      <c r="R80">
        <f t="shared" si="14"/>
        <v>1.3083517018142634</v>
      </c>
      <c r="S80">
        <f t="shared" si="15"/>
        <v>567.10278937259636</v>
      </c>
      <c r="T80">
        <f t="shared" si="16"/>
        <v>4.3611723393808775E-3</v>
      </c>
      <c r="U80">
        <f t="shared" si="17"/>
        <v>36.483462397717275</v>
      </c>
      <c r="V80" s="113">
        <f t="shared" si="18"/>
        <v>2.2245328536572657</v>
      </c>
      <c r="W80">
        <f t="shared" si="19"/>
        <v>601.54101232839707</v>
      </c>
    </row>
    <row r="81" spans="1:23">
      <c r="A81" s="232">
        <f>HRT!A81</f>
        <v>171.86458333333576</v>
      </c>
      <c r="B81">
        <v>0.78100000000000003</v>
      </c>
      <c r="C81" s="113">
        <f t="shared" si="10"/>
        <v>45.969343960760277</v>
      </c>
      <c r="D81">
        <v>9</v>
      </c>
      <c r="E81" s="113">
        <f t="shared" si="11"/>
        <v>529.73635806253833</v>
      </c>
      <c r="F81">
        <f>'lab journal'!G82-'lab journal'!G81</f>
        <v>45681</v>
      </c>
      <c r="G81" s="116">
        <f>F81/('lab journal'!H82-'lab journal'!H81)*60*24</f>
        <v>15294.266449662868</v>
      </c>
      <c r="H81" s="113">
        <v>0</v>
      </c>
      <c r="I81" s="113">
        <v>0.19500000000000001</v>
      </c>
      <c r="J81" s="113">
        <v>94.435000000000002</v>
      </c>
      <c r="K81" s="113">
        <v>8.9999999999999998E-4</v>
      </c>
      <c r="L81" s="113">
        <v>6.09</v>
      </c>
      <c r="M81" s="113">
        <f t="shared" si="12"/>
        <v>100.7209</v>
      </c>
      <c r="N81" s="113">
        <f>((L81/100)/Constants!$D$25/((10^-P81)^2))*(((10^-P81)^2)+(10^-P81)*Constants!$D$22+Constants!$D$22*Constants!$D$23)*1000</f>
        <v>2.8027029677122286</v>
      </c>
      <c r="O81" s="113">
        <f>N81*(HRT!D81/1000)</f>
        <v>0.17579381870197724</v>
      </c>
      <c r="P81" s="113">
        <v>5.9</v>
      </c>
      <c r="Q81" s="113">
        <f t="shared" si="13"/>
        <v>0</v>
      </c>
      <c r="R81">
        <f t="shared" si="14"/>
        <v>1.2550661584691312</v>
      </c>
      <c r="S81">
        <f t="shared" si="15"/>
        <v>570.54097861685284</v>
      </c>
      <c r="T81">
        <f t="shared" si="16"/>
        <v>4.8388092856641194E-3</v>
      </c>
      <c r="U81">
        <f t="shared" si="17"/>
        <v>36.835435687118107</v>
      </c>
      <c r="V81" s="113">
        <f t="shared" si="18"/>
        <v>2.7010474146579639</v>
      </c>
      <c r="W81">
        <f t="shared" si="19"/>
        <v>604.85116070801496</v>
      </c>
    </row>
    <row r="82" spans="1:23">
      <c r="A82" s="232">
        <f>HRT!A82</f>
        <v>173.86805555555475</v>
      </c>
      <c r="B82">
        <v>0.84699999999999998</v>
      </c>
      <c r="C82" s="113">
        <f t="shared" si="10"/>
        <v>49.85407725321889</v>
      </c>
      <c r="D82">
        <v>9</v>
      </c>
      <c r="E82" s="113">
        <f t="shared" si="11"/>
        <v>529.73635806253833</v>
      </c>
      <c r="F82">
        <f>'lab journal'!G83-'lab journal'!G82</f>
        <v>30560</v>
      </c>
      <c r="G82" s="116">
        <f>F82/('lab journal'!H83-'lab journal'!H82)*60*24</f>
        <v>15264.099895941727</v>
      </c>
      <c r="H82" s="113">
        <v>0</v>
      </c>
      <c r="I82" s="113">
        <v>0.16</v>
      </c>
      <c r="J82" s="113">
        <v>94.67</v>
      </c>
      <c r="K82" s="113">
        <v>1.4E-3</v>
      </c>
      <c r="L82" s="113">
        <v>6.1050000000000004</v>
      </c>
      <c r="M82" s="113">
        <f t="shared" si="12"/>
        <v>100.93640000000001</v>
      </c>
      <c r="N82" s="113">
        <f>((L82/100)/Constants!$D$25/((10^-P82)^2))*(((10^-P82)^2)+(10^-P82)*Constants!$D$22+Constants!$D$22*Constants!$D$23)*1000</f>
        <v>2.8441895886700768</v>
      </c>
      <c r="O82" s="113">
        <f>N82*(HRT!D82/1000)</f>
        <v>0.18134839331881841</v>
      </c>
      <c r="P82" s="113">
        <v>5.92</v>
      </c>
      <c r="Q82" s="113">
        <f t="shared" si="13"/>
        <v>0</v>
      </c>
      <c r="R82">
        <f t="shared" si="14"/>
        <v>1.0714932102861885</v>
      </c>
      <c r="S82">
        <f t="shared" si="15"/>
        <v>570.77386910188648</v>
      </c>
      <c r="T82">
        <f t="shared" si="16"/>
        <v>6.9420686863612214E-3</v>
      </c>
      <c r="U82">
        <f t="shared" si="17"/>
        <v>36.808055491380479</v>
      </c>
      <c r="V82" s="113">
        <f t="shared" si="18"/>
        <v>4.1051263464795511</v>
      </c>
      <c r="W82">
        <f t="shared" si="19"/>
        <v>603.65814664010622</v>
      </c>
    </row>
    <row r="83" spans="1:23">
      <c r="A83" s="232">
        <f>HRT!A83</f>
        <v>175.80694444444816</v>
      </c>
      <c r="B83">
        <v>0.81200000000000006</v>
      </c>
      <c r="C83" s="113">
        <f t="shared" si="10"/>
        <v>47.793991416309012</v>
      </c>
      <c r="D83">
        <v>9</v>
      </c>
      <c r="E83" s="113">
        <f t="shared" si="11"/>
        <v>529.73635806253833</v>
      </c>
      <c r="F83">
        <f>'lab journal'!G84-'lab journal'!G83</f>
        <v>29499</v>
      </c>
      <c r="G83" s="116">
        <f>F83/('lab journal'!H84-'lab journal'!H83)*60*24</f>
        <v>15230.74937253496</v>
      </c>
      <c r="H83" s="113">
        <v>0</v>
      </c>
      <c r="I83" s="113">
        <v>0.245</v>
      </c>
      <c r="J83" s="113">
        <v>94.185000000000002</v>
      </c>
      <c r="K83" s="113">
        <v>5.0000000000000001E-4</v>
      </c>
      <c r="L83" s="113">
        <v>6.0749999999999993</v>
      </c>
      <c r="M83" s="113">
        <f t="shared" si="12"/>
        <v>100.50550000000001</v>
      </c>
      <c r="N83" s="113">
        <f>((L83/100)/Constants!$D$25/((10^-P83)^2))*(((10^-P83)^2)+(10^-P83)*Constants!$D$22+Constants!$D$22*Constants!$D$23)*1000</f>
        <v>2.8128083865440194</v>
      </c>
      <c r="O83" s="113">
        <f>N83*(HRT!D83/1000)</f>
        <v>0.17210192908587221</v>
      </c>
      <c r="P83" s="113">
        <v>5.91</v>
      </c>
      <c r="Q83" s="113">
        <f t="shared" si="13"/>
        <v>0</v>
      </c>
      <c r="R83">
        <f t="shared" si="14"/>
        <v>1.2197369089370915</v>
      </c>
      <c r="S83">
        <f t="shared" si="15"/>
        <v>568.77386157361582</v>
      </c>
      <c r="T83">
        <f t="shared" si="16"/>
        <v>5.722222535754256E-3</v>
      </c>
      <c r="U83">
        <f t="shared" si="17"/>
        <v>36.682458150256224</v>
      </c>
      <c r="V83" s="113">
        <f t="shared" si="18"/>
        <v>3.2892073630362688</v>
      </c>
      <c r="W83">
        <f t="shared" si="19"/>
        <v>602.33921428992164</v>
      </c>
    </row>
    <row r="84" spans="1:23">
      <c r="A84" s="232">
        <f>HRT!A84</f>
        <v>179.02430555555475</v>
      </c>
      <c r="B84">
        <v>0.876</v>
      </c>
      <c r="C84" s="113">
        <f t="shared" si="10"/>
        <v>51.561005518087065</v>
      </c>
      <c r="D84">
        <v>9</v>
      </c>
      <c r="E84" s="113">
        <f t="shared" si="11"/>
        <v>529.73635806253833</v>
      </c>
      <c r="F84">
        <f>'lab journal'!G85-'lab journal'!G84</f>
        <v>49218</v>
      </c>
      <c r="G84" s="116">
        <f>F84/('lab journal'!H85-'lab journal'!H84)*60*24</f>
        <v>15307.542116630671</v>
      </c>
      <c r="H84" s="113">
        <v>0</v>
      </c>
      <c r="I84" s="113">
        <v>0.22999999999999998</v>
      </c>
      <c r="J84" s="113">
        <v>94.525000000000006</v>
      </c>
      <c r="K84" s="113">
        <v>1.8E-3</v>
      </c>
      <c r="L84" s="113">
        <v>6.1199999999999992</v>
      </c>
      <c r="M84" s="113">
        <f t="shared" si="12"/>
        <v>100.87680000000002</v>
      </c>
      <c r="N84" s="113">
        <f>((L84/100)/Constants!$D$25/((10^-P84)^2))*(((10^-P84)^2)+(10^-P84)*Constants!$D$22+Constants!$D$22*Constants!$D$23)*1000</f>
        <v>2.8165093862723873</v>
      </c>
      <c r="O84" s="113">
        <f>N84*(HRT!D84/1000)</f>
        <v>0.17740141300984005</v>
      </c>
      <c r="P84" s="113">
        <v>5.9</v>
      </c>
      <c r="Q84" s="113">
        <f t="shared" si="13"/>
        <v>0</v>
      </c>
      <c r="R84">
        <f t="shared" si="14"/>
        <v>1.4377684302379912</v>
      </c>
      <c r="S84">
        <f t="shared" si="15"/>
        <v>571.20269572676068</v>
      </c>
      <c r="T84">
        <f t="shared" si="16"/>
        <v>6.9618260832576412E-3</v>
      </c>
      <c r="U84">
        <f t="shared" si="17"/>
        <v>36.912812645794318</v>
      </c>
      <c r="V84" s="113">
        <f t="shared" si="18"/>
        <v>2.9167286327264392</v>
      </c>
      <c r="W84">
        <f t="shared" si="19"/>
        <v>605.3761811528384</v>
      </c>
    </row>
    <row r="85" spans="1:23">
      <c r="A85" s="232">
        <f>HRT!A85</f>
        <v>180.88125000000582</v>
      </c>
      <c r="B85">
        <v>0.83399999999999996</v>
      </c>
      <c r="C85" s="113">
        <f t="shared" si="10"/>
        <v>49.088902513795219</v>
      </c>
      <c r="D85">
        <v>9</v>
      </c>
      <c r="E85" s="113">
        <f t="shared" si="11"/>
        <v>529.73635806253833</v>
      </c>
      <c r="F85">
        <f>'lab journal'!G86-'lab journal'!G85</f>
        <v>28237</v>
      </c>
      <c r="G85" s="116">
        <f>F85/('lab journal'!H86-'lab journal'!H85)*60*24</f>
        <v>15217.54491017964</v>
      </c>
      <c r="H85" s="113">
        <v>0</v>
      </c>
      <c r="I85" s="113">
        <v>0.22500000000000001</v>
      </c>
      <c r="J85" s="113">
        <v>94.27000000000001</v>
      </c>
      <c r="K85" s="113">
        <v>7.9999999999999993E-4</v>
      </c>
      <c r="L85" s="113">
        <v>6.07</v>
      </c>
      <c r="M85" s="113">
        <f t="shared" si="12"/>
        <v>100.5658</v>
      </c>
      <c r="N85" s="113">
        <f>((L85/100)/Constants!$D$25/((10^-P85)^2))*(((10^-P85)^2)+(10^-P85)*Constants!$D$22+Constants!$D$22*Constants!$D$23)*1000</f>
        <v>2.7448010119994284</v>
      </c>
      <c r="O85" s="113">
        <f>N85*(HRT!D85/1000)</f>
        <v>0.17206473356853186</v>
      </c>
      <c r="P85" s="113">
        <v>5.87</v>
      </c>
      <c r="Q85" s="113">
        <f t="shared" si="13"/>
        <v>0</v>
      </c>
      <c r="R85">
        <f t="shared" si="14"/>
        <v>1.3691336973289046</v>
      </c>
      <c r="S85">
        <f t="shared" si="15"/>
        <v>568.10021184002323</v>
      </c>
      <c r="T85">
        <f t="shared" si="16"/>
        <v>7.8236211275937387E-3</v>
      </c>
      <c r="U85">
        <f t="shared" si="17"/>
        <v>36.68074674821834</v>
      </c>
      <c r="V85" s="113">
        <f t="shared" si="18"/>
        <v>3.1360135069069628</v>
      </c>
      <c r="W85">
        <f t="shared" si="19"/>
        <v>601.81700981490314</v>
      </c>
    </row>
    <row r="86" spans="1:23">
      <c r="A86" s="232">
        <f>HRT!A86</f>
        <v>183.0048611111124</v>
      </c>
      <c r="B86">
        <v>0.80300000000000005</v>
      </c>
      <c r="C86" s="113">
        <f t="shared" si="10"/>
        <v>47.264255058246484</v>
      </c>
      <c r="D86">
        <v>9</v>
      </c>
      <c r="E86" s="113">
        <f t="shared" si="11"/>
        <v>529.73635806253833</v>
      </c>
      <c r="F86">
        <f>'lab journal'!G87-'lab journal'!G86</f>
        <v>32230</v>
      </c>
      <c r="G86" s="116">
        <f>F86/('lab journal'!H87-'lab journal'!H86)*60*24</f>
        <v>15186.910994764399</v>
      </c>
      <c r="H86" s="113">
        <v>0</v>
      </c>
      <c r="I86" s="113">
        <v>0.245</v>
      </c>
      <c r="J86" s="113">
        <v>94.295000000000002</v>
      </c>
      <c r="K86" s="113">
        <v>1.5499999999999999E-3</v>
      </c>
      <c r="L86" s="113">
        <v>6.07</v>
      </c>
      <c r="M86" s="113">
        <f t="shared" si="12"/>
        <v>100.61154999999999</v>
      </c>
      <c r="N86" s="113">
        <f>((L86/100)/Constants!$D$25/((10^-P86)^2))*(((10^-P86)^2)+(10^-P86)*Constants!$D$22+Constants!$D$22*Constants!$D$23)*1000</f>
        <v>2.7768909329143239</v>
      </c>
      <c r="O86" s="113">
        <f>N86*(HRT!D86/1000)</f>
        <v>0.17379304901156473</v>
      </c>
      <c r="P86" s="113">
        <v>5.89</v>
      </c>
      <c r="Q86" s="113">
        <f t="shared" si="13"/>
        <v>0</v>
      </c>
      <c r="R86">
        <f t="shared" si="14"/>
        <v>1.4114229549037542</v>
      </c>
      <c r="S86">
        <f t="shared" si="15"/>
        <v>566.2658925349499</v>
      </c>
      <c r="T86">
        <f t="shared" si="16"/>
        <v>7.0571147745187709E-3</v>
      </c>
      <c r="U86">
        <f t="shared" si="17"/>
        <v>36.456754622407622</v>
      </c>
      <c r="V86" s="113">
        <f t="shared" si="18"/>
        <v>2.2909274813672269</v>
      </c>
      <c r="W86">
        <f t="shared" si="19"/>
        <v>600.60551272500186</v>
      </c>
    </row>
    <row r="87" spans="1:23">
      <c r="A87" s="232">
        <f>HRT!A87</f>
        <v>186.01666666667006</v>
      </c>
      <c r="B87">
        <v>0.80900000000000005</v>
      </c>
      <c r="C87" s="113">
        <f t="shared" si="10"/>
        <v>47.617412630288172</v>
      </c>
      <c r="D87">
        <v>9</v>
      </c>
      <c r="E87" s="113">
        <f t="shared" si="11"/>
        <v>529.73635806253833</v>
      </c>
      <c r="F87">
        <f>'lab journal'!G88-'lab journal'!G87</f>
        <v>45768</v>
      </c>
      <c r="G87" s="116">
        <f>F87/('lab journal'!H88-'lab journal'!H87)*60*24</f>
        <v>15210.228479113779</v>
      </c>
      <c r="H87" s="113">
        <v>0</v>
      </c>
      <c r="I87" s="113">
        <v>0.24</v>
      </c>
      <c r="J87" s="113">
        <v>94.334999999999994</v>
      </c>
      <c r="K87" s="113">
        <v>8.9999999999999998E-4</v>
      </c>
      <c r="L87" s="113">
        <v>6.09</v>
      </c>
      <c r="M87" s="113">
        <f t="shared" si="12"/>
        <v>100.66589999999999</v>
      </c>
      <c r="N87" s="113">
        <f>((L87/100)/Constants!$D$25/((10^-P87)^2))*(((10^-P87)^2)+(10^-P87)*Constants!$D$22+Constants!$D$22*Constants!$D$23)*1000</f>
        <v>2.7697573262148394</v>
      </c>
      <c r="O87" s="113">
        <f>N87*(HRT!D87/1000)</f>
        <v>0.17120787919350314</v>
      </c>
      <c r="P87" s="113">
        <v>5.88</v>
      </c>
      <c r="Q87" s="113">
        <f t="shared" si="13"/>
        <v>0</v>
      </c>
      <c r="R87">
        <f t="shared" si="14"/>
        <v>1.4587045820553235</v>
      </c>
      <c r="S87">
        <f t="shared" si="15"/>
        <v>567.33081507854774</v>
      </c>
      <c r="T87">
        <f t="shared" si="16"/>
        <v>7.3687138681145211E-3</v>
      </c>
      <c r="U87">
        <f t="shared" si="17"/>
        <v>36.572881892356151</v>
      </c>
      <c r="V87" s="113">
        <f t="shared" si="18"/>
        <v>2.5472421468712412</v>
      </c>
      <c r="W87">
        <f t="shared" si="19"/>
        <v>601.52766270322616</v>
      </c>
    </row>
    <row r="88" spans="1:23">
      <c r="A88" s="232">
        <f>HRT!A88</f>
        <v>187.90763888889342</v>
      </c>
      <c r="B88">
        <v>0.84099999999999997</v>
      </c>
      <c r="C88" s="113">
        <f t="shared" si="10"/>
        <v>49.500919681177187</v>
      </c>
      <c r="D88">
        <v>9</v>
      </c>
      <c r="E88" s="113">
        <f t="shared" si="11"/>
        <v>529.73635806253833</v>
      </c>
      <c r="F88">
        <f>'lab journal'!G89-'lab journal'!G88</f>
        <v>28926</v>
      </c>
      <c r="G88" s="116">
        <f>F88/('lab journal'!H89-'lab journal'!H88)*60*24</f>
        <v>15308.136714443219</v>
      </c>
      <c r="H88" s="113">
        <v>0</v>
      </c>
      <c r="I88" s="113">
        <v>0.23</v>
      </c>
      <c r="J88" s="113">
        <v>94.245000000000005</v>
      </c>
      <c r="K88" s="113">
        <v>8.5000000000000006E-4</v>
      </c>
      <c r="L88" s="113">
        <v>6.0749999999999993</v>
      </c>
      <c r="M88" s="113">
        <f t="shared" si="12"/>
        <v>100.55085000000001</v>
      </c>
      <c r="N88" s="113">
        <f>((L88/100)/Constants!$D$25/((10^-P88)^2))*(((10^-P88)^2)+(10^-P88)*Constants!$D$22+Constants!$D$22*Constants!$D$23)*1000</f>
        <v>2.779178322480151</v>
      </c>
      <c r="O88" s="113">
        <f>N88*(HRT!D88/1000)</f>
        <v>0.1745513185381615</v>
      </c>
      <c r="P88" s="113">
        <v>5.89</v>
      </c>
      <c r="Q88" s="113">
        <f t="shared" si="13"/>
        <v>0</v>
      </c>
      <c r="R88">
        <f t="shared" si="14"/>
        <v>1.4226892857289235</v>
      </c>
      <c r="S88">
        <f t="shared" si="15"/>
        <v>570.83137341012855</v>
      </c>
      <c r="T88">
        <f t="shared" si="16"/>
        <v>5.2972473404800354E-3</v>
      </c>
      <c r="U88">
        <f t="shared" si="17"/>
        <v>36.823436512536922</v>
      </c>
      <c r="V88" s="113">
        <f t="shared" si="18"/>
        <v>2.4296651863423975</v>
      </c>
      <c r="W88">
        <f t="shared" si="19"/>
        <v>605.39969605486124</v>
      </c>
    </row>
    <row r="89" spans="1:23">
      <c r="A89" s="232">
        <f>HRT!A89</f>
        <v>189.92916666666861</v>
      </c>
      <c r="B89">
        <v>0.82199999999999995</v>
      </c>
      <c r="C89" s="113">
        <f t="shared" si="10"/>
        <v>48.382587369711828</v>
      </c>
      <c r="D89">
        <v>9</v>
      </c>
      <c r="E89" s="113">
        <f t="shared" si="11"/>
        <v>529.73635806253833</v>
      </c>
      <c r="F89">
        <f>'lab journal'!G90-'lab journal'!G89</f>
        <v>30856</v>
      </c>
      <c r="G89" s="116">
        <f>F89/('lab journal'!H90-'lab journal'!H89)*60*24</f>
        <v>15274.197318666207</v>
      </c>
      <c r="H89" s="113">
        <v>0</v>
      </c>
      <c r="I89" s="113">
        <v>0.375</v>
      </c>
      <c r="J89" s="113">
        <v>94.06</v>
      </c>
      <c r="K89" s="113">
        <v>8.5000000000000006E-4</v>
      </c>
      <c r="L89" s="113">
        <v>6.0299999999999994</v>
      </c>
      <c r="M89" s="113">
        <f t="shared" si="12"/>
        <v>100.46585</v>
      </c>
      <c r="N89" s="113">
        <f>((L89/100)/Constants!$D$25/((10^-P89)^2))*(((10^-P89)^2)+(10^-P89)*Constants!$D$22+Constants!$D$22*Constants!$D$23)*1000</f>
        <v>2.7750901305919116</v>
      </c>
      <c r="O89" s="113">
        <f>N89*(HRT!D89/1000)</f>
        <v>0.17281057603519326</v>
      </c>
      <c r="P89" s="113">
        <v>5.9</v>
      </c>
      <c r="Q89" s="113">
        <f t="shared" si="13"/>
        <v>0</v>
      </c>
      <c r="R89">
        <f t="shared" si="14"/>
        <v>1.8272738625708007</v>
      </c>
      <c r="S89">
        <f t="shared" si="15"/>
        <v>568.73521436594172</v>
      </c>
      <c r="T89">
        <f t="shared" si="16"/>
        <v>5.1344885394551433E-3</v>
      </c>
      <c r="U89">
        <f t="shared" si="17"/>
        <v>36.560578688296765</v>
      </c>
      <c r="V89" s="113">
        <f t="shared" si="18"/>
        <v>1.4111284002567146</v>
      </c>
      <c r="W89">
        <f t="shared" si="19"/>
        <v>604.05747523001696</v>
      </c>
    </row>
    <row r="90" spans="1:23">
      <c r="A90" s="232">
        <f>HRT!A90</f>
        <v>192.90347222222772</v>
      </c>
      <c r="B90">
        <v>0.84899999999999998</v>
      </c>
      <c r="C90" s="113">
        <f t="shared" si="10"/>
        <v>49.971796443899443</v>
      </c>
      <c r="D90">
        <v>9</v>
      </c>
      <c r="E90" s="113">
        <f t="shared" si="11"/>
        <v>529.73635806253833</v>
      </c>
      <c r="F90">
        <f>'lab journal'!G91-'lab journal'!G90</f>
        <v>45491</v>
      </c>
      <c r="G90" s="116">
        <f>F90/('lab journal'!H91-'lab journal'!H90)*60*24</f>
        <v>15305.383177570093</v>
      </c>
      <c r="H90" s="113">
        <v>0</v>
      </c>
      <c r="I90" s="113">
        <v>0.23499999999999999</v>
      </c>
      <c r="J90" s="113">
        <v>93.990000000000009</v>
      </c>
      <c r="K90" s="113">
        <v>7.0499999999999998E-3</v>
      </c>
      <c r="L90" s="113">
        <v>6.0600000000000005</v>
      </c>
      <c r="M90" s="113">
        <f t="shared" si="12"/>
        <v>100.29205000000002</v>
      </c>
      <c r="N90" s="113">
        <f>((L90/100)/Constants!$D$25/((10^-P90)^2))*(((10^-P90)^2)+(10^-P90)*Constants!$D$22+Constants!$D$22*Constants!$D$23)*1000</f>
        <v>2.7723161537826702</v>
      </c>
      <c r="O90" s="113">
        <f>N90*(HRT!D90/1000)</f>
        <v>0.17341816980583447</v>
      </c>
      <c r="P90" s="113">
        <v>5.89</v>
      </c>
      <c r="Q90" s="113">
        <f t="shared" si="13"/>
        <v>0</v>
      </c>
      <c r="R90">
        <f t="shared" si="14"/>
        <v>1.8461369410578494</v>
      </c>
      <c r="S90">
        <f t="shared" si="15"/>
        <v>569.12467502611241</v>
      </c>
      <c r="T90">
        <f t="shared" si="16"/>
        <v>2.3908986613700021E-2</v>
      </c>
      <c r="U90">
        <f t="shared" si="17"/>
        <v>36.589828880966223</v>
      </c>
      <c r="V90" s="113">
        <f t="shared" si="18"/>
        <v>0.59712173004867708</v>
      </c>
      <c r="W90">
        <f t="shared" si="19"/>
        <v>605.29080034683579</v>
      </c>
    </row>
    <row r="91" spans="1:23">
      <c r="A91" s="232">
        <f>HRT!A91</f>
        <v>194.88958333333721</v>
      </c>
      <c r="B91">
        <v>0.85599999999999998</v>
      </c>
      <c r="C91" s="113">
        <f t="shared" si="10"/>
        <v>50.383813611281418</v>
      </c>
      <c r="D91">
        <v>9</v>
      </c>
      <c r="E91" s="113">
        <f t="shared" si="11"/>
        <v>529.73635806253833</v>
      </c>
      <c r="F91">
        <f>'lab journal'!G92-'lab journal'!G91</f>
        <v>30499</v>
      </c>
      <c r="G91" s="116">
        <f>F91/('lab journal'!H92-'lab journal'!H91)*60*24</f>
        <v>15366.885934219732</v>
      </c>
      <c r="H91" s="113">
        <v>0</v>
      </c>
      <c r="I91" s="113">
        <v>0.25</v>
      </c>
      <c r="J91" s="113">
        <v>93.925000000000011</v>
      </c>
      <c r="K91" s="113">
        <v>2.2000000000000001E-3</v>
      </c>
      <c r="L91" s="113">
        <v>5.9949999999999992</v>
      </c>
      <c r="M91" s="113">
        <f t="shared" si="12"/>
        <v>100.17220000000002</v>
      </c>
      <c r="N91" s="113">
        <f>((L91/100)/Constants!$D$25/((10^-P91)^2))*(((10^-P91)^2)+(10^-P91)*Constants!$D$22+Constants!$D$22*Constants!$D$23)*1000</f>
        <v>2.710886666711132</v>
      </c>
      <c r="O91" s="113">
        <f>N91*(HRT!D91/1000)</f>
        <v>0.16474240201176094</v>
      </c>
      <c r="P91" s="113">
        <v>5.87</v>
      </c>
      <c r="Q91" s="113">
        <f t="shared" si="13"/>
        <v>0</v>
      </c>
      <c r="R91">
        <f t="shared" si="14"/>
        <v>1.473728481787663</v>
      </c>
      <c r="S91">
        <f t="shared" si="15"/>
        <v>571.00141784562618</v>
      </c>
      <c r="T91">
        <f t="shared" si="16"/>
        <v>2.8107192693888419E-2</v>
      </c>
      <c r="U91">
        <f t="shared" si="17"/>
        <v>36.63050896484593</v>
      </c>
      <c r="V91" s="113">
        <f t="shared" si="18"/>
        <v>7.3583939220874583E-2</v>
      </c>
      <c r="W91">
        <f t="shared" si="19"/>
        <v>607.723085273263</v>
      </c>
    </row>
    <row r="92" spans="1:23">
      <c r="A92" s="232">
        <f>HRT!A92</f>
        <v>196.91250000000582</v>
      </c>
      <c r="B92">
        <v>0.86199999999999999</v>
      </c>
      <c r="C92" s="113">
        <f t="shared" si="10"/>
        <v>50.736971183323114</v>
      </c>
      <c r="D92">
        <v>9</v>
      </c>
      <c r="E92" s="113">
        <f t="shared" si="11"/>
        <v>529.73635806253833</v>
      </c>
      <c r="F92">
        <f>'lab journal'!G93-'lab journal'!G92</f>
        <v>31076</v>
      </c>
      <c r="G92" s="116">
        <f>F92/('lab journal'!H93-'lab journal'!H92)*60*24</f>
        <v>15372.531776021986</v>
      </c>
      <c r="H92" s="113">
        <v>0</v>
      </c>
      <c r="I92" s="113">
        <v>0.245</v>
      </c>
      <c r="J92" s="113">
        <v>94.284999999999997</v>
      </c>
      <c r="K92" s="113">
        <v>1.75E-3</v>
      </c>
      <c r="L92" s="113">
        <v>6.0749999999999993</v>
      </c>
      <c r="M92" s="113">
        <f t="shared" si="12"/>
        <v>100.60675000000001</v>
      </c>
      <c r="N92" s="113">
        <f>((L92/100)/Constants!$D$25/((10^-P92)^2))*(((10^-P92)^2)+(10^-P92)*Constants!$D$22+Constants!$D$22*Constants!$D$23)*1000</f>
        <v>2.7629352638349998</v>
      </c>
      <c r="O92" s="113">
        <f>N92*(HRT!D92/1000)</f>
        <v>0.17561115305599856</v>
      </c>
      <c r="P92" s="113">
        <v>5.88</v>
      </c>
      <c r="Q92" s="113">
        <f t="shared" si="13"/>
        <v>0</v>
      </c>
      <c r="R92">
        <f t="shared" si="14"/>
        <v>1.5046672524580562</v>
      </c>
      <c r="S92">
        <f t="shared" si="15"/>
        <v>572.10792643460763</v>
      </c>
      <c r="T92">
        <f t="shared" si="16"/>
        <v>1.2006940701432977E-2</v>
      </c>
      <c r="U92">
        <f t="shared" si="17"/>
        <v>36.689563105391393</v>
      </c>
      <c r="V92" s="113">
        <f t="shared" si="18"/>
        <v>1.026736063537335</v>
      </c>
      <c r="W92">
        <f t="shared" si="19"/>
        <v>607.94636462951769</v>
      </c>
    </row>
    <row r="93" spans="1:23">
      <c r="A93" s="232">
        <f>HRT!A93</f>
        <v>199.89861111111531</v>
      </c>
      <c r="B93">
        <v>0.85599999999999998</v>
      </c>
      <c r="C93" s="113">
        <f t="shared" si="10"/>
        <v>50.383813611281418</v>
      </c>
      <c r="D93">
        <v>9</v>
      </c>
      <c r="E93" s="113">
        <f t="shared" si="11"/>
        <v>529.73635806253833</v>
      </c>
      <c r="F93">
        <f>'lab journal'!G94-'lab journal'!G93</f>
        <v>45835</v>
      </c>
      <c r="G93" s="116">
        <f>F93/('lab journal'!H94-'lab journal'!H93)*60*24</f>
        <v>15360.111705841284</v>
      </c>
      <c r="H93" s="113">
        <v>0</v>
      </c>
      <c r="I93" s="113">
        <v>0.255</v>
      </c>
      <c r="J93" s="113">
        <v>94.14</v>
      </c>
      <c r="K93" s="113">
        <v>1.8E-3</v>
      </c>
      <c r="L93" s="113">
        <v>6.0649999999999995</v>
      </c>
      <c r="M93" s="113">
        <f t="shared" si="12"/>
        <v>100.4618</v>
      </c>
      <c r="N93" s="113">
        <f>((L93/100)/Constants!$D$25/((10^-P93)^2))*(((10^-P93)^2)+(10^-P93)*Constants!$D$22+Constants!$D$22*Constants!$D$23)*1000</f>
        <v>2.7425400556468755</v>
      </c>
      <c r="O93" s="113">
        <f>N93*(HRT!D93/1000)</f>
        <v>0.17177896354405262</v>
      </c>
      <c r="P93" s="113">
        <v>5.87</v>
      </c>
      <c r="Q93" s="113">
        <f t="shared" si="13"/>
        <v>0</v>
      </c>
      <c r="R93">
        <f t="shared" si="14"/>
        <v>1.5186379524085745</v>
      </c>
      <c r="S93">
        <f t="shared" si="15"/>
        <v>572.29871236517124</v>
      </c>
      <c r="T93">
        <f t="shared" si="16"/>
        <v>1.0782329462100877E-2</v>
      </c>
      <c r="U93">
        <f t="shared" si="17"/>
        <v>36.872529484480182</v>
      </c>
      <c r="V93" s="113">
        <f t="shared" si="18"/>
        <v>1.8878398497657614</v>
      </c>
      <c r="W93">
        <f t="shared" si="19"/>
        <v>607.45518096342971</v>
      </c>
    </row>
    <row r="94" spans="1:23">
      <c r="A94" s="113"/>
      <c r="G94" s="116"/>
    </row>
  </sheetData>
  <mergeCells count="4">
    <mergeCell ref="AA14:AB14"/>
    <mergeCell ref="AC14:AD14"/>
    <mergeCell ref="AE14:AF14"/>
    <mergeCell ref="AG14:AH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9C131-A3A0-451D-855F-ACF38ACB3390}">
  <dimension ref="A1:DD94"/>
  <sheetViews>
    <sheetView zoomScale="85" zoomScaleNormal="85" workbookViewId="0">
      <pane xSplit="1" ySplit="7" topLeftCell="AF8" activePane="bottomRight" state="frozen"/>
      <selection pane="topRight" activeCell="B1" sqref="B1"/>
      <selection pane="bottomLeft" activeCell="A8" sqref="A8"/>
      <selection pane="bottomRight" activeCell="AQ16" sqref="AQ16"/>
    </sheetView>
  </sheetViews>
  <sheetFormatPr defaultRowHeight="15"/>
  <cols>
    <col min="2" max="5" width="11.7109375" bestFit="1" customWidth="1"/>
    <col min="6" max="6" width="12.28515625" bestFit="1" customWidth="1"/>
    <col min="7" max="21" width="11.7109375" bestFit="1" customWidth="1"/>
    <col min="22" max="23" width="12.140625" bestFit="1" customWidth="1"/>
    <col min="24" max="35" width="12.140625" style="123" customWidth="1"/>
    <col min="36" max="36" width="13.28515625" style="123" bestFit="1" customWidth="1"/>
    <col min="37" max="37" width="15" style="123" bestFit="1" customWidth="1"/>
    <col min="38" max="48" width="15" style="123" customWidth="1"/>
    <col min="49" max="49" width="12.28515625" style="123" customWidth="1"/>
    <col min="50" max="50" width="12.140625" style="123" customWidth="1"/>
    <col min="51" max="54" width="12" style="123" bestFit="1" customWidth="1"/>
    <col min="55" max="55" width="13.28515625" style="123" bestFit="1" customWidth="1"/>
    <col min="56" max="71" width="12" style="123" bestFit="1" customWidth="1"/>
    <col min="72" max="108" width="9.140625" style="123"/>
  </cols>
  <sheetData>
    <row r="1" spans="1:108" s="153" customFormat="1" ht="30" customHeight="1">
      <c r="B1" s="184" t="s">
        <v>214</v>
      </c>
      <c r="C1" s="184"/>
      <c r="D1" s="184"/>
      <c r="E1" s="184"/>
      <c r="F1" s="184"/>
      <c r="G1" s="184"/>
      <c r="H1" s="184"/>
      <c r="I1" s="184"/>
      <c r="J1" s="184"/>
      <c r="K1" s="171" t="s">
        <v>146</v>
      </c>
      <c r="L1" s="171"/>
      <c r="M1" s="171"/>
      <c r="N1" s="171"/>
      <c r="O1" s="171"/>
      <c r="P1" s="171"/>
      <c r="Q1" s="171"/>
      <c r="R1" s="171"/>
      <c r="S1" s="171"/>
      <c r="T1" s="171"/>
      <c r="U1" s="171"/>
      <c r="V1" s="171"/>
      <c r="W1" s="171"/>
      <c r="X1" s="218"/>
      <c r="Y1" s="218"/>
      <c r="Z1" s="218"/>
      <c r="AA1" s="218"/>
      <c r="AB1" s="218"/>
      <c r="AC1" s="218"/>
      <c r="AD1" s="218"/>
      <c r="AE1" s="218"/>
      <c r="AF1" s="218"/>
      <c r="AG1" s="218"/>
      <c r="AH1" s="218"/>
      <c r="AI1" s="218"/>
      <c r="AJ1" s="218"/>
      <c r="AK1" s="218"/>
      <c r="AL1" s="218"/>
      <c r="AM1" s="218"/>
      <c r="AN1" s="218"/>
      <c r="AO1" s="218"/>
      <c r="AP1" s="218"/>
      <c r="AQ1" s="218"/>
      <c r="AR1" s="218"/>
      <c r="AS1" s="218"/>
      <c r="AT1" s="218"/>
      <c r="AU1" s="218"/>
      <c r="AV1" s="218"/>
      <c r="AW1" s="218"/>
      <c r="AX1" s="218"/>
      <c r="AY1" s="218"/>
      <c r="AZ1" s="218"/>
      <c r="BA1" s="218"/>
      <c r="BB1" s="218"/>
      <c r="BC1" s="218"/>
      <c r="BD1" s="218"/>
      <c r="BE1" s="218"/>
      <c r="BF1" s="218"/>
      <c r="BG1" s="218"/>
      <c r="BH1" s="218"/>
      <c r="BI1" s="218"/>
      <c r="BJ1" s="218"/>
      <c r="BK1" s="218"/>
      <c r="BL1" s="218"/>
      <c r="BM1" s="218"/>
      <c r="BN1" s="218"/>
      <c r="BO1" s="218"/>
      <c r="BP1" s="218"/>
      <c r="BQ1" s="218"/>
      <c r="BR1" s="218"/>
      <c r="BS1" s="218"/>
      <c r="BT1" s="218"/>
      <c r="BU1" s="218"/>
      <c r="BV1" s="218"/>
      <c r="BW1" s="218"/>
      <c r="BX1" s="218"/>
      <c r="BY1" s="218"/>
      <c r="BZ1" s="218"/>
      <c r="CA1" s="218"/>
      <c r="CB1" s="218"/>
      <c r="CC1" s="218"/>
      <c r="CD1" s="218"/>
      <c r="CE1" s="218"/>
      <c r="CF1" s="218"/>
      <c r="CG1" s="218"/>
      <c r="CH1" s="218"/>
      <c r="CI1" s="218"/>
      <c r="CJ1" s="218"/>
      <c r="CK1" s="218"/>
      <c r="CL1" s="218"/>
      <c r="CM1" s="218"/>
      <c r="CN1" s="218"/>
      <c r="CO1" s="218"/>
      <c r="CP1" s="218"/>
      <c r="CQ1" s="218"/>
      <c r="CR1" s="218"/>
      <c r="CS1" s="218"/>
      <c r="CT1" s="218"/>
      <c r="CU1" s="218"/>
      <c r="CV1" s="218"/>
      <c r="CW1" s="218"/>
      <c r="CX1" s="218"/>
      <c r="CY1" s="218"/>
      <c r="CZ1" s="218"/>
      <c r="DA1" s="218"/>
      <c r="DB1" s="218"/>
      <c r="DC1" s="218"/>
      <c r="DD1" s="218"/>
    </row>
    <row r="2" spans="1:108" s="174" customFormat="1" ht="20.25" customHeight="1">
      <c r="B2" s="183" t="s">
        <v>215</v>
      </c>
      <c r="C2" s="183" t="s">
        <v>215</v>
      </c>
      <c r="D2" s="183" t="s">
        <v>215</v>
      </c>
      <c r="E2" s="183" t="s">
        <v>215</v>
      </c>
      <c r="F2" s="183" t="s">
        <v>215</v>
      </c>
      <c r="G2" s="183" t="s">
        <v>215</v>
      </c>
      <c r="H2" s="183" t="s">
        <v>215</v>
      </c>
      <c r="I2" s="183" t="s">
        <v>215</v>
      </c>
      <c r="J2" s="183" t="s">
        <v>215</v>
      </c>
      <c r="K2" s="176" t="s">
        <v>215</v>
      </c>
      <c r="L2" s="176" t="s">
        <v>215</v>
      </c>
      <c r="M2" s="176" t="s">
        <v>215</v>
      </c>
      <c r="N2" s="176" t="s">
        <v>215</v>
      </c>
      <c r="O2" s="176" t="s">
        <v>215</v>
      </c>
      <c r="P2" s="176" t="s">
        <v>215</v>
      </c>
      <c r="Q2" s="176" t="s">
        <v>215</v>
      </c>
      <c r="R2" s="176" t="s">
        <v>215</v>
      </c>
      <c r="S2" s="176" t="s">
        <v>215</v>
      </c>
      <c r="T2" s="176" t="s">
        <v>215</v>
      </c>
      <c r="U2" s="176" t="s">
        <v>215</v>
      </c>
      <c r="V2" s="176" t="s">
        <v>215</v>
      </c>
      <c r="W2" s="176" t="s">
        <v>215</v>
      </c>
      <c r="X2" s="219" t="s">
        <v>215</v>
      </c>
      <c r="Y2" s="219" t="s">
        <v>215</v>
      </c>
      <c r="Z2" s="219" t="s">
        <v>215</v>
      </c>
      <c r="AA2" s="219" t="s">
        <v>215</v>
      </c>
      <c r="AB2" s="219" t="s">
        <v>215</v>
      </c>
      <c r="AC2" s="219" t="s">
        <v>215</v>
      </c>
      <c r="AD2" s="219" t="s">
        <v>215</v>
      </c>
      <c r="AE2" s="219" t="s">
        <v>215</v>
      </c>
      <c r="AF2" s="219" t="s">
        <v>215</v>
      </c>
      <c r="AG2" s="219" t="s">
        <v>215</v>
      </c>
      <c r="AH2" s="219" t="s">
        <v>215</v>
      </c>
      <c r="AI2" s="219" t="s">
        <v>215</v>
      </c>
      <c r="AJ2" s="219" t="s">
        <v>215</v>
      </c>
      <c r="AK2" s="219" t="s">
        <v>215</v>
      </c>
      <c r="AL2" s="219"/>
      <c r="AM2" s="219"/>
      <c r="AN2" s="219"/>
      <c r="AO2" s="219"/>
      <c r="AP2" s="219"/>
      <c r="AQ2" s="219"/>
      <c r="AR2" s="219"/>
      <c r="AS2" s="219"/>
      <c r="AT2" s="219"/>
      <c r="AU2" s="219"/>
      <c r="AV2" s="219"/>
      <c r="AW2" s="219"/>
      <c r="AX2" s="219"/>
      <c r="AY2" s="219"/>
      <c r="AZ2" s="219"/>
      <c r="BA2" s="219"/>
      <c r="BB2" s="219"/>
      <c r="BC2" s="219"/>
      <c r="BD2" s="219"/>
      <c r="BE2" s="219"/>
      <c r="BF2" s="219"/>
      <c r="BG2" s="219"/>
      <c r="BH2" s="219"/>
      <c r="BI2" s="219"/>
      <c r="BJ2" s="219"/>
      <c r="BK2" s="219"/>
      <c r="BL2" s="219"/>
      <c r="BM2" s="219"/>
      <c r="BN2" s="219"/>
      <c r="BO2" s="219"/>
      <c r="BP2" s="219"/>
      <c r="BQ2" s="219"/>
      <c r="BR2" s="219"/>
      <c r="BS2" s="219"/>
      <c r="BT2" s="219"/>
      <c r="BU2" s="219"/>
      <c r="BV2" s="219"/>
      <c r="BW2" s="219"/>
      <c r="BX2" s="219"/>
      <c r="BY2" s="219"/>
      <c r="BZ2" s="219"/>
      <c r="CA2" s="219"/>
      <c r="CB2" s="219"/>
      <c r="CC2" s="219"/>
      <c r="CD2" s="219"/>
      <c r="CE2" s="219"/>
      <c r="CF2" s="219"/>
      <c r="CG2" s="219"/>
      <c r="CH2" s="219"/>
      <c r="CI2" s="219"/>
      <c r="CJ2" s="219"/>
      <c r="CK2" s="219"/>
      <c r="CL2" s="219"/>
      <c r="CM2" s="219"/>
      <c r="CN2" s="219"/>
      <c r="CO2" s="219"/>
      <c r="CP2" s="219"/>
      <c r="CQ2" s="219"/>
      <c r="CR2" s="219"/>
      <c r="CS2" s="219"/>
      <c r="CT2" s="219"/>
      <c r="CU2" s="219"/>
      <c r="CV2" s="219"/>
      <c r="CW2" s="219"/>
      <c r="CX2" s="219"/>
      <c r="CY2" s="219"/>
      <c r="CZ2" s="219"/>
      <c r="DA2" s="219"/>
      <c r="DB2" s="219"/>
      <c r="DC2" s="219"/>
      <c r="DD2" s="219"/>
    </row>
    <row r="3" spans="1:108" s="174" customFormat="1" ht="20.25" customHeight="1">
      <c r="A3" s="174" t="s">
        <v>141</v>
      </c>
      <c r="B3" s="183" t="s">
        <v>143</v>
      </c>
      <c r="C3" s="183" t="s">
        <v>144</v>
      </c>
      <c r="D3" s="183" t="s">
        <v>145</v>
      </c>
      <c r="E3" s="183" t="s">
        <v>198</v>
      </c>
      <c r="F3" s="183" t="s">
        <v>29</v>
      </c>
      <c r="G3" s="183" t="s">
        <v>147</v>
      </c>
      <c r="H3" s="183" t="s">
        <v>148</v>
      </c>
      <c r="I3" s="183" t="s">
        <v>149</v>
      </c>
      <c r="J3" s="183" t="s">
        <v>27</v>
      </c>
      <c r="K3" s="176" t="s">
        <v>143</v>
      </c>
      <c r="L3" s="176" t="s">
        <v>144</v>
      </c>
      <c r="M3" s="176" t="s">
        <v>145</v>
      </c>
      <c r="N3" s="176" t="s">
        <v>198</v>
      </c>
      <c r="O3" s="176" t="s">
        <v>147</v>
      </c>
      <c r="P3" s="176" t="s">
        <v>148</v>
      </c>
      <c r="Q3" s="176" t="s">
        <v>203</v>
      </c>
      <c r="R3" s="176" t="s">
        <v>149</v>
      </c>
      <c r="S3" s="176" t="s">
        <v>204</v>
      </c>
      <c r="T3" s="176" t="s">
        <v>150</v>
      </c>
      <c r="U3" s="176" t="s">
        <v>151</v>
      </c>
      <c r="V3" s="176" t="s">
        <v>28</v>
      </c>
      <c r="W3" s="176" t="s">
        <v>27</v>
      </c>
      <c r="X3" s="174" t="s">
        <v>147</v>
      </c>
      <c r="Y3" s="174" t="s">
        <v>148</v>
      </c>
      <c r="Z3" s="174" t="s">
        <v>203</v>
      </c>
      <c r="AA3" s="174" t="s">
        <v>149</v>
      </c>
      <c r="AB3" s="219" t="s">
        <v>204</v>
      </c>
      <c r="AC3" s="219" t="s">
        <v>150</v>
      </c>
      <c r="AD3" s="219" t="s">
        <v>151</v>
      </c>
      <c r="AE3" s="219" t="s">
        <v>27</v>
      </c>
      <c r="AF3" s="219" t="s">
        <v>143</v>
      </c>
      <c r="AG3" s="219" t="s">
        <v>144</v>
      </c>
      <c r="AH3" s="219" t="s">
        <v>145</v>
      </c>
      <c r="AI3" s="219" t="s">
        <v>198</v>
      </c>
      <c r="AJ3" s="174" t="s">
        <v>29</v>
      </c>
      <c r="AK3" s="174" t="s">
        <v>264</v>
      </c>
      <c r="AW3" s="219"/>
      <c r="AX3" s="219"/>
      <c r="AY3" s="219"/>
      <c r="AZ3" s="219"/>
      <c r="BA3" s="219"/>
      <c r="BB3" s="219"/>
      <c r="BC3" s="219"/>
      <c r="BD3" s="219"/>
      <c r="BE3" s="219"/>
      <c r="BF3" s="219"/>
      <c r="BG3" s="219"/>
      <c r="BH3" s="219"/>
      <c r="BI3" s="219"/>
      <c r="BJ3" s="219"/>
      <c r="BK3" s="219"/>
      <c r="BL3" s="219"/>
      <c r="BM3" s="219"/>
      <c r="BN3" s="219"/>
      <c r="BO3" s="219"/>
      <c r="BP3" s="219"/>
      <c r="BQ3" s="219"/>
      <c r="BR3" s="242"/>
      <c r="BS3" s="219"/>
      <c r="BT3" s="219"/>
      <c r="BU3" s="219"/>
      <c r="BV3" s="219"/>
      <c r="BW3" s="219"/>
      <c r="BX3" s="219"/>
      <c r="BY3" s="219"/>
      <c r="BZ3" s="219"/>
      <c r="CA3" s="219"/>
      <c r="CB3" s="219"/>
      <c r="CC3" s="219"/>
      <c r="CD3" s="219"/>
      <c r="CE3" s="219"/>
      <c r="CF3" s="219"/>
      <c r="CG3" s="219"/>
      <c r="CH3" s="219"/>
      <c r="CI3" s="219"/>
      <c r="CJ3" s="219"/>
      <c r="CK3" s="219"/>
      <c r="CL3" s="219"/>
      <c r="CM3" s="219"/>
      <c r="CN3" s="219"/>
      <c r="CO3" s="219"/>
      <c r="CP3" s="219"/>
      <c r="CQ3" s="219"/>
      <c r="CR3" s="219"/>
      <c r="CS3" s="219"/>
      <c r="CT3" s="219"/>
      <c r="CU3" s="219"/>
      <c r="CV3" s="219"/>
      <c r="CW3" s="219"/>
      <c r="CX3" s="219"/>
      <c r="CY3" s="219"/>
      <c r="CZ3" s="219"/>
      <c r="DA3" s="219"/>
      <c r="DB3" s="219"/>
      <c r="DC3" s="219"/>
      <c r="DD3" s="219"/>
    </row>
    <row r="4" spans="1:108">
      <c r="A4" s="113">
        <f>Gas!A4</f>
        <v>0</v>
      </c>
      <c r="B4" s="181" t="str">
        <f>IF(HRT!B4="-", "-", 'Influent Concentration'!X4*HRT!B4/1000)</f>
        <v>-</v>
      </c>
      <c r="C4" s="181" t="str">
        <f>IF(HRT!B4="-", "-", 'Influent Concentration'!Y4*HRT!B4/1000)</f>
        <v>-</v>
      </c>
      <c r="D4" s="181" t="str">
        <f>IF(HRT!B4="-", "-", 'Influent Concentration'!Z4*HRT!B4/1000)</f>
        <v>-</v>
      </c>
      <c r="E4" s="181" t="str">
        <f>IF(HRT!B4="-", "-", 'Influent Concentration'!AA4*HRT!B4/1000)</f>
        <v>-</v>
      </c>
      <c r="F4" s="181" t="str">
        <f>IF(HRT!B4="-", "-", 'Influent Concentration'!AB4*HRT!B4/1000)</f>
        <v>-</v>
      </c>
      <c r="G4" s="181" t="str">
        <f>IF(HRT!B4="-", "-", 'Influent Concentration'!AC4*HRT!B4/1000)</f>
        <v>-</v>
      </c>
      <c r="H4" s="181" t="str">
        <f>IF(HRT!B4="-", "-", 'Influent Concentration'!AD4*HRT!B4/1000)</f>
        <v>-</v>
      </c>
      <c r="I4" s="181" t="str">
        <f>IF(HRT!B4="-", "-", 'Influent Concentration'!AE4*HRT!B4/1000)</f>
        <v>-</v>
      </c>
      <c r="J4" s="182" t="s">
        <v>164</v>
      </c>
      <c r="K4">
        <f>IF(HRT!D4="-", "-", 'Effluent Concentration'!AK4*HRT!D4/1000)</f>
        <v>0</v>
      </c>
      <c r="L4">
        <f>IF(HRT!D4="-", "-", 'Effluent Concentration'!AL4*HRT!D4/1000)</f>
        <v>0</v>
      </c>
      <c r="M4">
        <f>IF(HRT!D4="-", "-", 'Effluent Concentration'!AM4*HRT!D4/1000)</f>
        <v>0</v>
      </c>
      <c r="N4">
        <f>IF(HRT!D4="-", "-", 'Effluent Concentration'!AN4*HRT!D4/1000)</f>
        <v>0</v>
      </c>
      <c r="O4">
        <f>IF(HRT!D4="-", "-", 'Effluent Concentration'!AO4*HRT!D4/1000)</f>
        <v>0</v>
      </c>
      <c r="P4">
        <f>IF(HRT!D4="-", "-", 'Effluent Concentration'!AP4*HRT!D4/1000)</f>
        <v>0</v>
      </c>
      <c r="Q4">
        <f>IF(HRT!D4="-", "-", 'Effluent Concentration'!AQ4*HRT!D4/1000)</f>
        <v>0</v>
      </c>
      <c r="R4">
        <f>IF(HRT!D4="-", "-", 'Effluent Concentration'!AR4*HRT!D4/1000)</f>
        <v>0</v>
      </c>
      <c r="S4">
        <f>IF(HRT!D4="-", "-", 'Effluent Concentration'!AS4*HRT!D4/1000)</f>
        <v>0</v>
      </c>
      <c r="T4">
        <f>IF(HRT!D4="-", "-", 'Effluent Concentration'!AT4*HRT!D4/1000)</f>
        <v>0</v>
      </c>
      <c r="U4">
        <f>IF(HRT!D4="-", "-", 'Effluent Concentration'!AU4*HRT!D4/1000)</f>
        <v>0</v>
      </c>
      <c r="V4" s="113" t="str">
        <f>Gas!T4</f>
        <v>-</v>
      </c>
      <c r="W4" s="113" t="s">
        <v>164</v>
      </c>
      <c r="X4" s="116" t="e">
        <f>O4-G4</f>
        <v>#VALUE!</v>
      </c>
      <c r="Y4" s="116" t="e">
        <f>P4-H4</f>
        <v>#VALUE!</v>
      </c>
      <c r="Z4" s="116">
        <f>Q4</f>
        <v>0</v>
      </c>
      <c r="AA4" s="116" t="e">
        <f>R4-I4</f>
        <v>#VALUE!</v>
      </c>
      <c r="AB4" s="116">
        <f>S4</f>
        <v>0</v>
      </c>
      <c r="AC4" s="116">
        <f>T4</f>
        <v>0</v>
      </c>
      <c r="AD4" s="116">
        <f>U4</f>
        <v>0</v>
      </c>
      <c r="AE4" s="116" t="e">
        <f>W4-J4</f>
        <v>#VALUE!</v>
      </c>
      <c r="AF4" s="116" t="e">
        <f>K4-B4</f>
        <v>#VALUE!</v>
      </c>
      <c r="AG4" s="116" t="e">
        <f>L4-C4</f>
        <v>#VALUE!</v>
      </c>
      <c r="AH4" s="116" t="e">
        <f>M4-D4</f>
        <v>#VALUE!</v>
      </c>
      <c r="AI4" s="116" t="e">
        <f>N4-E4</f>
        <v>#VALUE!</v>
      </c>
      <c r="AJ4" s="116" t="e">
        <f>-F4</f>
        <v>#VALUE!</v>
      </c>
      <c r="AK4" s="116" t="e">
        <f>-SUM(X4:AJ4)</f>
        <v>#VALUE!</v>
      </c>
      <c r="AL4" s="116"/>
      <c r="AM4" s="116"/>
      <c r="AN4" s="116"/>
      <c r="AO4" s="116"/>
      <c r="AP4" s="116"/>
      <c r="AQ4" s="116"/>
      <c r="AR4" s="116"/>
      <c r="AS4" s="116"/>
      <c r="AT4" s="116"/>
      <c r="AU4" s="116"/>
      <c r="AV4" s="116"/>
      <c r="AW4" s="116"/>
      <c r="AX4" s="116"/>
    </row>
    <row r="5" spans="1:108">
      <c r="A5" s="113">
        <f>Gas!A5</f>
        <v>0.95138888889050577</v>
      </c>
      <c r="B5" s="181" t="str">
        <f>IF(HRT!B5="-", "-", 'Influent Concentration'!X5*HRT!B5/1000)</f>
        <v>-</v>
      </c>
      <c r="C5" s="181" t="str">
        <f>IF(HRT!B5="-", "-", 'Influent Concentration'!Y5*HRT!B5/1000)</f>
        <v>-</v>
      </c>
      <c r="D5" s="181" t="str">
        <f>IF(HRT!B5="-", "-", 'Influent Concentration'!Z5*HRT!B5/1000)</f>
        <v>-</v>
      </c>
      <c r="E5" s="181" t="str">
        <f>IF(HRT!B5="-", "-", 'Influent Concentration'!AA5*HRT!B5/1000)</f>
        <v>-</v>
      </c>
      <c r="F5" s="181" t="str">
        <f>IF(HRT!B5="-", "-", 'Influent Concentration'!AB5*HRT!B5/1000)</f>
        <v>-</v>
      </c>
      <c r="G5" s="181" t="str">
        <f>IF(HRT!B5="-", "-", 'Influent Concentration'!AC5*HRT!B5/1000)</f>
        <v>-</v>
      </c>
      <c r="H5" s="181" t="str">
        <f>IF(HRT!B5="-", "-", 'Influent Concentration'!AD5*HRT!B5/1000)</f>
        <v>-</v>
      </c>
      <c r="I5" s="181" t="str">
        <f>IF(HRT!B5="-", "-", 'Influent Concentration'!AE5*HRT!B5/1000)</f>
        <v>-</v>
      </c>
      <c r="J5" s="182" t="s">
        <v>164</v>
      </c>
      <c r="K5">
        <f>IF(HRT!D5="-", "-", 'Effluent Concentration'!AK5*HRT!D5/1000)</f>
        <v>0</v>
      </c>
      <c r="L5">
        <f>IF(HRT!D5="-", "-", 'Effluent Concentration'!AL5*HRT!D5/1000)</f>
        <v>0</v>
      </c>
      <c r="M5">
        <f>IF(HRT!D5="-", "-", 'Effluent Concentration'!AM5*HRT!D5/1000)</f>
        <v>0</v>
      </c>
      <c r="N5">
        <f>IF(HRT!D5="-", "-", 'Effluent Concentration'!AN5*HRT!D5/1000)</f>
        <v>0</v>
      </c>
      <c r="O5">
        <f>IF(HRT!D5="-", "-", 'Effluent Concentration'!AO5*HRT!D5/1000)</f>
        <v>0</v>
      </c>
      <c r="P5">
        <f>IF(HRT!D5="-", "-", 'Effluent Concentration'!AP5*HRT!D5/1000)</f>
        <v>0</v>
      </c>
      <c r="Q5">
        <f>IF(HRT!D5="-", "-", 'Effluent Concentration'!AQ5*HRT!D5/1000)</f>
        <v>0</v>
      </c>
      <c r="R5">
        <f>IF(HRT!D5="-", "-", 'Effluent Concentration'!AR5*HRT!D5/1000)</f>
        <v>0</v>
      </c>
      <c r="S5">
        <f>IF(HRT!D5="-", "-", 'Effluent Concentration'!AS5*HRT!D5/1000)</f>
        <v>0</v>
      </c>
      <c r="T5">
        <f>IF(HRT!D5="-", "-", 'Effluent Concentration'!AT5*HRT!D5/1000)</f>
        <v>0</v>
      </c>
      <c r="U5">
        <f>IF(HRT!D5="-", "-", 'Effluent Concentration'!AU5*HRT!D5/1000)</f>
        <v>0</v>
      </c>
      <c r="V5" s="113" t="str">
        <f>Gas!T5</f>
        <v>-</v>
      </c>
      <c r="W5" s="113" t="s">
        <v>164</v>
      </c>
      <c r="X5" s="116" t="e">
        <f t="shared" ref="X5:X68" si="0">O5-G5</f>
        <v>#VALUE!</v>
      </c>
      <c r="Y5" s="116" t="e">
        <f t="shared" ref="Y5:Y68" si="1">P5-H5</f>
        <v>#VALUE!</v>
      </c>
      <c r="Z5" s="116">
        <f t="shared" ref="Z5:Z68" si="2">Q5</f>
        <v>0</v>
      </c>
      <c r="AA5" s="116" t="e">
        <f t="shared" ref="AA5:AA68" si="3">R5-I5</f>
        <v>#VALUE!</v>
      </c>
      <c r="AB5" s="116">
        <f t="shared" ref="AB5:AB68" si="4">S5</f>
        <v>0</v>
      </c>
      <c r="AC5" s="116">
        <f t="shared" ref="AC5:AC68" si="5">T5</f>
        <v>0</v>
      </c>
      <c r="AD5" s="116">
        <f t="shared" ref="AD5:AD68" si="6">U5</f>
        <v>0</v>
      </c>
      <c r="AE5" s="116" t="e">
        <f t="shared" ref="AE5:AE68" si="7">W5-J5</f>
        <v>#VALUE!</v>
      </c>
      <c r="AF5" s="116" t="e">
        <f t="shared" ref="AF5:AF68" si="8">K5-B5</f>
        <v>#VALUE!</v>
      </c>
      <c r="AG5" s="116" t="e">
        <f t="shared" ref="AG5:AG68" si="9">L5-C5</f>
        <v>#VALUE!</v>
      </c>
      <c r="AH5" s="116" t="e">
        <f t="shared" ref="AH5:AH68" si="10">M5-D5</f>
        <v>#VALUE!</v>
      </c>
      <c r="AI5" s="116" t="e">
        <f t="shared" ref="AI5:AI68" si="11">N5-E5</f>
        <v>#VALUE!</v>
      </c>
      <c r="AJ5" s="116" t="e">
        <f t="shared" ref="AJ5:AJ68" si="12">-F5</f>
        <v>#VALUE!</v>
      </c>
      <c r="AK5" s="116" t="e">
        <f t="shared" ref="AK5:AK68" si="13">-SUM(X5:AJ5)</f>
        <v>#VALUE!</v>
      </c>
      <c r="AL5" s="116"/>
      <c r="AM5" s="116"/>
      <c r="AN5" s="116"/>
      <c r="AO5" s="116"/>
      <c r="AP5" s="116"/>
      <c r="AQ5" s="116"/>
      <c r="AR5" s="116"/>
      <c r="AS5" s="116"/>
      <c r="AT5" s="116"/>
      <c r="AU5" s="116"/>
      <c r="AV5" s="116"/>
      <c r="AW5" s="116"/>
      <c r="AX5" s="116"/>
    </row>
    <row r="6" spans="1:108">
      <c r="A6" s="113">
        <f>Gas!A6</f>
        <v>4.0208333333357587</v>
      </c>
      <c r="B6" s="181" t="str">
        <f>IF(HRT!B6="-", "-", 'Influent Concentration'!X6*HRT!B6/1000)</f>
        <v>-</v>
      </c>
      <c r="C6" s="181" t="str">
        <f>IF(HRT!B6="-", "-", 'Influent Concentration'!Y6*HRT!B6/1000)</f>
        <v>-</v>
      </c>
      <c r="D6" s="181" t="str">
        <f>IF(HRT!B6="-", "-", 'Influent Concentration'!Z6*HRT!B6/1000)</f>
        <v>-</v>
      </c>
      <c r="E6" s="181" t="str">
        <f>IF(HRT!B6="-", "-", 'Influent Concentration'!AA6*HRT!B6/1000)</f>
        <v>-</v>
      </c>
      <c r="F6" s="181" t="str">
        <f>IF(HRT!B6="-", "-", 'Influent Concentration'!AB6*HRT!B6/1000)</f>
        <v>-</v>
      </c>
      <c r="G6" s="181" t="str">
        <f>IF(HRT!B6="-", "-", 'Influent Concentration'!AC6*HRT!B6/1000)</f>
        <v>-</v>
      </c>
      <c r="H6" s="181" t="str">
        <f>IF(HRT!B6="-", "-", 'Influent Concentration'!AD6*HRT!B6/1000)</f>
        <v>-</v>
      </c>
      <c r="I6" s="181" t="str">
        <f>IF(HRT!B6="-", "-", 'Influent Concentration'!AE6*HRT!B6/1000)</f>
        <v>-</v>
      </c>
      <c r="J6" s="182" t="s">
        <v>164</v>
      </c>
      <c r="K6">
        <f>IF(HRT!D6="-", "-", 'Effluent Concentration'!AK6*HRT!D6/1000)</f>
        <v>0</v>
      </c>
      <c r="L6">
        <f>IF(HRT!D6="-", "-", 'Effluent Concentration'!AL6*HRT!D6/1000)</f>
        <v>0</v>
      </c>
      <c r="M6">
        <f>IF(HRT!D6="-", "-", 'Effluent Concentration'!AM6*HRT!D6/1000)</f>
        <v>0</v>
      </c>
      <c r="N6">
        <f>IF(HRT!D6="-", "-", 'Effluent Concentration'!AN6*HRT!D6/1000)</f>
        <v>0</v>
      </c>
      <c r="O6">
        <f>IF(HRT!D6="-", "-", 'Effluent Concentration'!AO6*HRT!D6/1000)</f>
        <v>0</v>
      </c>
      <c r="P6">
        <f>IF(HRT!D6="-", "-", 'Effluent Concentration'!AP6*HRT!D6/1000)</f>
        <v>0</v>
      </c>
      <c r="Q6">
        <f>IF(HRT!D6="-", "-", 'Effluent Concentration'!AQ6*HRT!D6/1000)</f>
        <v>0</v>
      </c>
      <c r="R6">
        <f>IF(HRT!D6="-", "-", 'Effluent Concentration'!AR6*HRT!D6/1000)</f>
        <v>0</v>
      </c>
      <c r="S6">
        <f>IF(HRT!D6="-", "-", 'Effluent Concentration'!AS6*HRT!D6/1000)</f>
        <v>0</v>
      </c>
      <c r="T6">
        <f>IF(HRT!D6="-", "-", 'Effluent Concentration'!AT6*HRT!D6/1000)</f>
        <v>0</v>
      </c>
      <c r="U6">
        <f>IF(HRT!D6="-", "-", 'Effluent Concentration'!AU6*HRT!D6/1000)</f>
        <v>0</v>
      </c>
      <c r="V6" s="113" t="str">
        <f>Gas!T6</f>
        <v>-</v>
      </c>
      <c r="W6" s="113" t="s">
        <v>164</v>
      </c>
      <c r="X6" s="116" t="e">
        <f t="shared" si="0"/>
        <v>#VALUE!</v>
      </c>
      <c r="Y6" s="116" t="e">
        <f t="shared" si="1"/>
        <v>#VALUE!</v>
      </c>
      <c r="Z6" s="116">
        <f t="shared" si="2"/>
        <v>0</v>
      </c>
      <c r="AA6" s="116" t="e">
        <f t="shared" si="3"/>
        <v>#VALUE!</v>
      </c>
      <c r="AB6" s="116">
        <f t="shared" si="4"/>
        <v>0</v>
      </c>
      <c r="AC6" s="116">
        <f t="shared" si="5"/>
        <v>0</v>
      </c>
      <c r="AD6" s="116">
        <f t="shared" si="6"/>
        <v>0</v>
      </c>
      <c r="AE6" s="116" t="e">
        <f t="shared" si="7"/>
        <v>#VALUE!</v>
      </c>
      <c r="AF6" s="116" t="e">
        <f t="shared" si="8"/>
        <v>#VALUE!</v>
      </c>
      <c r="AG6" s="116" t="e">
        <f t="shared" si="9"/>
        <v>#VALUE!</v>
      </c>
      <c r="AH6" s="116" t="e">
        <f t="shared" si="10"/>
        <v>#VALUE!</v>
      </c>
      <c r="AI6" s="116" t="e">
        <f t="shared" si="11"/>
        <v>#VALUE!</v>
      </c>
      <c r="AJ6" s="116" t="e">
        <f t="shared" si="12"/>
        <v>#VALUE!</v>
      </c>
      <c r="AK6" s="116" t="e">
        <f t="shared" si="13"/>
        <v>#VALUE!</v>
      </c>
      <c r="AL6" s="116"/>
      <c r="AM6" s="116"/>
      <c r="AN6" s="116"/>
      <c r="AO6" s="116"/>
      <c r="AP6" s="116"/>
      <c r="AQ6" s="116"/>
      <c r="AR6" s="116"/>
      <c r="AS6" s="116"/>
      <c r="AT6" s="116"/>
      <c r="AU6" s="116"/>
      <c r="AV6" s="116"/>
      <c r="AW6" s="116"/>
      <c r="AX6" s="116"/>
    </row>
    <row r="7" spans="1:108" s="226" customFormat="1">
      <c r="A7" s="225">
        <f>Gas!A7</f>
        <v>5.7222222222262644</v>
      </c>
      <c r="B7" s="239" t="str">
        <f>IF(HRT!B7="-", "-", 'Influent Concentration'!X7*HRT!B7/1000)</f>
        <v>-</v>
      </c>
      <c r="C7" s="239" t="str">
        <f>IF(HRT!B7="-", "-", 'Influent Concentration'!Y7*HRT!B7/1000)</f>
        <v>-</v>
      </c>
      <c r="D7" s="239" t="str">
        <f>IF(HRT!B7="-", "-", 'Influent Concentration'!Z7*HRT!B7/1000)</f>
        <v>-</v>
      </c>
      <c r="E7" s="239" t="str">
        <f>IF(HRT!B7="-", "-", 'Influent Concentration'!AA7*HRT!B7/1000)</f>
        <v>-</v>
      </c>
      <c r="F7" s="239" t="str">
        <f>IF(HRT!B7="-", "-", 'Influent Concentration'!AB7*HRT!B7/1000)</f>
        <v>-</v>
      </c>
      <c r="G7" s="239" t="str">
        <f>IF(HRT!B7="-", "-", 'Influent Concentration'!AC7*HRT!B7/1000)</f>
        <v>-</v>
      </c>
      <c r="H7" s="239" t="str">
        <f>IF(HRT!B7="-", "-", 'Influent Concentration'!AD7*HRT!B7/1000)</f>
        <v>-</v>
      </c>
      <c r="I7" s="239" t="str">
        <f>IF(HRT!B7="-", "-", 'Influent Concentration'!AE7*HRT!B7/1000)</f>
        <v>-</v>
      </c>
      <c r="J7" s="229" t="s">
        <v>164</v>
      </c>
      <c r="K7" s="226">
        <f>IF(HRT!D7="-", "-", 'Effluent Concentration'!AK7*HRT!D7/1000)</f>
        <v>0</v>
      </c>
      <c r="L7" s="226">
        <f>IF(HRT!D7="-", "-", 'Effluent Concentration'!AL7*HRT!D7/1000)</f>
        <v>0</v>
      </c>
      <c r="M7" s="226">
        <f>IF(HRT!D7="-", "-", 'Effluent Concentration'!AM7*HRT!D7/1000)</f>
        <v>0</v>
      </c>
      <c r="N7" s="226">
        <f>IF(HRT!D7="-", "-", 'Effluent Concentration'!AN7*HRT!D7/1000)</f>
        <v>0</v>
      </c>
      <c r="O7" s="226">
        <f>IF(HRT!D7="-", "-", 'Effluent Concentration'!AO7*HRT!D7/1000)</f>
        <v>0</v>
      </c>
      <c r="P7" s="226">
        <f>IF(HRT!D7="-", "-", 'Effluent Concentration'!AP7*HRT!D7/1000)</f>
        <v>0</v>
      </c>
      <c r="Q7" s="226">
        <f>IF(HRT!D7="-", "-", 'Effluent Concentration'!AQ7*HRT!D7/1000)</f>
        <v>0</v>
      </c>
      <c r="R7" s="226">
        <f>IF(HRT!D7="-", "-", 'Effluent Concentration'!AR7*HRT!D7/1000)</f>
        <v>0</v>
      </c>
      <c r="S7" s="226">
        <f>IF(HRT!D7="-", "-", 'Effluent Concentration'!AS7*HRT!D7/1000)</f>
        <v>0</v>
      </c>
      <c r="T7" s="226">
        <f>IF(HRT!D7="-", "-", 'Effluent Concentration'!AT7*HRT!D7/1000)</f>
        <v>0</v>
      </c>
      <c r="U7" s="226">
        <f>IF(HRT!D7="-", "-", 'Effluent Concentration'!AU7*HRT!D7/1000)</f>
        <v>0</v>
      </c>
      <c r="V7" s="225" t="str">
        <f>Gas!T7</f>
        <v>-</v>
      </c>
      <c r="W7" s="225" t="s">
        <v>164</v>
      </c>
      <c r="X7" s="238" t="e">
        <f t="shared" si="0"/>
        <v>#VALUE!</v>
      </c>
      <c r="Y7" s="238" t="e">
        <f t="shared" si="1"/>
        <v>#VALUE!</v>
      </c>
      <c r="Z7" s="238">
        <f t="shared" si="2"/>
        <v>0</v>
      </c>
      <c r="AA7" s="238" t="e">
        <f t="shared" si="3"/>
        <v>#VALUE!</v>
      </c>
      <c r="AB7" s="238">
        <f t="shared" si="4"/>
        <v>0</v>
      </c>
      <c r="AC7" s="238">
        <f t="shared" si="5"/>
        <v>0</v>
      </c>
      <c r="AD7" s="238">
        <f t="shared" si="6"/>
        <v>0</v>
      </c>
      <c r="AE7" s="238" t="e">
        <f t="shared" si="7"/>
        <v>#VALUE!</v>
      </c>
      <c r="AF7" s="238" t="e">
        <f t="shared" si="8"/>
        <v>#VALUE!</v>
      </c>
      <c r="AG7" s="238" t="e">
        <f t="shared" si="9"/>
        <v>#VALUE!</v>
      </c>
      <c r="AH7" s="238" t="e">
        <f t="shared" si="10"/>
        <v>#VALUE!</v>
      </c>
      <c r="AI7" s="238" t="e">
        <f t="shared" si="11"/>
        <v>#VALUE!</v>
      </c>
      <c r="AJ7" s="238" t="e">
        <f t="shared" si="12"/>
        <v>#VALUE!</v>
      </c>
      <c r="AK7" s="116" t="e">
        <f t="shared" si="13"/>
        <v>#VALUE!</v>
      </c>
      <c r="AL7" s="238"/>
      <c r="AM7" s="240"/>
      <c r="AN7" s="240"/>
      <c r="AO7" s="240"/>
      <c r="AP7" s="240"/>
      <c r="AQ7" s="240"/>
      <c r="AR7" s="240"/>
      <c r="AS7" s="240"/>
      <c r="AT7" s="240"/>
      <c r="AU7" s="240"/>
      <c r="AV7" s="240"/>
      <c r="AW7" s="240"/>
      <c r="AX7" s="238"/>
      <c r="AY7" s="240"/>
      <c r="AZ7" s="240"/>
      <c r="BA7" s="240"/>
      <c r="BB7" s="240"/>
      <c r="BC7" s="240"/>
      <c r="BD7" s="240"/>
      <c r="BE7" s="240"/>
      <c r="BF7" s="240"/>
      <c r="BG7" s="240"/>
      <c r="BH7" s="240"/>
      <c r="BI7" s="240"/>
      <c r="BJ7" s="240"/>
      <c r="BK7" s="240"/>
      <c r="BL7" s="240"/>
      <c r="BM7" s="240"/>
      <c r="BN7" s="240"/>
      <c r="BO7" s="240"/>
      <c r="BP7" s="240"/>
      <c r="BQ7" s="240"/>
      <c r="BR7" s="240"/>
      <c r="BS7" s="240"/>
      <c r="BT7" s="240"/>
      <c r="BU7" s="240"/>
      <c r="BV7" s="240"/>
      <c r="BW7" s="240"/>
      <c r="BX7" s="240"/>
      <c r="BY7" s="240"/>
      <c r="BZ7" s="240"/>
      <c r="CA7" s="240"/>
      <c r="CB7" s="240"/>
      <c r="CC7" s="240"/>
      <c r="CD7" s="240"/>
      <c r="CE7" s="240"/>
      <c r="CF7" s="240"/>
      <c r="CG7" s="240"/>
      <c r="CH7" s="240"/>
      <c r="CI7" s="240"/>
      <c r="CJ7" s="240"/>
      <c r="CK7" s="240"/>
      <c r="CL7" s="240"/>
      <c r="CM7" s="240"/>
      <c r="CN7" s="240"/>
      <c r="CO7" s="240"/>
      <c r="CP7" s="240"/>
      <c r="CQ7" s="240"/>
      <c r="CR7" s="240"/>
      <c r="CS7" s="240"/>
      <c r="CT7" s="240"/>
      <c r="CU7" s="240"/>
      <c r="CV7" s="240"/>
      <c r="CW7" s="240"/>
      <c r="CX7" s="240"/>
      <c r="CY7" s="240"/>
      <c r="CZ7" s="240"/>
      <c r="DA7" s="240"/>
      <c r="DB7" s="240"/>
      <c r="DC7" s="240"/>
      <c r="DD7" s="240"/>
    </row>
    <row r="8" spans="1:108">
      <c r="A8" s="113">
        <f>Gas!A8</f>
        <v>6.7687500000029104</v>
      </c>
      <c r="B8" s="181">
        <f>IF(HRT!B8="-", "-", 'Influent Concentration'!X8*HRT!B8/1000)</f>
        <v>232.92583696751774</v>
      </c>
      <c r="C8" s="181">
        <f>IF(HRT!B8="-", "-", 'Influent Concentration'!Y8*HRT!B8/1000)</f>
        <v>2.7444330777461023</v>
      </c>
      <c r="D8" s="181">
        <f>IF(HRT!B8="-", "-", 'Influent Concentration'!Z8*HRT!B8/1000)</f>
        <v>31.112271707789407</v>
      </c>
      <c r="E8" s="181">
        <f>IF(HRT!B8="-", "-", 'Influent Concentration'!AA8*HRT!B8/1000)</f>
        <v>7.1256998871732806</v>
      </c>
      <c r="F8" s="181">
        <f>IF(HRT!B8="-", "-", 'Influent Concentration'!AB8*HRT!B8/1000)</f>
        <v>3.6923538418334987</v>
      </c>
      <c r="G8" s="181">
        <f>IF(HRT!B8="-", "-", 'Influent Concentration'!AC8*HRT!B8/1000)</f>
        <v>5.5244925269700671</v>
      </c>
      <c r="H8" s="181">
        <f>IF(HRT!B8="-", "-", 'Influent Concentration'!AD8*HRT!B8/1000)</f>
        <v>1.4669501075629883</v>
      </c>
      <c r="I8" s="181">
        <f>IF(HRT!B8="-", "-", 'Influent Concentration'!AE8*HRT!B8/1000)</f>
        <v>0.68005918583626102</v>
      </c>
      <c r="J8" s="182" t="s">
        <v>164</v>
      </c>
      <c r="K8">
        <f>IF(HRT!D8="-", "-", 'Effluent Concentration'!AK8*HRT!D8/1000)</f>
        <v>8.167589905053358</v>
      </c>
      <c r="L8">
        <f>IF(HRT!D8="-", "-", 'Effluent Concentration'!AL8*HRT!D8/1000)</f>
        <v>0.20375331779952924</v>
      </c>
      <c r="M8">
        <f>IF(HRT!D8="-", "-", 'Effluent Concentration'!AM8*HRT!D8/1000)</f>
        <v>0</v>
      </c>
      <c r="N8">
        <f>IF(HRT!D8="-", "-", 'Effluent Concentration'!AN8*HRT!D8/1000)</f>
        <v>0.33459094306263309</v>
      </c>
      <c r="O8">
        <f>IF(HRT!D8="-", "-", 'Effluent Concentration'!AO8*HRT!D8/1000)</f>
        <v>66.030002366638641</v>
      </c>
      <c r="P8">
        <f>IF(HRT!D8="-", "-", 'Effluent Concentration'!AP8*HRT!D8/1000)</f>
        <v>0.96038621202996677</v>
      </c>
      <c r="Q8">
        <f>IF(HRT!D8="-", "-", 'Effluent Concentration'!AQ8*HRT!D8/1000)</f>
        <v>0.110019050862436</v>
      </c>
      <c r="R8">
        <f>IF(HRT!D8="-", "-", 'Effluent Concentration'!AR8*HRT!D8/1000)</f>
        <v>71.693128644143115</v>
      </c>
      <c r="S8">
        <f>IF(HRT!D8="-", "-", 'Effluent Concentration'!AS8*HRT!D8/1000)</f>
        <v>0.17514275440041771</v>
      </c>
      <c r="T8">
        <f>IF(HRT!D8="-", "-", 'Effluent Concentration'!AT8*HRT!D8/1000)</f>
        <v>0.39548363896868521</v>
      </c>
      <c r="U8">
        <f>IF(HRT!D8="-", "-", 'Effluent Concentration'!AU8*HRT!D8/1000)</f>
        <v>0.80471523708127146</v>
      </c>
      <c r="V8" s="113" t="str">
        <f>Gas!T8</f>
        <v>-</v>
      </c>
      <c r="W8" s="113" t="s">
        <v>164</v>
      </c>
      <c r="X8" s="116">
        <f t="shared" si="0"/>
        <v>60.505509839668576</v>
      </c>
      <c r="Y8" s="116">
        <f t="shared" si="1"/>
        <v>-0.5065638955330215</v>
      </c>
      <c r="Z8" s="116">
        <f t="shared" si="2"/>
        <v>0.110019050862436</v>
      </c>
      <c r="AA8" s="116">
        <f t="shared" si="3"/>
        <v>71.013069458306859</v>
      </c>
      <c r="AB8" s="116">
        <f t="shared" si="4"/>
        <v>0.17514275440041771</v>
      </c>
      <c r="AC8" s="116">
        <f t="shared" si="5"/>
        <v>0.39548363896868521</v>
      </c>
      <c r="AD8" s="116">
        <f t="shared" si="6"/>
        <v>0.80471523708127146</v>
      </c>
      <c r="AE8" s="116" t="e">
        <f t="shared" si="7"/>
        <v>#VALUE!</v>
      </c>
      <c r="AF8" s="116">
        <f t="shared" si="8"/>
        <v>-224.75824706246439</v>
      </c>
      <c r="AG8" s="116">
        <f t="shared" si="9"/>
        <v>-2.5406797599465731</v>
      </c>
      <c r="AH8" s="116">
        <f t="shared" si="10"/>
        <v>-31.112271707789407</v>
      </c>
      <c r="AI8" s="116">
        <f t="shared" si="11"/>
        <v>-6.7911089441106478</v>
      </c>
      <c r="AJ8" s="116">
        <f t="shared" si="12"/>
        <v>-3.6923538418334987</v>
      </c>
      <c r="AK8" s="116" t="e">
        <f t="shared" si="13"/>
        <v>#VALUE!</v>
      </c>
      <c r="AL8" s="116"/>
      <c r="AX8" s="116"/>
    </row>
    <row r="9" spans="1:108">
      <c r="A9" s="113">
        <f>Gas!A9</f>
        <v>7.7881944444452529</v>
      </c>
      <c r="B9" s="181">
        <f>IF(HRT!B9="-", "-", 'Influent Concentration'!X9*HRT!B9/1000)</f>
        <v>241.64517968491108</v>
      </c>
      <c r="C9" s="181">
        <f>IF(HRT!B9="-", "-", 'Influent Concentration'!Y9*HRT!B9/1000)</f>
        <v>2.847168149481214</v>
      </c>
      <c r="D9" s="181">
        <f>IF(HRT!B9="-", "-", 'Influent Concentration'!Z9*HRT!B9/1000)</f>
        <v>32.276928077682399</v>
      </c>
      <c r="E9" s="181">
        <f>IF(HRT!B9="-", "-", 'Influent Concentration'!AA9*HRT!B9/1000)</f>
        <v>7.392443243026154</v>
      </c>
      <c r="F9" s="181">
        <f>IF(HRT!B9="-", "-", 'Influent Concentration'!AB9*HRT!B9/1000)</f>
        <v>3.8305733669835571</v>
      </c>
      <c r="G9" s="181">
        <f>IF(HRT!B9="-", "-", 'Influent Concentration'!AC9*HRT!B9/1000)</f>
        <v>5.7312963075616024</v>
      </c>
      <c r="H9" s="181">
        <f>IF(HRT!B9="-", "-", 'Influent Concentration'!AD9*HRT!B9/1000)</f>
        <v>1.5218638985948627</v>
      </c>
      <c r="I9" s="181">
        <f>IF(HRT!B9="-", "-", 'Influent Concentration'!AE9*HRT!B9/1000)</f>
        <v>0.70551651245410962</v>
      </c>
      <c r="J9" s="182" t="s">
        <v>164</v>
      </c>
      <c r="K9">
        <f>IF(HRT!D9="-", "-", 'Effluent Concentration'!AK9*HRT!D9/1000)</f>
        <v>20.805632595386228</v>
      </c>
      <c r="L9">
        <f>IF(HRT!D9="-", "-", 'Effluent Concentration'!AL9*HRT!D9/1000)</f>
        <v>0.12505979524238106</v>
      </c>
      <c r="M9">
        <f>IF(HRT!D9="-", "-", 'Effluent Concentration'!AM9*HRT!D9/1000)</f>
        <v>0</v>
      </c>
      <c r="N9">
        <f>IF(HRT!D9="-", "-", 'Effluent Concentration'!AN9*HRT!D9/1000)</f>
        <v>6.5342496145036106</v>
      </c>
      <c r="O9">
        <f>IF(HRT!D9="-", "-", 'Effluent Concentration'!AO9*HRT!D9/1000)</f>
        <v>103.15581634772427</v>
      </c>
      <c r="P9">
        <f>IF(HRT!D9="-", "-", 'Effluent Concentration'!AP9*HRT!D9/1000)</f>
        <v>0.99312074484584267</v>
      </c>
      <c r="Q9">
        <f>IF(HRT!D9="-", "-", 'Effluent Concentration'!AQ9*HRT!D9/1000)</f>
        <v>0.20636987369416024</v>
      </c>
      <c r="R9">
        <f>IF(HRT!D9="-", "-", 'Effluent Concentration'!AR9*HRT!D9/1000)</f>
        <v>112.14573399432653</v>
      </c>
      <c r="S9">
        <f>IF(HRT!D9="-", "-", 'Effluent Concentration'!AS9*HRT!D9/1000)</f>
        <v>0.16984101711330932</v>
      </c>
      <c r="T9">
        <f>IF(HRT!D9="-", "-", 'Effluent Concentration'!AT9*HRT!D9/1000)</f>
        <v>0.93705388752170637</v>
      </c>
      <c r="U9">
        <f>IF(HRT!D9="-", "-", 'Effluent Concentration'!AU9*HRT!D9/1000)</f>
        <v>1.6065561414303906</v>
      </c>
      <c r="V9" s="113" t="str">
        <f>Gas!T9</f>
        <v>-</v>
      </c>
      <c r="W9" s="113" t="s">
        <v>164</v>
      </c>
      <c r="X9" s="116">
        <f t="shared" si="0"/>
        <v>97.424520040162662</v>
      </c>
      <c r="Y9" s="116">
        <f t="shared" si="1"/>
        <v>-0.52874315374902003</v>
      </c>
      <c r="Z9" s="116">
        <f t="shared" si="2"/>
        <v>0.20636987369416024</v>
      </c>
      <c r="AA9" s="116">
        <f t="shared" si="3"/>
        <v>111.44021748187242</v>
      </c>
      <c r="AB9" s="116">
        <f t="shared" si="4"/>
        <v>0.16984101711330932</v>
      </c>
      <c r="AC9" s="116">
        <f t="shared" si="5"/>
        <v>0.93705388752170637</v>
      </c>
      <c r="AD9" s="116">
        <f t="shared" si="6"/>
        <v>1.6065561414303906</v>
      </c>
      <c r="AE9" s="116" t="e">
        <f t="shared" si="7"/>
        <v>#VALUE!</v>
      </c>
      <c r="AF9" s="116">
        <f t="shared" si="8"/>
        <v>-220.83954708952484</v>
      </c>
      <c r="AG9" s="116">
        <f t="shared" si="9"/>
        <v>-2.7221083542388329</v>
      </c>
      <c r="AH9" s="116">
        <f t="shared" si="10"/>
        <v>-32.276928077682399</v>
      </c>
      <c r="AI9" s="116">
        <f t="shared" si="11"/>
        <v>-0.85819362852254333</v>
      </c>
      <c r="AJ9" s="116">
        <f t="shared" si="12"/>
        <v>-3.8305733669835571</v>
      </c>
      <c r="AK9" s="116" t="e">
        <f t="shared" si="13"/>
        <v>#VALUE!</v>
      </c>
      <c r="AL9" s="116"/>
      <c r="AN9" s="255"/>
      <c r="AO9" s="256"/>
      <c r="AP9" s="256"/>
      <c r="AQ9" s="256"/>
      <c r="AR9" s="256"/>
      <c r="AS9" s="256"/>
      <c r="AT9" s="256"/>
      <c r="AU9" s="256"/>
      <c r="AV9" s="256"/>
      <c r="AW9" s="256"/>
      <c r="AX9" s="257"/>
    </row>
    <row r="10" spans="1:108">
      <c r="A10" s="113">
        <f>Gas!A10</f>
        <v>10.788194444445253</v>
      </c>
      <c r="B10" s="181">
        <f>IF(HRT!B10="-", "-", 'Influent Concentration'!X10*HRT!B10/1000)</f>
        <v>241.64517968491108</v>
      </c>
      <c r="C10" s="181">
        <f>IF(HRT!B10="-", "-", 'Influent Concentration'!Y10*HRT!B10/1000)</f>
        <v>2.847168149481214</v>
      </c>
      <c r="D10" s="181">
        <f>IF(HRT!B10="-", "-", 'Influent Concentration'!Z10*HRT!B10/1000)</f>
        <v>32.276928077682399</v>
      </c>
      <c r="E10" s="181">
        <f>IF(HRT!B10="-", "-", 'Influent Concentration'!AA10*HRT!B10/1000)</f>
        <v>7.392443243026154</v>
      </c>
      <c r="F10" s="181">
        <f>IF(HRT!B10="-", "-", 'Influent Concentration'!AB10*HRT!B10/1000)</f>
        <v>3.8305733669835571</v>
      </c>
      <c r="G10" s="181">
        <f>IF(HRT!B10="-", "-", 'Influent Concentration'!AC10*HRT!B10/1000)</f>
        <v>5.7312963075616024</v>
      </c>
      <c r="H10" s="181">
        <f>IF(HRT!B10="-", "-", 'Influent Concentration'!AD10*HRT!B10/1000)</f>
        <v>1.5218638985948627</v>
      </c>
      <c r="I10" s="181">
        <f>IF(HRT!B10="-", "-", 'Influent Concentration'!AE10*HRT!B10/1000)</f>
        <v>0.70551651245410962</v>
      </c>
      <c r="J10" s="182" t="s">
        <v>164</v>
      </c>
      <c r="K10">
        <f>IF(HRT!D10="-", "-", 'Effluent Concentration'!AK10*HRT!D10/1000)</f>
        <v>3.4955822874429483</v>
      </c>
      <c r="L10">
        <f>IF(HRT!D10="-", "-", 'Effluent Concentration'!AL10*HRT!D10/1000)</f>
        <v>4.8401217735447852E-2</v>
      </c>
      <c r="M10">
        <f>IF(HRT!D10="-", "-", 'Effluent Concentration'!AM10*HRT!D10/1000)</f>
        <v>0</v>
      </c>
      <c r="N10">
        <f>IF(HRT!D10="-", "-", 'Effluent Concentration'!AN10*HRT!D10/1000)</f>
        <v>0</v>
      </c>
      <c r="O10">
        <f>IF(HRT!D10="-", "-", 'Effluent Concentration'!AO10*HRT!D10/1000)</f>
        <v>114.73998139357741</v>
      </c>
      <c r="P10">
        <f>IF(HRT!D10="-", "-", 'Effluent Concentration'!AP10*HRT!D10/1000)</f>
        <v>2.756157949613804</v>
      </c>
      <c r="Q10">
        <f>IF(HRT!D10="-", "-", 'Effluent Concentration'!AQ10*HRT!D10/1000)</f>
        <v>0.13662011085380946</v>
      </c>
      <c r="R10">
        <f>IF(HRT!D10="-", "-", 'Effluent Concentration'!AR10*HRT!D10/1000)</f>
        <v>134.43944369979675</v>
      </c>
      <c r="S10">
        <f>IF(HRT!D10="-", "-", 'Effluent Concentration'!AS10*HRT!D10/1000)</f>
        <v>0.15866502303117458</v>
      </c>
      <c r="T10">
        <f>IF(HRT!D10="-", "-", 'Effluent Concentration'!AT10*HRT!D10/1000)</f>
        <v>1.3373194798341856</v>
      </c>
      <c r="U10">
        <f>IF(HRT!D10="-", "-", 'Effluent Concentration'!AU10*HRT!D10/1000)</f>
        <v>1.7158646975442364</v>
      </c>
      <c r="V10" s="113" t="str">
        <f>Gas!T10</f>
        <v>-</v>
      </c>
      <c r="W10" s="113" t="s">
        <v>164</v>
      </c>
      <c r="X10" s="116">
        <f t="shared" si="0"/>
        <v>109.0086850860158</v>
      </c>
      <c r="Y10" s="116">
        <f t="shared" si="1"/>
        <v>1.2342940510189413</v>
      </c>
      <c r="Z10" s="116">
        <f t="shared" si="2"/>
        <v>0.13662011085380946</v>
      </c>
      <c r="AA10" s="116">
        <f t="shared" si="3"/>
        <v>133.73392718734266</v>
      </c>
      <c r="AB10" s="116">
        <f t="shared" si="4"/>
        <v>0.15866502303117458</v>
      </c>
      <c r="AC10" s="116">
        <f t="shared" si="5"/>
        <v>1.3373194798341856</v>
      </c>
      <c r="AD10" s="116">
        <f t="shared" si="6"/>
        <v>1.7158646975442364</v>
      </c>
      <c r="AE10" s="116" t="e">
        <f t="shared" si="7"/>
        <v>#VALUE!</v>
      </c>
      <c r="AF10" s="116">
        <f t="shared" si="8"/>
        <v>-238.14959739746814</v>
      </c>
      <c r="AG10" s="116">
        <f t="shared" si="9"/>
        <v>-2.798766931745766</v>
      </c>
      <c r="AH10" s="116">
        <f t="shared" si="10"/>
        <v>-32.276928077682399</v>
      </c>
      <c r="AI10" s="116">
        <f t="shared" si="11"/>
        <v>-7.392443243026154</v>
      </c>
      <c r="AJ10" s="116">
        <f t="shared" si="12"/>
        <v>-3.8305733669835571</v>
      </c>
      <c r="AK10" s="116" t="e">
        <f t="shared" si="13"/>
        <v>#VALUE!</v>
      </c>
      <c r="AL10" s="116"/>
      <c r="AN10" s="258"/>
      <c r="AO10" s="156" t="s">
        <v>291</v>
      </c>
      <c r="AP10" s="156"/>
      <c r="AQ10" s="156"/>
      <c r="AR10" s="156" t="s">
        <v>288</v>
      </c>
      <c r="AS10" s="156"/>
      <c r="AT10" s="156"/>
      <c r="AU10" s="156"/>
      <c r="AV10" s="156"/>
      <c r="AW10" s="156"/>
      <c r="AX10" s="259"/>
    </row>
    <row r="11" spans="1:108">
      <c r="A11" s="113">
        <f>Gas!A11</f>
        <v>12.790972222224809</v>
      </c>
      <c r="B11" s="181">
        <f>IF(HRT!B11="-", "-", 'Influent Concentration'!X11*HRT!B11/1000)</f>
        <v>241.64517968491108</v>
      </c>
      <c r="C11" s="181">
        <f>IF(HRT!B11="-", "-", 'Influent Concentration'!Y11*HRT!B11/1000)</f>
        <v>2.847168149481214</v>
      </c>
      <c r="D11" s="181">
        <f>IF(HRT!B11="-", "-", 'Influent Concentration'!Z11*HRT!B11/1000)</f>
        <v>32.276928077682399</v>
      </c>
      <c r="E11" s="181">
        <f>IF(HRT!B11="-", "-", 'Influent Concentration'!AA11*HRT!B11/1000)</f>
        <v>7.392443243026154</v>
      </c>
      <c r="F11" s="181">
        <f>IF(HRT!B11="-", "-", 'Influent Concentration'!AB11*HRT!B11/1000)</f>
        <v>3.8305733669835571</v>
      </c>
      <c r="G11" s="181">
        <f>IF(HRT!B11="-", "-", 'Influent Concentration'!AC11*HRT!B11/1000)</f>
        <v>5.7312963075616024</v>
      </c>
      <c r="H11" s="181">
        <f>IF(HRT!B11="-", "-", 'Influent Concentration'!AD11*HRT!B11/1000)</f>
        <v>1.5218638985948627</v>
      </c>
      <c r="I11" s="181">
        <f>IF(HRT!B11="-", "-", 'Influent Concentration'!AE11*HRT!B11/1000)</f>
        <v>0.70551651245410962</v>
      </c>
      <c r="J11" s="182" t="s">
        <v>164</v>
      </c>
      <c r="K11">
        <f>IF(HRT!D11="-", "-", 'Effluent Concentration'!AK11*HRT!D11/1000)</f>
        <v>13.073625453218042</v>
      </c>
      <c r="L11">
        <f>IF(HRT!D11="-", "-", 'Effluent Concentration'!AL11*HRT!D11/1000)</f>
        <v>0.1503347245521493</v>
      </c>
      <c r="M11">
        <f>IF(HRT!D11="-", "-", 'Effluent Concentration'!AM11*HRT!D11/1000)</f>
        <v>0</v>
      </c>
      <c r="N11">
        <f>IF(HRT!D11="-", "-", 'Effluent Concentration'!AN11*HRT!D11/1000)</f>
        <v>0.31058288301103765</v>
      </c>
      <c r="O11">
        <f>IF(HRT!D11="-", "-", 'Effluent Concentration'!AO11*HRT!D11/1000)</f>
        <v>115.71419233545198</v>
      </c>
      <c r="P11">
        <f>IF(HRT!D11="-", "-", 'Effluent Concentration'!AP11*HRT!D11/1000)</f>
        <v>6.1958694373060368</v>
      </c>
      <c r="Q11">
        <f>IF(HRT!D11="-", "-", 'Effluent Concentration'!AQ11*HRT!D11/1000)</f>
        <v>0.16787219140612591</v>
      </c>
      <c r="R11">
        <f>IF(HRT!D11="-", "-", 'Effluent Concentration'!AR11*HRT!D11/1000)</f>
        <v>124.20443761660741</v>
      </c>
      <c r="S11">
        <f>IF(HRT!D11="-", "-", 'Effluent Concentration'!AS11*HRT!D11/1000)</f>
        <v>0.14143297360741364</v>
      </c>
      <c r="T11">
        <f>IF(HRT!D11="-", "-", 'Effluent Concentration'!AT11*HRT!D11/1000)</f>
        <v>1.6236505370131082</v>
      </c>
      <c r="U11">
        <f>IF(HRT!D11="-", "-", 'Effluent Concentration'!AU11*HRT!D11/1000)</f>
        <v>1.6175508017009572</v>
      </c>
      <c r="V11" s="113" t="str">
        <f>Gas!T11</f>
        <v>-</v>
      </c>
      <c r="W11" s="113" t="s">
        <v>164</v>
      </c>
      <c r="X11" s="116">
        <f t="shared" si="0"/>
        <v>109.98289602789038</v>
      </c>
      <c r="Y11" s="116">
        <f t="shared" si="1"/>
        <v>4.6740055387111745</v>
      </c>
      <c r="Z11" s="116">
        <f t="shared" si="2"/>
        <v>0.16787219140612591</v>
      </c>
      <c r="AA11" s="116">
        <f t="shared" si="3"/>
        <v>123.4989211041533</v>
      </c>
      <c r="AB11" s="116">
        <f t="shared" si="4"/>
        <v>0.14143297360741364</v>
      </c>
      <c r="AC11" s="116">
        <f t="shared" si="5"/>
        <v>1.6236505370131082</v>
      </c>
      <c r="AD11" s="116">
        <f t="shared" si="6"/>
        <v>1.6175508017009572</v>
      </c>
      <c r="AE11" s="116" t="e">
        <f t="shared" si="7"/>
        <v>#VALUE!</v>
      </c>
      <c r="AF11" s="116">
        <f t="shared" si="8"/>
        <v>-228.57155423169303</v>
      </c>
      <c r="AG11" s="116">
        <f t="shared" si="9"/>
        <v>-2.6968334249290646</v>
      </c>
      <c r="AH11" s="116">
        <f t="shared" si="10"/>
        <v>-32.276928077682399</v>
      </c>
      <c r="AI11" s="116">
        <f t="shared" si="11"/>
        <v>-7.0818603600151162</v>
      </c>
      <c r="AJ11" s="116">
        <f t="shared" si="12"/>
        <v>-3.8305733669835571</v>
      </c>
      <c r="AK11" s="116" t="e">
        <f t="shared" si="13"/>
        <v>#VALUE!</v>
      </c>
      <c r="AL11" s="116"/>
      <c r="AN11" s="258"/>
      <c r="AO11" s="156">
        <v>10.72</v>
      </c>
      <c r="AP11" s="156" t="s">
        <v>289</v>
      </c>
      <c r="AQ11" s="156"/>
      <c r="AR11" s="156">
        <v>32.5</v>
      </c>
      <c r="AS11" s="156" t="s">
        <v>286</v>
      </c>
      <c r="AT11" s="156">
        <v>52</v>
      </c>
      <c r="AU11" s="156" t="s">
        <v>287</v>
      </c>
      <c r="AV11" s="156">
        <f>AR11*AT11/1000</f>
        <v>1.69</v>
      </c>
      <c r="AW11" s="156" t="s">
        <v>289</v>
      </c>
      <c r="AX11" s="259"/>
    </row>
    <row r="12" spans="1:108">
      <c r="A12" s="113">
        <f>Gas!A12</f>
        <v>14.790277777778101</v>
      </c>
      <c r="B12" s="181">
        <f>IF(HRT!B12="-", "-", 'Influent Concentration'!X12*HRT!B12/1000)</f>
        <v>189.10539904831975</v>
      </c>
      <c r="C12" s="181">
        <f>IF(HRT!B12="-", "-", 'Influent Concentration'!Y12*HRT!B12/1000)</f>
        <v>0.17571625685945627</v>
      </c>
      <c r="D12" s="181">
        <f>IF(HRT!B12="-", "-", 'Influent Concentration'!Z12*HRT!B12/1000)</f>
        <v>27.64025959476615</v>
      </c>
      <c r="E12" s="181">
        <f>IF(HRT!B12="-", "-", 'Influent Concentration'!AA12*HRT!B12/1000)</f>
        <v>24.88871845398879</v>
      </c>
      <c r="F12" s="181">
        <f>IF(HRT!B12="-", "-", 'Influent Concentration'!AB12*HRT!B12/1000)</f>
        <v>3.968792892133616</v>
      </c>
      <c r="G12" s="181">
        <f>IF(HRT!B12="-", "-", 'Influent Concentration'!AC12*HRT!B12/1000)</f>
        <v>9.6175656095927202</v>
      </c>
      <c r="H12" s="181">
        <f>IF(HRT!B12="-", "-", 'Influent Concentration'!AD12*HRT!B12/1000)</f>
        <v>1.2693118413919429</v>
      </c>
      <c r="I12" s="181">
        <f>IF(HRT!B12="-", "-", 'Influent Concentration'!AE12*HRT!B12/1000)</f>
        <v>0.76609179931206994</v>
      </c>
      <c r="J12" s="182">
        <f>Gas!W12-Gas!S12</f>
        <v>22.724337561611151</v>
      </c>
      <c r="K12">
        <f>IF(HRT!D12="-", "-", 'Effluent Concentration'!AK12*HRT!D12/1000)</f>
        <v>1.8154247035801314</v>
      </c>
      <c r="L12">
        <f>IF(HRT!D12="-", "-", 'Effluent Concentration'!AL12*HRT!D12/1000)</f>
        <v>0.122425168084182</v>
      </c>
      <c r="M12">
        <f>IF(HRT!D12="-", "-", 'Effluent Concentration'!AM12*HRT!D12/1000)</f>
        <v>0</v>
      </c>
      <c r="N12">
        <f>IF(HRT!D12="-", "-", 'Effluent Concentration'!AN12*HRT!D12/1000)</f>
        <v>0</v>
      </c>
      <c r="O12">
        <f>IF(HRT!D12="-", "-", 'Effluent Concentration'!AO12*HRT!D12/1000)</f>
        <v>129.6206723557388</v>
      </c>
      <c r="P12">
        <f>IF(HRT!D12="-", "-", 'Effluent Concentration'!AP12*HRT!D12/1000)</f>
        <v>7.6099879529453016</v>
      </c>
      <c r="Q12">
        <f>IF(HRT!D12="-", "-", 'Effluent Concentration'!AQ12*HRT!D12/1000)</f>
        <v>0.20661370774855536</v>
      </c>
      <c r="R12">
        <f>IF(HRT!D12="-", "-", 'Effluent Concentration'!AR12*HRT!D12/1000)</f>
        <v>131.6890526755266</v>
      </c>
      <c r="S12">
        <f>IF(HRT!D12="-", "-", 'Effluent Concentration'!AS12*HRT!D12/1000)</f>
        <v>0.14072415798537374</v>
      </c>
      <c r="T12">
        <f>IF(HRT!D12="-", "-", 'Effluent Concentration'!AT12*HRT!D12/1000)</f>
        <v>2.069817823701539</v>
      </c>
      <c r="U12">
        <f>IF(HRT!D12="-", "-", 'Effluent Concentration'!AU12*HRT!D12/1000)</f>
        <v>1.014563513183359</v>
      </c>
      <c r="V12" s="113" t="str">
        <f>Gas!T12</f>
        <v>-</v>
      </c>
      <c r="W12" s="113">
        <f>Gas!U12+Gas!O12</f>
        <v>17.554786676557022</v>
      </c>
      <c r="X12" s="116">
        <f t="shared" si="0"/>
        <v>120.00310674614609</v>
      </c>
      <c r="Y12" s="116">
        <f t="shared" si="1"/>
        <v>6.3406761115533588</v>
      </c>
      <c r="Z12" s="116">
        <f t="shared" si="2"/>
        <v>0.20661370774855536</v>
      </c>
      <c r="AA12" s="116">
        <f t="shared" si="3"/>
        <v>130.92296087621452</v>
      </c>
      <c r="AB12" s="116">
        <f t="shared" si="4"/>
        <v>0.14072415798537374</v>
      </c>
      <c r="AC12" s="116">
        <f t="shared" si="5"/>
        <v>2.069817823701539</v>
      </c>
      <c r="AD12" s="116">
        <f t="shared" si="6"/>
        <v>1.014563513183359</v>
      </c>
      <c r="AE12" s="116">
        <f t="shared" si="7"/>
        <v>-5.1695508850541287</v>
      </c>
      <c r="AF12" s="116">
        <f t="shared" si="8"/>
        <v>-187.28997434473962</v>
      </c>
      <c r="AG12" s="116">
        <f t="shared" si="9"/>
        <v>-5.3291088775274276E-2</v>
      </c>
      <c r="AH12" s="116">
        <f t="shared" si="10"/>
        <v>-27.64025959476615</v>
      </c>
      <c r="AI12" s="116">
        <f t="shared" si="11"/>
        <v>-24.88871845398879</v>
      </c>
      <c r="AJ12" s="116">
        <f t="shared" si="12"/>
        <v>-3.968792892133616</v>
      </c>
      <c r="AK12" s="116">
        <f t="shared" si="13"/>
        <v>-11.687875677075228</v>
      </c>
      <c r="AL12" s="116"/>
      <c r="AN12" s="258"/>
      <c r="AO12" s="156">
        <f>AO11*1000</f>
        <v>10720</v>
      </c>
      <c r="AP12" s="156" t="s">
        <v>273</v>
      </c>
      <c r="AQ12" s="156"/>
      <c r="AR12" s="156">
        <v>39</v>
      </c>
      <c r="AS12" s="156" t="s">
        <v>286</v>
      </c>
      <c r="AT12" s="156">
        <v>28</v>
      </c>
      <c r="AU12" s="156" t="s">
        <v>287</v>
      </c>
      <c r="AV12" s="156">
        <f t="shared" ref="AV12:AV13" si="14">AR12*AT12/1000</f>
        <v>1.0920000000000001</v>
      </c>
      <c r="AW12" s="156" t="s">
        <v>289</v>
      </c>
      <c r="AX12" s="259"/>
    </row>
    <row r="13" spans="1:108">
      <c r="A13" s="113">
        <f>Gas!A13</f>
        <v>17.790277777778101</v>
      </c>
      <c r="B13" s="181">
        <f>IF(HRT!B13="-", "-", 'Influent Concentration'!X13*HRT!B13/1000)</f>
        <v>176.12406061129943</v>
      </c>
      <c r="C13" s="181">
        <f>IF(HRT!B13="-", "-", 'Influent Concentration'!Y13*HRT!B13/1000)</f>
        <v>0.16365403012950364</v>
      </c>
      <c r="D13" s="181">
        <f>IF(HRT!B13="-", "-", 'Influent Concentration'!Z13*HRT!B13/1000)</f>
        <v>25.742864987883049</v>
      </c>
      <c r="E13" s="181">
        <f>IF(HRT!B13="-", "-", 'Influent Concentration'!AA13*HRT!B13/1000)</f>
        <v>23.180206274321264</v>
      </c>
      <c r="F13" s="181">
        <f>IF(HRT!B13="-", "-", 'Influent Concentration'!AB13*HRT!B13/1000)</f>
        <v>3.6963509418852101</v>
      </c>
      <c r="G13" s="181">
        <f>IF(HRT!B13="-", "-", 'Influent Concentration'!AC13*HRT!B13/1000)</f>
        <v>8.9573577321514755</v>
      </c>
      <c r="H13" s="181">
        <f>IF(HRT!B13="-", "-", 'Influent Concentration'!AD13*HRT!B13/1000)</f>
        <v>1.1821785988819495</v>
      </c>
      <c r="I13" s="181">
        <f>IF(HRT!B13="-", "-", 'Influent Concentration'!AE13*HRT!B13/1000)</f>
        <v>0.71350262432952627</v>
      </c>
      <c r="J13" s="182">
        <f>Gas!W13-Gas!S13</f>
        <v>16.93960096496096</v>
      </c>
      <c r="K13">
        <f>IF(HRT!D13="-", "-", 'Effluent Concentration'!AK13*HRT!D13/1000)</f>
        <v>1.3512496690374551</v>
      </c>
      <c r="L13">
        <f>IF(HRT!D13="-", "-", 'Effluent Concentration'!AL13*HRT!D13/1000)</f>
        <v>0.46574240628577557</v>
      </c>
      <c r="M13">
        <f>IF(HRT!D13="-", "-", 'Effluent Concentration'!AM13*HRT!D13/1000)</f>
        <v>0</v>
      </c>
      <c r="N13">
        <f>IF(HRT!D13="-", "-", 'Effluent Concentration'!AN13*HRT!D13/1000)</f>
        <v>0</v>
      </c>
      <c r="O13">
        <f>IF(HRT!D13="-", "-", 'Effluent Concentration'!AO13*HRT!D13/1000)</f>
        <v>121.88437761498834</v>
      </c>
      <c r="P13">
        <f>IF(HRT!D13="-", "-", 'Effluent Concentration'!AP13*HRT!D13/1000)</f>
        <v>6.5403502333804209</v>
      </c>
      <c r="Q13">
        <f>IF(HRT!D13="-", "-", 'Effluent Concentration'!AQ13*HRT!D13/1000)</f>
        <v>9.6605945385143402E-2</v>
      </c>
      <c r="R13">
        <f>IF(HRT!D13="-", "-", 'Effluent Concentration'!AR13*HRT!D13/1000)</f>
        <v>119.74052704316458</v>
      </c>
      <c r="S13">
        <f>IF(HRT!D13="-", "-", 'Effluent Concentration'!AS13*HRT!D13/1000)</f>
        <v>8.2247630547157877E-2</v>
      </c>
      <c r="T13">
        <f>IF(HRT!D13="-", "-", 'Effluent Concentration'!AT13*HRT!D13/1000)</f>
        <v>2.3851812858675787</v>
      </c>
      <c r="U13">
        <f>IF(HRT!D13="-", "-", 'Effluent Concentration'!AU13*HRT!D13/1000)</f>
        <v>0.57272389825781156</v>
      </c>
      <c r="V13" s="113" t="str">
        <f>Gas!T13</f>
        <v>-</v>
      </c>
      <c r="W13" s="113">
        <f>Gas!U13+Gas!O13</f>
        <v>17.534983404937083</v>
      </c>
      <c r="X13" s="116">
        <f t="shared" si="0"/>
        <v>112.92701988283686</v>
      </c>
      <c r="Y13" s="116">
        <f t="shared" si="1"/>
        <v>5.3581716344984711</v>
      </c>
      <c r="Z13" s="116">
        <f t="shared" si="2"/>
        <v>9.6605945385143402E-2</v>
      </c>
      <c r="AA13" s="116">
        <f t="shared" si="3"/>
        <v>119.02702441883505</v>
      </c>
      <c r="AB13" s="116">
        <f t="shared" si="4"/>
        <v>8.2247630547157877E-2</v>
      </c>
      <c r="AC13" s="116">
        <f t="shared" si="5"/>
        <v>2.3851812858675787</v>
      </c>
      <c r="AD13" s="116">
        <f t="shared" si="6"/>
        <v>0.57272389825781156</v>
      </c>
      <c r="AE13" s="116">
        <f t="shared" si="7"/>
        <v>0.59538243997612383</v>
      </c>
      <c r="AF13" s="116">
        <f t="shared" si="8"/>
        <v>-174.77281094226197</v>
      </c>
      <c r="AG13" s="116">
        <f t="shared" si="9"/>
        <v>0.30208837615627193</v>
      </c>
      <c r="AH13" s="116">
        <f t="shared" si="10"/>
        <v>-25.742864987883049</v>
      </c>
      <c r="AI13" s="116">
        <f t="shared" si="11"/>
        <v>-23.180206274321264</v>
      </c>
      <c r="AJ13" s="116">
        <f t="shared" si="12"/>
        <v>-3.6963509418852101</v>
      </c>
      <c r="AK13" s="116">
        <f t="shared" si="13"/>
        <v>-13.954212366008992</v>
      </c>
      <c r="AL13" s="116"/>
      <c r="AN13" s="258" t="s">
        <v>292</v>
      </c>
      <c r="AO13" s="156">
        <f>AO12/AR11</f>
        <v>329.84615384615387</v>
      </c>
      <c r="AP13" s="156" t="s">
        <v>96</v>
      </c>
      <c r="AQ13" s="156"/>
      <c r="AR13" s="156">
        <v>13.6</v>
      </c>
      <c r="AS13" s="156" t="s">
        <v>286</v>
      </c>
      <c r="AT13" s="156">
        <v>80</v>
      </c>
      <c r="AU13" s="156" t="s">
        <v>287</v>
      </c>
      <c r="AV13" s="156">
        <f t="shared" si="14"/>
        <v>1.0880000000000001</v>
      </c>
      <c r="AW13" s="156" t="s">
        <v>289</v>
      </c>
      <c r="AX13" s="259"/>
    </row>
    <row r="14" spans="1:108">
      <c r="A14" s="113">
        <f>Gas!A14</f>
        <v>19.788194444445253</v>
      </c>
      <c r="B14" s="181">
        <f>IF(HRT!B14="-", "-", 'Influent Concentration'!X14*HRT!B14/1000)</f>
        <v>176.12406061129943</v>
      </c>
      <c r="C14" s="181">
        <f>IF(HRT!B14="-", "-", 'Influent Concentration'!Y14*HRT!B14/1000)</f>
        <v>0.16365403012950364</v>
      </c>
      <c r="D14" s="181">
        <f>IF(HRT!B14="-", "-", 'Influent Concentration'!Z14*HRT!B14/1000)</f>
        <v>25.742864987883049</v>
      </c>
      <c r="E14" s="181">
        <f>IF(HRT!B14="-", "-", 'Influent Concentration'!AA14*HRT!B14/1000)</f>
        <v>23.180206274321264</v>
      </c>
      <c r="F14" s="181">
        <f>IF(HRT!B14="-", "-", 'Influent Concentration'!AB14*HRT!B14/1000)</f>
        <v>3.6963509418852101</v>
      </c>
      <c r="G14" s="181">
        <f>IF(HRT!B14="-", "-", 'Influent Concentration'!AC14*HRT!B14/1000)</f>
        <v>8.9573577321514755</v>
      </c>
      <c r="H14" s="181">
        <f>IF(HRT!B14="-", "-", 'Influent Concentration'!AD14*HRT!B14/1000)</f>
        <v>1.1821785988819495</v>
      </c>
      <c r="I14" s="181">
        <f>IF(HRT!B14="-", "-", 'Influent Concentration'!AE14*HRT!B14/1000)</f>
        <v>0.71350262432952627</v>
      </c>
      <c r="J14" s="182">
        <f>Gas!W14-Gas!S14</f>
        <v>15.401866695026342</v>
      </c>
      <c r="K14">
        <f>IF(HRT!D14="-", "-", 'Effluent Concentration'!AK14*HRT!D14/1000)</f>
        <v>0.58429150091930071</v>
      </c>
      <c r="L14">
        <f>IF(HRT!D14="-", "-", 'Effluent Concentration'!AL14*HRT!D14/1000)</f>
        <v>0.21820100471232567</v>
      </c>
      <c r="M14">
        <f>IF(HRT!D14="-", "-", 'Effluent Concentration'!AM14*HRT!D14/1000)</f>
        <v>0</v>
      </c>
      <c r="N14">
        <f>IF(HRT!D14="-", "-", 'Effluent Concentration'!AN14*HRT!D14/1000)</f>
        <v>0</v>
      </c>
      <c r="O14">
        <f>IF(HRT!D14="-", "-", 'Effluent Concentration'!AO14*HRT!D14/1000)</f>
        <v>121.60186740366629</v>
      </c>
      <c r="P14">
        <f>IF(HRT!D14="-", "-", 'Effluent Concentration'!AP14*HRT!D14/1000)</f>
        <v>5.5877325737798431</v>
      </c>
      <c r="Q14">
        <f>IF(HRT!D14="-", "-", 'Effluent Concentration'!AQ14*HRT!D14/1000)</f>
        <v>5.0761560213380783E-2</v>
      </c>
      <c r="R14">
        <f>IF(HRT!D14="-", "-", 'Effluent Concentration'!AR14*HRT!D14/1000)</f>
        <v>119.25413340929548</v>
      </c>
      <c r="S14">
        <f>IF(HRT!D14="-", "-", 'Effluent Concentration'!AS14*HRT!D14/1000)</f>
        <v>3.831906331734905E-2</v>
      </c>
      <c r="T14">
        <f>IF(HRT!D14="-", "-", 'Effluent Concentration'!AT14*HRT!D14/1000)</f>
        <v>2.1622900014789814</v>
      </c>
      <c r="U14">
        <f>IF(HRT!D14="-", "-", 'Effluent Concentration'!AU14*HRT!D14/1000)</f>
        <v>0.56600581727698362</v>
      </c>
      <c r="V14" s="113" t="str">
        <f>Gas!T14</f>
        <v>-</v>
      </c>
      <c r="W14" s="113">
        <f>Gas!U14+Gas!O14</f>
        <v>17.544617431794777</v>
      </c>
      <c r="X14" s="116">
        <f t="shared" si="0"/>
        <v>112.64450967151481</v>
      </c>
      <c r="Y14" s="116">
        <f t="shared" si="1"/>
        <v>4.4055539748978934</v>
      </c>
      <c r="Z14" s="116">
        <f t="shared" si="2"/>
        <v>5.0761560213380783E-2</v>
      </c>
      <c r="AA14" s="116">
        <f t="shared" si="3"/>
        <v>118.54063078496596</v>
      </c>
      <c r="AB14" s="116">
        <f t="shared" si="4"/>
        <v>3.831906331734905E-2</v>
      </c>
      <c r="AC14" s="116">
        <f t="shared" si="5"/>
        <v>2.1622900014789814</v>
      </c>
      <c r="AD14" s="116">
        <f t="shared" si="6"/>
        <v>0.56600581727698362</v>
      </c>
      <c r="AE14" s="116">
        <f t="shared" si="7"/>
        <v>2.1427507367684342</v>
      </c>
      <c r="AF14" s="116">
        <f t="shared" si="8"/>
        <v>-175.53976911038012</v>
      </c>
      <c r="AG14" s="116">
        <f t="shared" si="9"/>
        <v>5.4546974582822039E-2</v>
      </c>
      <c r="AH14" s="116">
        <f t="shared" si="10"/>
        <v>-25.742864987883049</v>
      </c>
      <c r="AI14" s="116">
        <f t="shared" si="11"/>
        <v>-23.180206274321264</v>
      </c>
      <c r="AJ14" s="116">
        <f t="shared" si="12"/>
        <v>-3.6963509418852101</v>
      </c>
      <c r="AK14" s="116">
        <f t="shared" si="13"/>
        <v>-12.446177270546958</v>
      </c>
      <c r="AL14" s="116"/>
      <c r="AN14" s="258"/>
      <c r="AO14" s="156"/>
      <c r="AP14" s="156"/>
      <c r="AQ14" s="156"/>
      <c r="AR14" s="156"/>
      <c r="AS14" s="156"/>
      <c r="AT14" s="156"/>
      <c r="AU14" s="156"/>
      <c r="AV14" s="156">
        <f>SUM(AV11:AV13)</f>
        <v>3.87</v>
      </c>
      <c r="AW14" s="156" t="s">
        <v>289</v>
      </c>
      <c r="AX14" s="259"/>
    </row>
    <row r="15" spans="1:108">
      <c r="A15" s="113">
        <f>Gas!A15</f>
        <v>21.788194444445253</v>
      </c>
      <c r="B15" s="181">
        <f>IF(HRT!B15="-", "-", 'Influent Concentration'!X15*HRT!B15/1000)</f>
        <v>176.12406061129943</v>
      </c>
      <c r="C15" s="181">
        <f>IF(HRT!B15="-", "-", 'Influent Concentration'!Y15*HRT!B15/1000)</f>
        <v>0.16365403012950364</v>
      </c>
      <c r="D15" s="181">
        <f>IF(HRT!B15="-", "-", 'Influent Concentration'!Z15*HRT!B15/1000)</f>
        <v>25.742864987883049</v>
      </c>
      <c r="E15" s="181">
        <f>IF(HRT!B15="-", "-", 'Influent Concentration'!AA15*HRT!B15/1000)</f>
        <v>23.180206274321264</v>
      </c>
      <c r="F15" s="181">
        <f>IF(HRT!B15="-", "-", 'Influent Concentration'!AB15*HRT!B15/1000)</f>
        <v>3.6963509418852101</v>
      </c>
      <c r="G15" s="181">
        <f>IF(HRT!B15="-", "-", 'Influent Concentration'!AC15*HRT!B15/1000)</f>
        <v>8.9573577321514755</v>
      </c>
      <c r="H15" s="181">
        <f>IF(HRT!B15="-", "-", 'Influent Concentration'!AD15*HRT!B15/1000)</f>
        <v>1.1821785988819495</v>
      </c>
      <c r="I15" s="181">
        <f>IF(HRT!B15="-", "-", 'Influent Concentration'!AE15*HRT!B15/1000)</f>
        <v>0.71350262432952627</v>
      </c>
      <c r="J15" s="182">
        <f>Gas!W15-Gas!S15</f>
        <v>20.54724322680579</v>
      </c>
      <c r="K15">
        <f>IF(HRT!D15="-", "-", 'Effluent Concentration'!AK15*HRT!D15/1000)</f>
        <v>0.64583539729042705</v>
      </c>
      <c r="L15">
        <f>IF(HRT!D15="-", "-", 'Effluent Concentration'!AL15*HRT!D15/1000)</f>
        <v>0.22199023969537152</v>
      </c>
      <c r="M15">
        <f>IF(HRT!D15="-", "-", 'Effluent Concentration'!AM15*HRT!D15/1000)</f>
        <v>7.2849232069241571E-2</v>
      </c>
      <c r="N15">
        <f>IF(HRT!D15="-", "-", 'Effluent Concentration'!AN15*HRT!D15/1000)</f>
        <v>0</v>
      </c>
      <c r="O15">
        <f>IF(HRT!D15="-", "-", 'Effluent Concentration'!AO15*HRT!D15/1000)</f>
        <v>125.61821953003125</v>
      </c>
      <c r="P15">
        <f>IF(HRT!D15="-", "-", 'Effluent Concentration'!AP15*HRT!D15/1000)</f>
        <v>5.5108204010673987</v>
      </c>
      <c r="Q15">
        <f>IF(HRT!D15="-", "-", 'Effluent Concentration'!AQ15*HRT!D15/1000)</f>
        <v>2.6132640518320524E-2</v>
      </c>
      <c r="R15">
        <f>IF(HRT!D15="-", "-", 'Effluent Concentration'!AR15*HRT!D15/1000)</f>
        <v>123.71192021372936</v>
      </c>
      <c r="S15">
        <f>IF(HRT!D15="-", "-", 'Effluent Concentration'!AS15*HRT!D15/1000)</f>
        <v>0.12399890588838459</v>
      </c>
      <c r="T15">
        <f>IF(HRT!D15="-", "-", 'Effluent Concentration'!AT15*HRT!D15/1000)</f>
        <v>2.2996160728391319</v>
      </c>
      <c r="U15">
        <f>IF(HRT!D15="-", "-", 'Effluent Concentration'!AU15*HRT!D15/1000)</f>
        <v>0.64223933692013402</v>
      </c>
      <c r="V15" s="113" t="str">
        <f>Gas!T15</f>
        <v>-</v>
      </c>
      <c r="W15" s="113">
        <f>Gas!U15+Gas!O15</f>
        <v>16.939408986222602</v>
      </c>
      <c r="X15" s="116">
        <f t="shared" si="0"/>
        <v>116.66086179787978</v>
      </c>
      <c r="Y15" s="116">
        <f t="shared" si="1"/>
        <v>4.3286418021854489</v>
      </c>
      <c r="Z15" s="116">
        <f t="shared" si="2"/>
        <v>2.6132640518320524E-2</v>
      </c>
      <c r="AA15" s="116">
        <f t="shared" si="3"/>
        <v>122.99841758939984</v>
      </c>
      <c r="AB15" s="116">
        <f t="shared" si="4"/>
        <v>0.12399890588838459</v>
      </c>
      <c r="AC15" s="116">
        <f t="shared" si="5"/>
        <v>2.2996160728391319</v>
      </c>
      <c r="AD15" s="116">
        <f t="shared" si="6"/>
        <v>0.64223933692013402</v>
      </c>
      <c r="AE15" s="116">
        <f t="shared" si="7"/>
        <v>-3.6078342405831876</v>
      </c>
      <c r="AF15" s="116">
        <f t="shared" si="8"/>
        <v>-175.478225214009</v>
      </c>
      <c r="AG15" s="116">
        <f t="shared" si="9"/>
        <v>5.833620956586788E-2</v>
      </c>
      <c r="AH15" s="116">
        <f t="shared" si="10"/>
        <v>-25.670015755813807</v>
      </c>
      <c r="AI15" s="116">
        <f t="shared" si="11"/>
        <v>-23.180206274321264</v>
      </c>
      <c r="AJ15" s="116">
        <f t="shared" si="12"/>
        <v>-3.6963509418852101</v>
      </c>
      <c r="AK15" s="116">
        <f t="shared" si="13"/>
        <v>-15.505611928584447</v>
      </c>
      <c r="AL15" s="116"/>
      <c r="AN15" s="258"/>
      <c r="AO15" s="156"/>
      <c r="AP15" s="156"/>
      <c r="AQ15" s="156"/>
      <c r="AR15" s="156"/>
      <c r="AS15" s="156"/>
      <c r="AT15" s="156"/>
      <c r="AU15" s="156"/>
      <c r="AV15" s="260">
        <f>AV14/AO11</f>
        <v>0.36100746268656714</v>
      </c>
      <c r="AW15" s="156" t="s">
        <v>290</v>
      </c>
      <c r="AX15" s="259"/>
    </row>
    <row r="16" spans="1:108">
      <c r="A16" s="113">
        <f>Gas!A16</f>
        <v>24.75</v>
      </c>
      <c r="B16" s="181">
        <f>IF(HRT!B16="-", "-", 'Influent Concentration'!X16*HRT!B16/1000)</f>
        <v>161.16355395715061</v>
      </c>
      <c r="C16" s="181">
        <f>IF(HRT!B16="-", "-", 'Influent Concentration'!Y16*HRT!B16/1000)</f>
        <v>9.6467511254259702E-2</v>
      </c>
      <c r="D16" s="181">
        <f>IF(HRT!B16="-", "-", 'Influent Concentration'!Z16*HRT!B16/1000)</f>
        <v>20.674635255771705</v>
      </c>
      <c r="E16" s="181">
        <f>IF(HRT!B16="-", "-", 'Influent Concentration'!AA16*HRT!B16/1000)</f>
        <v>19.998679804784675</v>
      </c>
      <c r="F16" s="181">
        <f>IF(HRT!B16="-", "-", 'Influent Concentration'!AB16*HRT!B16/1000)</f>
        <v>3.4239089916368037</v>
      </c>
      <c r="G16" s="181">
        <f>IF(HRT!B16="-", "-", 'Influent Concentration'!AC16*HRT!B16/1000)</f>
        <v>6.975072003071709</v>
      </c>
      <c r="H16" s="181">
        <f>IF(HRT!B16="-", "-", 'Influent Concentration'!AD16*HRT!B16/1000)</f>
        <v>0.93589342614970672</v>
      </c>
      <c r="I16" s="181">
        <f>IF(HRT!B16="-", "-", 'Influent Concentration'!AE16*HRT!B16/1000)</f>
        <v>0.29735494749906682</v>
      </c>
      <c r="J16" s="182">
        <f>Gas!W16-Gas!S16</f>
        <v>22.341449664627476</v>
      </c>
      <c r="K16">
        <f>IF(HRT!D16="-", "-", 'Effluent Concentration'!AK16*HRT!D16/1000)</f>
        <v>0</v>
      </c>
      <c r="L16">
        <f>IF(HRT!D16="-", "-", 'Effluent Concentration'!AL16*HRT!D16/1000)</f>
        <v>8.9836645703536069E-2</v>
      </c>
      <c r="M16">
        <f>IF(HRT!D16="-", "-", 'Effluent Concentration'!AM16*HRT!D16/1000)</f>
        <v>0</v>
      </c>
      <c r="N16">
        <f>IF(HRT!D16="-", "-", 'Effluent Concentration'!AN16*HRT!D16/1000)</f>
        <v>0</v>
      </c>
      <c r="O16">
        <f>IF(HRT!D16="-", "-", 'Effluent Concentration'!AO16*HRT!D16/1000)</f>
        <v>123.76254226139177</v>
      </c>
      <c r="P16">
        <f>IF(HRT!D16="-", "-", 'Effluent Concentration'!AP16*HRT!D16/1000)</f>
        <v>4.95905439199956</v>
      </c>
      <c r="Q16">
        <f>IF(HRT!D16="-", "-", 'Effluent Concentration'!AQ16*HRT!D16/1000)</f>
        <v>6.9157684280342718E-2</v>
      </c>
      <c r="R16">
        <f>IF(HRT!D16="-", "-", 'Effluent Concentration'!AR16*HRT!D16/1000)</f>
        <v>125.73398984353076</v>
      </c>
      <c r="S16">
        <f>IF(HRT!D16="-", "-", 'Effluent Concentration'!AS16*HRT!D16/1000)</f>
        <v>0.12621229199088449</v>
      </c>
      <c r="T16">
        <f>IF(HRT!D16="-", "-", 'Effluent Concentration'!AT16*HRT!D16/1000)</f>
        <v>2.2546104887462546</v>
      </c>
      <c r="U16">
        <f>IF(HRT!D16="-", "-", 'Effluent Concentration'!AU16*HRT!D16/1000)</f>
        <v>0.75054827725751316</v>
      </c>
      <c r="V16" s="113" t="str">
        <f>Gas!T16</f>
        <v>-</v>
      </c>
      <c r="W16" s="113">
        <f>Gas!U16+Gas!O16</f>
        <v>17.177100406364488</v>
      </c>
      <c r="X16" s="116">
        <f t="shared" si="0"/>
        <v>116.78747025832007</v>
      </c>
      <c r="Y16" s="116">
        <f t="shared" si="1"/>
        <v>4.0231609658498533</v>
      </c>
      <c r="Z16" s="116">
        <f t="shared" si="2"/>
        <v>6.9157684280342718E-2</v>
      </c>
      <c r="AA16" s="116">
        <f t="shared" si="3"/>
        <v>125.43663489603169</v>
      </c>
      <c r="AB16" s="116">
        <f t="shared" si="4"/>
        <v>0.12621229199088449</v>
      </c>
      <c r="AC16" s="116">
        <f t="shared" si="5"/>
        <v>2.2546104887462546</v>
      </c>
      <c r="AD16" s="116">
        <f t="shared" si="6"/>
        <v>0.75054827725751316</v>
      </c>
      <c r="AE16" s="116">
        <f t="shared" si="7"/>
        <v>-5.1643492582629875</v>
      </c>
      <c r="AF16" s="116">
        <f t="shared" si="8"/>
        <v>-161.16355395715061</v>
      </c>
      <c r="AG16" s="116">
        <f t="shared" si="9"/>
        <v>-6.630865550723633E-3</v>
      </c>
      <c r="AH16" s="116">
        <f t="shared" si="10"/>
        <v>-20.674635255771705</v>
      </c>
      <c r="AI16" s="116">
        <f t="shared" si="11"/>
        <v>-19.998679804784675</v>
      </c>
      <c r="AJ16" s="116">
        <f t="shared" si="12"/>
        <v>-3.4239089916368037</v>
      </c>
      <c r="AK16" s="116">
        <f t="shared" si="13"/>
        <v>-39.016036729319111</v>
      </c>
      <c r="AL16" s="116"/>
      <c r="AN16" s="258"/>
      <c r="AO16" s="156"/>
      <c r="AP16" s="156"/>
      <c r="AQ16" s="156"/>
      <c r="AR16" s="156"/>
      <c r="AS16" s="156"/>
      <c r="AT16" s="156"/>
      <c r="AU16" s="156"/>
      <c r="AV16" s="156"/>
      <c r="AW16" s="156"/>
      <c r="AX16" s="259"/>
    </row>
    <row r="17" spans="1:108">
      <c r="A17" s="113">
        <f>Gas!A17</f>
        <v>26.75</v>
      </c>
      <c r="B17" s="181">
        <f>IF(HRT!B17="-", "-", 'Influent Concentration'!X17*HRT!B17/1000)</f>
        <v>192.6280708326729</v>
      </c>
      <c r="C17" s="181">
        <f>IF(HRT!B17="-", "-", 'Influent Concentration'!Y17*HRT!B17/1000)</f>
        <v>0.11530119642234868</v>
      </c>
      <c r="D17" s="181">
        <f>IF(HRT!B17="-", "-", 'Influent Concentration'!Z17*HRT!B17/1000)</f>
        <v>24.711015652753108</v>
      </c>
      <c r="E17" s="181">
        <f>IF(HRT!B17="-", "-", 'Influent Concentration'!AA17*HRT!B17/1000)</f>
        <v>23.903091086091589</v>
      </c>
      <c r="F17" s="181">
        <f>IF(HRT!B17="-", "-", 'Influent Concentration'!AB17*HRT!B17/1000)</f>
        <v>4.0923705612808439</v>
      </c>
      <c r="G17" s="181">
        <f>IF(HRT!B17="-", "-", 'Influent Concentration'!AC17*HRT!B17/1000)</f>
        <v>8.3368393838467938</v>
      </c>
      <c r="H17" s="181">
        <f>IF(HRT!B17="-", "-", 'Influent Concentration'!AD17*HRT!B17/1000)</f>
        <v>1.1186111298596111</v>
      </c>
      <c r="I17" s="181">
        <f>IF(HRT!B17="-", "-", 'Influent Concentration'!AE17*HRT!B17/1000)</f>
        <v>0.35540858018386101</v>
      </c>
      <c r="J17" s="182">
        <f>Gas!W17-Gas!S17</f>
        <v>17.388699816282383</v>
      </c>
      <c r="K17">
        <f>IF(HRT!D17="-", "-", 'Effluent Concentration'!AK17*HRT!D17/1000)</f>
        <v>0.37845742074770117</v>
      </c>
      <c r="L17">
        <f>IF(HRT!D17="-", "-", 'Effluent Concentration'!AL17*HRT!D17/1000)</f>
        <v>0.13032427822753251</v>
      </c>
      <c r="M17">
        <f>IF(HRT!D17="-", "-", 'Effluent Concentration'!AM17*HRT!D17/1000)</f>
        <v>9.9931014907933408E-2</v>
      </c>
      <c r="N17">
        <f>IF(HRT!D17="-", "-", 'Effluent Concentration'!AN17*HRT!D17/1000)</f>
        <v>0</v>
      </c>
      <c r="O17">
        <f>IF(HRT!D17="-", "-", 'Effluent Concentration'!AO17*HRT!D17/1000)</f>
        <v>136.94785049481541</v>
      </c>
      <c r="P17">
        <f>IF(HRT!D17="-", "-", 'Effluent Concentration'!AP17*HRT!D17/1000)</f>
        <v>5.013789291211852</v>
      </c>
      <c r="Q17">
        <f>IF(HRT!D17="-", "-", 'Effluent Concentration'!AQ17*HRT!D17/1000)</f>
        <v>0.1658335532767084</v>
      </c>
      <c r="R17">
        <f>IF(HRT!D17="-", "-", 'Effluent Concentration'!AR17*HRT!D17/1000)</f>
        <v>139.87467956200078</v>
      </c>
      <c r="S17">
        <f>IF(HRT!D17="-", "-", 'Effluent Concentration'!AS17*HRT!D17/1000)</f>
        <v>0.15328776747294182</v>
      </c>
      <c r="T17">
        <f>IF(HRT!D17="-", "-", 'Effluent Concentration'!AT17*HRT!D17/1000)</f>
        <v>2.1843506864894211</v>
      </c>
      <c r="U17">
        <f>IF(HRT!D17="-", "-", 'Effluent Concentration'!AU17*HRT!D17/1000)</f>
        <v>0.74799244396232867</v>
      </c>
      <c r="V17" s="113" t="str">
        <f>Gas!T17</f>
        <v>-</v>
      </c>
      <c r="W17" s="113">
        <f>Gas!U17+Gas!O17</f>
        <v>16.951363658087139</v>
      </c>
      <c r="X17" s="116">
        <f t="shared" si="0"/>
        <v>128.6110111109686</v>
      </c>
      <c r="Y17" s="116">
        <f t="shared" si="1"/>
        <v>3.8951781613522409</v>
      </c>
      <c r="Z17" s="116">
        <f t="shared" si="2"/>
        <v>0.1658335532767084</v>
      </c>
      <c r="AA17" s="116">
        <f t="shared" si="3"/>
        <v>139.51927098181693</v>
      </c>
      <c r="AB17" s="116">
        <f t="shared" si="4"/>
        <v>0.15328776747294182</v>
      </c>
      <c r="AC17" s="116">
        <f t="shared" si="5"/>
        <v>2.1843506864894211</v>
      </c>
      <c r="AD17" s="116">
        <f t="shared" si="6"/>
        <v>0.74799244396232867</v>
      </c>
      <c r="AE17" s="116">
        <f t="shared" si="7"/>
        <v>-0.43733615819524374</v>
      </c>
      <c r="AF17" s="116">
        <f t="shared" si="8"/>
        <v>-192.2496134119252</v>
      </c>
      <c r="AG17" s="116">
        <f t="shared" si="9"/>
        <v>1.502308180518383E-2</v>
      </c>
      <c r="AH17" s="116">
        <f t="shared" si="10"/>
        <v>-24.611084637845174</v>
      </c>
      <c r="AI17" s="116">
        <f t="shared" si="11"/>
        <v>-23.903091086091589</v>
      </c>
      <c r="AJ17" s="116">
        <f t="shared" si="12"/>
        <v>-4.0923705612808439</v>
      </c>
      <c r="AK17" s="116">
        <f t="shared" si="13"/>
        <v>-29.998451931806315</v>
      </c>
      <c r="AL17" s="116"/>
      <c r="AN17" s="258"/>
      <c r="AO17" s="156"/>
      <c r="AP17" s="156"/>
      <c r="AQ17" s="156"/>
      <c r="AR17" s="156"/>
      <c r="AS17" s="156"/>
      <c r="AT17" s="156"/>
      <c r="AU17" s="156"/>
      <c r="AV17" s="156"/>
      <c r="AW17" s="156"/>
      <c r="AX17" s="259"/>
    </row>
    <row r="18" spans="1:108">
      <c r="A18" s="113">
        <f>Gas!A18</f>
        <v>28.75</v>
      </c>
      <c r="B18" s="181">
        <f>IF(HRT!B18="-", "-", 'Influent Concentration'!X18*HRT!B18/1000)</f>
        <v>175.28388302138723</v>
      </c>
      <c r="C18" s="181">
        <f>IF(HRT!B18="-", "-", 'Influent Concentration'!Y18*HRT!B18/1000)</f>
        <v>0.10491950284585901</v>
      </c>
      <c r="D18" s="181">
        <f>IF(HRT!B18="-", "-", 'Influent Concentration'!Z18*HRT!B18/1000)</f>
        <v>22.486041407637661</v>
      </c>
      <c r="E18" s="181">
        <f>IF(HRT!B18="-", "-", 'Influent Concentration'!AA18*HRT!B18/1000)</f>
        <v>21.750862185727591</v>
      </c>
      <c r="F18" s="181">
        <f>IF(HRT!B18="-", "-", 'Influent Concentration'!AB18*HRT!B18/1000)</f>
        <v>3.723894444059654</v>
      </c>
      <c r="G18" s="181">
        <f>IF(HRT!B18="-", "-", 'Influent Concentration'!AC18*HRT!B18/1000)</f>
        <v>7.586192256452958</v>
      </c>
      <c r="H18" s="181">
        <f>IF(HRT!B18="-", "-", 'Influent Concentration'!AD18*HRT!B18/1000)</f>
        <v>1.0178916374190068</v>
      </c>
      <c r="I18" s="181">
        <f>IF(HRT!B18="-", "-", 'Influent Concentration'!AE18*HRT!B18/1000)</f>
        <v>0.32340767222789701</v>
      </c>
      <c r="J18" s="182">
        <f>Gas!W18-Gas!S18</f>
        <v>18.252242958616534</v>
      </c>
      <c r="K18">
        <f>IF(HRT!D18="-", "-", 'Effluent Concentration'!AK18*HRT!D18/1000)</f>
        <v>0.23899513570411049</v>
      </c>
      <c r="L18">
        <f>IF(HRT!D18="-", "-", 'Effluent Concentration'!AL18*HRT!D18/1000)</f>
        <v>0.11822945434702432</v>
      </c>
      <c r="M18">
        <f>IF(HRT!D18="-", "-", 'Effluent Concentration'!AM18*HRT!D18/1000)</f>
        <v>0.11110939345755332</v>
      </c>
      <c r="N18">
        <f>IF(HRT!D18="-", "-", 'Effluent Concentration'!AN18*HRT!D18/1000)</f>
        <v>0</v>
      </c>
      <c r="O18">
        <f>IF(HRT!D18="-", "-", 'Effluent Concentration'!AO18*HRT!D18/1000)</f>
        <v>120.90879695217095</v>
      </c>
      <c r="P18">
        <f>IF(HRT!D18="-", "-", 'Effluent Concentration'!AP18*HRT!D18/1000)</f>
        <v>3.8974964181739389</v>
      </c>
      <c r="Q18">
        <f>IF(HRT!D18="-", "-", 'Effluent Concentration'!AQ18*HRT!D18/1000)</f>
        <v>0.1129518515714837</v>
      </c>
      <c r="R18">
        <f>IF(HRT!D18="-", "-", 'Effluent Concentration'!AR18*HRT!D18/1000)</f>
        <v>123.47691046791741</v>
      </c>
      <c r="S18">
        <f>IF(HRT!D18="-", "-", 'Effluent Concentration'!AS18*HRT!D18/1000)</f>
        <v>7.7514079085639523E-2</v>
      </c>
      <c r="T18">
        <f>IF(HRT!D18="-", "-", 'Effluent Concentration'!AT18*HRT!D18/1000)</f>
        <v>1.9323152572062998</v>
      </c>
      <c r="U18">
        <f>IF(HRT!D18="-", "-", 'Effluent Concentration'!AU18*HRT!D18/1000)</f>
        <v>0.6951483432297425</v>
      </c>
      <c r="V18" s="113" t="str">
        <f>Gas!T18</f>
        <v>-</v>
      </c>
      <c r="W18" s="113">
        <f>Gas!U18+Gas!O18</f>
        <v>17.036520620975654</v>
      </c>
      <c r="X18" s="116">
        <f t="shared" si="0"/>
        <v>113.32260469571798</v>
      </c>
      <c r="Y18" s="116">
        <f t="shared" si="1"/>
        <v>2.8796047807549323</v>
      </c>
      <c r="Z18" s="116">
        <f t="shared" si="2"/>
        <v>0.1129518515714837</v>
      </c>
      <c r="AA18" s="116">
        <f t="shared" si="3"/>
        <v>123.1535027956895</v>
      </c>
      <c r="AB18" s="116">
        <f t="shared" si="4"/>
        <v>7.7514079085639523E-2</v>
      </c>
      <c r="AC18" s="116">
        <f t="shared" si="5"/>
        <v>1.9323152572062998</v>
      </c>
      <c r="AD18" s="116">
        <f t="shared" si="6"/>
        <v>0.6951483432297425</v>
      </c>
      <c r="AE18" s="116">
        <f t="shared" si="7"/>
        <v>-1.2157223376408801</v>
      </c>
      <c r="AF18" s="116">
        <f t="shared" si="8"/>
        <v>-175.04488788568312</v>
      </c>
      <c r="AG18" s="116">
        <f t="shared" si="9"/>
        <v>1.3309951501165318E-2</v>
      </c>
      <c r="AH18" s="116">
        <f t="shared" si="10"/>
        <v>-22.374932014180107</v>
      </c>
      <c r="AI18" s="116">
        <f t="shared" si="11"/>
        <v>-21.750862185727591</v>
      </c>
      <c r="AJ18" s="116">
        <f t="shared" si="12"/>
        <v>-3.723894444059654</v>
      </c>
      <c r="AK18" s="116">
        <f t="shared" si="13"/>
        <v>-18.076652887465407</v>
      </c>
      <c r="AL18" s="116"/>
      <c r="AN18" s="261"/>
      <c r="AO18" s="240"/>
      <c r="AP18" s="240"/>
      <c r="AQ18" s="240"/>
      <c r="AR18" s="240"/>
      <c r="AS18" s="240"/>
      <c r="AT18" s="240"/>
      <c r="AU18" s="240"/>
      <c r="AV18" s="240"/>
      <c r="AW18" s="240"/>
      <c r="AX18" s="262"/>
    </row>
    <row r="19" spans="1:108">
      <c r="A19" s="230">
        <f>Gas!A19</f>
        <v>31.75</v>
      </c>
      <c r="B19" s="181">
        <f>IF(HRT!B19="-", "-", 'Influent Concentration'!X19*HRT!B19/1000)</f>
        <v>178.36475848786554</v>
      </c>
      <c r="C19" s="181">
        <f>IF(HRT!B19="-", "-", 'Influent Concentration'!Y19*HRT!B19/1000)</f>
        <v>0.10676361946799857</v>
      </c>
      <c r="D19" s="181">
        <f>IF(HRT!B19="-", "-", 'Influent Concentration'!Z19*HRT!B19/1000)</f>
        <v>22.88126709591474</v>
      </c>
      <c r="E19" s="181">
        <f>IF(HRT!B19="-", "-", 'Influent Concentration'!AA19*HRT!B19/1000)</f>
        <v>22.133166003555402</v>
      </c>
      <c r="F19" s="181">
        <f>IF(HRT!B19="-", "-", 'Influent Concentration'!AB19*HRT!B19/1000)</f>
        <v>3.7893474385660482</v>
      </c>
      <c r="G19" s="181">
        <f>IF(HRT!B19="-", "-", 'Influent Concentration'!AC19*HRT!B19/1000)</f>
        <v>7.7195308909242293</v>
      </c>
      <c r="H19" s="181">
        <f>IF(HRT!B19="-", "-", 'Influent Concentration'!AD19*HRT!B19/1000)</f>
        <v>1.0357825998920087</v>
      </c>
      <c r="I19" s="181">
        <f>IF(HRT!B19="-", "-", 'Influent Concentration'!AE19*HRT!B19/1000)</f>
        <v>0.32909204403586428</v>
      </c>
      <c r="J19" s="182">
        <f>Gas!W19-Gas!S19</f>
        <v>20.257400010546007</v>
      </c>
      <c r="K19">
        <f>IF(HRT!D19="-", "-", 'Effluent Concentration'!AK19*HRT!D19/1000)</f>
        <v>0</v>
      </c>
      <c r="L19">
        <f>IF(HRT!D19="-", "-", 'Effluent Concentration'!AL19*HRT!D19/1000)</f>
        <v>9.6394984723442809E-2</v>
      </c>
      <c r="M19">
        <f>IF(HRT!D19="-", "-", 'Effluent Concentration'!AM19*HRT!D19/1000)</f>
        <v>0</v>
      </c>
      <c r="N19">
        <f>IF(HRT!D19="-", "-", 'Effluent Concentration'!AN19*HRT!D19/1000)</f>
        <v>0</v>
      </c>
      <c r="O19">
        <f>IF(HRT!D19="-", "-", 'Effluent Concentration'!AO19*HRT!D19/1000)</f>
        <v>126.79060062566832</v>
      </c>
      <c r="P19">
        <f>IF(HRT!D19="-", "-", 'Effluent Concentration'!AP19*HRT!D19/1000)</f>
        <v>3.9301309652494401</v>
      </c>
      <c r="Q19">
        <f>IF(HRT!D19="-", "-", 'Effluent Concentration'!AQ19*HRT!D19/1000)</f>
        <v>7.8487536742340949E-2</v>
      </c>
      <c r="R19">
        <f>IF(HRT!D19="-", "-", 'Effluent Concentration'!AR19*HRT!D19/1000)</f>
        <v>130.95907130582063</v>
      </c>
      <c r="S19">
        <f>IF(HRT!D19="-", "-", 'Effluent Concentration'!AS19*HRT!D19/1000)</f>
        <v>0.11849789003371591</v>
      </c>
      <c r="T19">
        <f>IF(HRT!D19="-", "-", 'Effluent Concentration'!AT19*HRT!D19/1000)</f>
        <v>1.7831111071740109</v>
      </c>
      <c r="U19">
        <f>IF(HRT!D19="-", "-", 'Effluent Concentration'!AU19*HRT!D19/1000)</f>
        <v>0.64297346860856353</v>
      </c>
      <c r="V19" s="113" t="str">
        <f>Gas!T19</f>
        <v>-</v>
      </c>
      <c r="W19" s="113">
        <f>Gas!U19+Gas!O19</f>
        <v>17.435750177918088</v>
      </c>
      <c r="X19" s="116">
        <f t="shared" si="0"/>
        <v>119.07106973474409</v>
      </c>
      <c r="Y19" s="116">
        <f t="shared" si="1"/>
        <v>2.8943483653574313</v>
      </c>
      <c r="Z19" s="116">
        <f t="shared" si="2"/>
        <v>7.8487536742340949E-2</v>
      </c>
      <c r="AA19" s="116">
        <f t="shared" si="3"/>
        <v>130.62997926178477</v>
      </c>
      <c r="AB19" s="116">
        <f t="shared" si="4"/>
        <v>0.11849789003371591</v>
      </c>
      <c r="AC19" s="116">
        <f t="shared" si="5"/>
        <v>1.7831111071740109</v>
      </c>
      <c r="AD19" s="116">
        <f t="shared" si="6"/>
        <v>0.64297346860856353</v>
      </c>
      <c r="AE19" s="116">
        <f t="shared" si="7"/>
        <v>-2.8216498326279194</v>
      </c>
      <c r="AF19" s="116">
        <f t="shared" si="8"/>
        <v>-178.36475848786554</v>
      </c>
      <c r="AG19" s="116">
        <f t="shared" si="9"/>
        <v>-1.0368634744555766E-2</v>
      </c>
      <c r="AH19" s="116">
        <f t="shared" si="10"/>
        <v>-22.88126709591474</v>
      </c>
      <c r="AI19" s="116">
        <f t="shared" si="11"/>
        <v>-22.133166003555402</v>
      </c>
      <c r="AJ19" s="116">
        <f t="shared" si="12"/>
        <v>-3.7893474385660482</v>
      </c>
      <c r="AK19" s="116">
        <f t="shared" si="13"/>
        <v>-25.21790987117074</v>
      </c>
      <c r="AL19" s="116"/>
      <c r="AX19" s="116"/>
    </row>
    <row r="20" spans="1:108">
      <c r="A20" s="230">
        <f>Gas!A20</f>
        <v>33.761111111110949</v>
      </c>
      <c r="B20" s="181">
        <f>IF(HRT!B20="-", "-", 'Influent Concentration'!X20*HRT!B20/1000)</f>
        <v>184.80100665957366</v>
      </c>
      <c r="C20" s="181">
        <f>IF(HRT!B20="-", "-", 'Influent Concentration'!Y20*HRT!B20/1000)</f>
        <v>0.100175263071097</v>
      </c>
      <c r="D20" s="181">
        <f>IF(HRT!B20="-", "-", 'Influent Concentration'!Z20*HRT!B20/1000)</f>
        <v>25.73799250267616</v>
      </c>
      <c r="E20" s="181">
        <f>IF(HRT!B20="-", "-", 'Influent Concentration'!AA20*HRT!B20/1000)</f>
        <v>19.341779563952297</v>
      </c>
      <c r="F20" s="181">
        <f>IF(HRT!B20="-", "-", 'Influent Concentration'!AB20*HRT!B20/1000)</f>
        <v>3.7332831383814118</v>
      </c>
      <c r="G20" s="181">
        <f>IF(HRT!B20="-", "-", 'Influent Concentration'!AC20*HRT!B20/1000)</f>
        <v>10.142818369591525</v>
      </c>
      <c r="H20" s="181">
        <f>IF(HRT!B20="-", "-", 'Influent Concentration'!AD20*HRT!B20/1000)</f>
        <v>1.2845764769758667</v>
      </c>
      <c r="I20" s="181">
        <f>IF(HRT!B20="-", "-", 'Influent Concentration'!AE20*HRT!B20/1000)</f>
        <v>0.78425273280329499</v>
      </c>
      <c r="J20" s="182">
        <f>Gas!W20-Gas!S20</f>
        <v>22.321344292856907</v>
      </c>
      <c r="K20">
        <f>IF(HRT!D20="-", "-", 'Effluent Concentration'!AK20*HRT!D20/1000)</f>
        <v>0</v>
      </c>
      <c r="L20">
        <f>IF(HRT!D20="-", "-", 'Effluent Concentration'!AL20*HRT!D20/1000)</f>
        <v>9.7066192648288946E-2</v>
      </c>
      <c r="M20">
        <f>IF(HRT!D20="-", "-", 'Effluent Concentration'!AM20*HRT!D20/1000)</f>
        <v>0.12222645654259151</v>
      </c>
      <c r="N20">
        <f>IF(HRT!D20="-", "-", 'Effluent Concentration'!AN20*HRT!D20/1000)</f>
        <v>0</v>
      </c>
      <c r="O20">
        <f>IF(HRT!D20="-", "-", 'Effluent Concentration'!AO20*HRT!D20/1000)</f>
        <v>120.12330745229771</v>
      </c>
      <c r="P20">
        <f>IF(HRT!D20="-", "-", 'Effluent Concentration'!AP20*HRT!D20/1000)</f>
        <v>4.2163842778446687</v>
      </c>
      <c r="Q20">
        <f>IF(HRT!D20="-", "-", 'Effluent Concentration'!AQ20*HRT!D20/1000)</f>
        <v>0.12816332969984073</v>
      </c>
      <c r="R20">
        <f>IF(HRT!D20="-", "-", 'Effluent Concentration'!AR20*HRT!D20/1000)</f>
        <v>127.76858664436521</v>
      </c>
      <c r="S20">
        <f>IF(HRT!D20="-", "-", 'Effluent Concentration'!AS20*HRT!D20/1000)</f>
        <v>0.20455371891440313</v>
      </c>
      <c r="T20">
        <f>IF(HRT!D20="-", "-", 'Effluent Concentration'!AT20*HRT!D20/1000)</f>
        <v>1.8409834702296277</v>
      </c>
      <c r="U20">
        <f>IF(HRT!D20="-", "-", 'Effluent Concentration'!AU20*HRT!D20/1000)</f>
        <v>0.63578478140701111</v>
      </c>
      <c r="V20" s="113" t="str">
        <f>Gas!T20</f>
        <v>-</v>
      </c>
      <c r="W20" s="113">
        <f>Gas!U20+Gas!O20</f>
        <v>17.606096945165973</v>
      </c>
      <c r="X20" s="116">
        <f t="shared" si="0"/>
        <v>109.98048908270619</v>
      </c>
      <c r="Y20" s="116">
        <f t="shared" si="1"/>
        <v>2.931807800868802</v>
      </c>
      <c r="Z20" s="116">
        <f t="shared" si="2"/>
        <v>0.12816332969984073</v>
      </c>
      <c r="AA20" s="116">
        <f t="shared" si="3"/>
        <v>126.98433391156192</v>
      </c>
      <c r="AB20" s="116">
        <f t="shared" si="4"/>
        <v>0.20455371891440313</v>
      </c>
      <c r="AC20" s="116">
        <f t="shared" si="5"/>
        <v>1.8409834702296277</v>
      </c>
      <c r="AD20" s="116">
        <f t="shared" si="6"/>
        <v>0.63578478140701111</v>
      </c>
      <c r="AE20" s="116">
        <f t="shared" si="7"/>
        <v>-4.7152473476909336</v>
      </c>
      <c r="AF20" s="116">
        <f t="shared" si="8"/>
        <v>-184.80100665957366</v>
      </c>
      <c r="AG20" s="116">
        <f t="shared" si="9"/>
        <v>-3.1090704228080579E-3</v>
      </c>
      <c r="AH20" s="116">
        <f t="shared" si="10"/>
        <v>-25.615766046133569</v>
      </c>
      <c r="AI20" s="116">
        <f t="shared" si="11"/>
        <v>-19.341779563952297</v>
      </c>
      <c r="AJ20" s="116">
        <f t="shared" si="12"/>
        <v>-3.7332831383814118</v>
      </c>
      <c r="AK20" s="116">
        <f t="shared" si="13"/>
        <v>-4.4959242692331056</v>
      </c>
      <c r="AL20" s="116"/>
      <c r="AM20" s="116"/>
      <c r="AN20" s="116"/>
      <c r="AO20" s="116"/>
      <c r="AP20" s="116"/>
      <c r="AQ20" s="116"/>
      <c r="AR20" s="116"/>
      <c r="AS20" s="116"/>
      <c r="AT20" s="116"/>
      <c r="AU20" s="116"/>
      <c r="AV20" s="116"/>
      <c r="AW20" s="116"/>
      <c r="AX20" s="116"/>
    </row>
    <row r="21" spans="1:108">
      <c r="A21" s="230">
        <f>Gas!A21</f>
        <v>35.759722222224809</v>
      </c>
      <c r="B21" s="181">
        <f>IF(HRT!B21="-", "-", 'Influent Concentration'!X21*HRT!B21/1000)</f>
        <v>189.35344377757136</v>
      </c>
      <c r="C21" s="181">
        <f>IF(HRT!B21="-", "-", 'Influent Concentration'!Y21*HRT!B21/1000)</f>
        <v>0.1026430071280876</v>
      </c>
      <c r="D21" s="181">
        <f>IF(HRT!B21="-", "-", 'Influent Concentration'!Z21*HRT!B21/1000)</f>
        <v>26.372029051122951</v>
      </c>
      <c r="E21" s="181">
        <f>IF(HRT!B21="-", "-", 'Influent Concentration'!AA21*HRT!B21/1000)</f>
        <v>19.818250102758768</v>
      </c>
      <c r="F21" s="181">
        <f>IF(HRT!B21="-", "-", 'Influent Concentration'!AB21*HRT!B21/1000)</f>
        <v>3.8252498275156883</v>
      </c>
      <c r="G21" s="181">
        <f>IF(HRT!B21="-", "-", 'Influent Concentration'!AC21*HRT!B21/1000)</f>
        <v>10.392679253260283</v>
      </c>
      <c r="H21" s="181">
        <f>IF(HRT!B21="-", "-", 'Influent Concentration'!AD21*HRT!B21/1000)</f>
        <v>1.3162210753489929</v>
      </c>
      <c r="I21" s="181">
        <f>IF(HRT!B21="-", "-", 'Influent Concentration'!AE21*HRT!B21/1000)</f>
        <v>0.80357222307686083</v>
      </c>
      <c r="J21" s="182">
        <f>Gas!W21-Gas!S21</f>
        <v>22.345785633496575</v>
      </c>
      <c r="K21">
        <f>IF(HRT!D21="-", "-", 'Effluent Concentration'!AK21*HRT!D21/1000)</f>
        <v>0</v>
      </c>
      <c r="L21">
        <f>IF(HRT!D21="-", "-", 'Effluent Concentration'!AL21*HRT!D21/1000)</f>
        <v>0.12636528873194527</v>
      </c>
      <c r="M21">
        <f>IF(HRT!D21="-", "-", 'Effluent Concentration'!AM21*HRT!D21/1000)</f>
        <v>0.11370185273416368</v>
      </c>
      <c r="N21">
        <f>IF(HRT!D21="-", "-", 'Effluent Concentration'!AN21*HRT!D21/1000)</f>
        <v>0</v>
      </c>
      <c r="O21">
        <f>IF(HRT!D21="-", "-", 'Effluent Concentration'!AO21*HRT!D21/1000)</f>
        <v>124.17702438271621</v>
      </c>
      <c r="P21">
        <f>IF(HRT!D21="-", "-", 'Effluent Concentration'!AP21*HRT!D21/1000)</f>
        <v>4.822678422881344</v>
      </c>
      <c r="Q21">
        <f>IF(HRT!D21="-", "-", 'Effluent Concentration'!AQ21*HRT!D21/1000)</f>
        <v>0.2469365045269134</v>
      </c>
      <c r="R21">
        <f>IF(HRT!D21="-", "-", 'Effluent Concentration'!AR21*HRT!D21/1000)</f>
        <v>130.80804581290562</v>
      </c>
      <c r="S21">
        <f>IF(HRT!D21="-", "-", 'Effluent Concentration'!AS21*HRT!D21/1000)</f>
        <v>0.33428841980134677</v>
      </c>
      <c r="T21">
        <f>IF(HRT!D21="-", "-", 'Effluent Concentration'!AT21*HRT!D21/1000)</f>
        <v>1.8414192616175886</v>
      </c>
      <c r="U21">
        <f>IF(HRT!D21="-", "-", 'Effluent Concentration'!AU21*HRT!D21/1000)</f>
        <v>0.8010361090695034</v>
      </c>
      <c r="V21" s="113" t="str">
        <f>Gas!T21</f>
        <v>-</v>
      </c>
      <c r="W21" s="113">
        <f>Gas!U21+Gas!O21</f>
        <v>16.913938496776549</v>
      </c>
      <c r="X21" s="116">
        <f t="shared" si="0"/>
        <v>113.78434512945593</v>
      </c>
      <c r="Y21" s="116">
        <f t="shared" si="1"/>
        <v>3.5064573475323511</v>
      </c>
      <c r="Z21" s="116">
        <f t="shared" si="2"/>
        <v>0.2469365045269134</v>
      </c>
      <c r="AA21" s="116">
        <f t="shared" si="3"/>
        <v>130.00447358982876</v>
      </c>
      <c r="AB21" s="116">
        <f t="shared" si="4"/>
        <v>0.33428841980134677</v>
      </c>
      <c r="AC21" s="116">
        <f t="shared" si="5"/>
        <v>1.8414192616175886</v>
      </c>
      <c r="AD21" s="116">
        <f t="shared" si="6"/>
        <v>0.8010361090695034</v>
      </c>
      <c r="AE21" s="116">
        <f t="shared" si="7"/>
        <v>-5.4318471367200267</v>
      </c>
      <c r="AF21" s="116">
        <f t="shared" si="8"/>
        <v>-189.35344377757136</v>
      </c>
      <c r="AG21" s="116">
        <f t="shared" si="9"/>
        <v>2.372228160385767E-2</v>
      </c>
      <c r="AH21" s="116">
        <f t="shared" si="10"/>
        <v>-26.258327198388788</v>
      </c>
      <c r="AI21" s="116">
        <f t="shared" si="11"/>
        <v>-19.818250102758768</v>
      </c>
      <c r="AJ21" s="116">
        <f t="shared" si="12"/>
        <v>-3.8252498275156883</v>
      </c>
      <c r="AK21" s="116">
        <f t="shared" si="13"/>
        <v>-5.8555606004816445</v>
      </c>
      <c r="AL21" s="116"/>
      <c r="AM21" s="116"/>
      <c r="AN21" s="116"/>
      <c r="AO21" s="116"/>
      <c r="AP21" s="116"/>
      <c r="AQ21" s="116"/>
      <c r="AR21" s="116"/>
      <c r="AS21" s="116"/>
      <c r="AT21" s="116"/>
      <c r="AU21" s="116"/>
      <c r="AV21" s="116"/>
      <c r="AW21" s="116"/>
      <c r="AX21" s="116"/>
    </row>
    <row r="22" spans="1:108">
      <c r="A22" s="230">
        <f>Gas!A22</f>
        <v>38.75</v>
      </c>
      <c r="B22" s="181">
        <f>IF(HRT!B22="-", "-", 'Influent Concentration'!X22*HRT!B22/1000)</f>
        <v>179.70150570143338</v>
      </c>
      <c r="C22" s="181">
        <f>IF(HRT!B22="-", "-", 'Influent Concentration'!Y22*HRT!B22/1000)</f>
        <v>9.7410971581310624E-2</v>
      </c>
      <c r="D22" s="181">
        <f>IF(HRT!B22="-", "-", 'Influent Concentration'!Z22*HRT!B22/1000)</f>
        <v>25.027764134332987</v>
      </c>
      <c r="E22" s="181">
        <f>IF(HRT!B22="-", "-", 'Influent Concentration'!AA22*HRT!B22/1000)</f>
        <v>18.808051825119094</v>
      </c>
      <c r="F22" s="181">
        <f>IF(HRT!B22="-", "-", 'Influent Concentration'!AB22*HRT!B22/1000)</f>
        <v>3.6302648632902206</v>
      </c>
      <c r="G22" s="181">
        <f>IF(HRT!B22="-", "-", 'Influent Concentration'!AC22*HRT!B22/1000)</f>
        <v>9.8629318422997354</v>
      </c>
      <c r="H22" s="181">
        <f>IF(HRT!B22="-", "-", 'Influent Concentration'!AD22*HRT!B22/1000)</f>
        <v>1.2491291647909819</v>
      </c>
      <c r="I22" s="181">
        <f>IF(HRT!B22="-", "-", 'Influent Concentration'!AE22*HRT!B22/1000)</f>
        <v>0.76261163011319022</v>
      </c>
      <c r="J22" s="182">
        <f>Gas!W22-Gas!S22</f>
        <v>19.428645655600235</v>
      </c>
      <c r="K22">
        <f>IF(HRT!D22="-", "-", 'Effluent Concentration'!AK22*HRT!D22/1000)</f>
        <v>0</v>
      </c>
      <c r="L22">
        <f>IF(HRT!D22="-", "-", 'Effluent Concentration'!AL22*HRT!D22/1000)</f>
        <v>7.4399516413006975E-2</v>
      </c>
      <c r="M22">
        <f>IF(HRT!D22="-", "-", 'Effluent Concentration'!AM22*HRT!D22/1000)</f>
        <v>0.1158505921509617</v>
      </c>
      <c r="N22">
        <f>IF(HRT!D22="-", "-", 'Effluent Concentration'!AN22*HRT!D22/1000)</f>
        <v>0</v>
      </c>
      <c r="O22">
        <f>IF(HRT!D22="-", "-", 'Effluent Concentration'!AO22*HRT!D22/1000)</f>
        <v>120.2448778046374</v>
      </c>
      <c r="P22">
        <f>IF(HRT!D22="-", "-", 'Effluent Concentration'!AP22*HRT!D22/1000)</f>
        <v>5.1384855157707943</v>
      </c>
      <c r="Q22">
        <f>IF(HRT!D22="-", "-", 'Effluent Concentration'!AQ22*HRT!D22/1000)</f>
        <v>0.20554810334090742</v>
      </c>
      <c r="R22">
        <f>IF(HRT!D22="-", "-", 'Effluent Concentration'!AR22*HRT!D22/1000)</f>
        <v>125.91074671724124</v>
      </c>
      <c r="S22">
        <f>IF(HRT!D22="-", "-", 'Effluent Concentration'!AS22*HRT!D22/1000)</f>
        <v>0.37845089740231697</v>
      </c>
      <c r="T22">
        <f>IF(HRT!D22="-", "-", 'Effluent Concentration'!AT22*HRT!D22/1000)</f>
        <v>1.8544093972713531</v>
      </c>
      <c r="U22">
        <f>IF(HRT!D22="-", "-", 'Effluent Concentration'!AU22*HRT!D22/1000)</f>
        <v>0.75864939347342353</v>
      </c>
      <c r="V22" s="113" t="str">
        <f>Gas!T22</f>
        <v>-</v>
      </c>
      <c r="W22" s="113">
        <f>Gas!U22+Gas!O22</f>
        <v>16.840479209582764</v>
      </c>
      <c r="X22" s="116">
        <f t="shared" si="0"/>
        <v>110.38194596233767</v>
      </c>
      <c r="Y22" s="116">
        <f t="shared" si="1"/>
        <v>3.8893563509798126</v>
      </c>
      <c r="Z22" s="116">
        <f t="shared" si="2"/>
        <v>0.20554810334090742</v>
      </c>
      <c r="AA22" s="116">
        <f t="shared" si="3"/>
        <v>125.14813508712805</v>
      </c>
      <c r="AB22" s="116">
        <f t="shared" si="4"/>
        <v>0.37845089740231697</v>
      </c>
      <c r="AC22" s="116">
        <f t="shared" si="5"/>
        <v>1.8544093972713531</v>
      </c>
      <c r="AD22" s="116">
        <f t="shared" si="6"/>
        <v>0.75864939347342353</v>
      </c>
      <c r="AE22" s="116">
        <f t="shared" si="7"/>
        <v>-2.5881664460174711</v>
      </c>
      <c r="AF22" s="116">
        <f t="shared" si="8"/>
        <v>-179.70150570143338</v>
      </c>
      <c r="AG22" s="116">
        <f t="shared" si="9"/>
        <v>-2.3011455168303649E-2</v>
      </c>
      <c r="AH22" s="116">
        <f t="shared" si="10"/>
        <v>-24.911913542182024</v>
      </c>
      <c r="AI22" s="116">
        <f t="shared" si="11"/>
        <v>-18.808051825119094</v>
      </c>
      <c r="AJ22" s="116">
        <f t="shared" si="12"/>
        <v>-3.6302648632902206</v>
      </c>
      <c r="AK22" s="116">
        <f t="shared" si="13"/>
        <v>-12.953581358723058</v>
      </c>
      <c r="AL22" s="116"/>
      <c r="AM22" s="116"/>
      <c r="AN22" s="116"/>
      <c r="AO22" s="116"/>
      <c r="AP22" s="116"/>
      <c r="AQ22" s="116"/>
      <c r="AR22" s="116"/>
      <c r="AS22" s="116"/>
      <c r="AT22" s="116"/>
      <c r="AU22" s="116"/>
      <c r="AV22" s="116"/>
      <c r="AW22" s="116"/>
      <c r="AX22" s="116"/>
    </row>
    <row r="23" spans="1:108">
      <c r="A23" s="230">
        <f>Gas!A23</f>
        <v>40.759722222224809</v>
      </c>
      <c r="B23" s="181">
        <f>IF(HRT!B23="-", "-", 'Influent Concentration'!X23*HRT!B23/1000)</f>
        <v>201.07259159917334</v>
      </c>
      <c r="C23" s="181">
        <f>IF(HRT!B23="-", "-", 'Influent Concentration'!Y23*HRT!B23/1000)</f>
        <v>0.65168722756183683</v>
      </c>
      <c r="D23" s="181">
        <f>IF(HRT!B23="-", "-", 'Influent Concentration'!Z23*HRT!B23/1000)</f>
        <v>25.151062711942295</v>
      </c>
      <c r="E23" s="181">
        <f>IF(HRT!B23="-", "-", 'Influent Concentration'!AA23*HRT!B23/1000)</f>
        <v>25.301664226025057</v>
      </c>
      <c r="F23" s="181">
        <f>IF(HRT!B23="-", "-", 'Influent Concentration'!AB23*HRT!B23/1000)</f>
        <v>3.6248900975674334</v>
      </c>
      <c r="G23" s="181">
        <f>IF(HRT!B23="-", "-", 'Influent Concentration'!AC23*HRT!B23/1000)</f>
        <v>6.456320686450276</v>
      </c>
      <c r="H23" s="181">
        <f>IF(HRT!B23="-", "-", 'Influent Concentration'!AD23*HRT!B23/1000)</f>
        <v>1.0734871805956978</v>
      </c>
      <c r="I23" s="181">
        <f>IF(HRT!B23="-", "-", 'Influent Concentration'!AE23*HRT!B23/1000)</f>
        <v>0.68307717068723361</v>
      </c>
      <c r="J23" s="182">
        <f>Gas!W23-Gas!S23</f>
        <v>23.113670118338291</v>
      </c>
      <c r="K23">
        <f>IF(HRT!D23="-", "-", 'Effluent Concentration'!AK23*HRT!D23/1000)</f>
        <v>0</v>
      </c>
      <c r="L23">
        <f>IF(HRT!D23="-", "-", 'Effluent Concentration'!AL23*HRT!D23/1000)</f>
        <v>5.4807937814209381E-2</v>
      </c>
      <c r="M23">
        <f>IF(HRT!D23="-", "-", 'Effluent Concentration'!AM23*HRT!D23/1000)</f>
        <v>0.12720924452745158</v>
      </c>
      <c r="N23">
        <f>IF(HRT!D23="-", "-", 'Effluent Concentration'!AN23*HRT!D23/1000)</f>
        <v>0</v>
      </c>
      <c r="O23">
        <f>IF(HRT!D23="-", "-", 'Effluent Concentration'!AO23*HRT!D23/1000)</f>
        <v>120.64221613706871</v>
      </c>
      <c r="P23">
        <f>IF(HRT!D23="-", "-", 'Effluent Concentration'!AP23*HRT!D23/1000)</f>
        <v>4.8179592265546693</v>
      </c>
      <c r="Q23">
        <f>IF(HRT!D23="-", "-", 'Effluent Concentration'!AQ23*HRT!D23/1000)</f>
        <v>0.21930580362889168</v>
      </c>
      <c r="R23">
        <f>IF(HRT!D23="-", "-", 'Effluent Concentration'!AR23*HRT!D23/1000)</f>
        <v>127.38097096360926</v>
      </c>
      <c r="S23">
        <f>IF(HRT!D23="-", "-", 'Effluent Concentration'!AS23*HRT!D23/1000)</f>
        <v>0.39600078609267891</v>
      </c>
      <c r="T23">
        <f>IF(HRT!D23="-", "-", 'Effluent Concentration'!AT23*HRT!D23/1000)</f>
        <v>1.8920037557761329</v>
      </c>
      <c r="U23">
        <f>IF(HRT!D23="-", "-", 'Effluent Concentration'!AU23*HRT!D23/1000)</f>
        <v>0.65572232438761469</v>
      </c>
      <c r="V23" s="113" t="str">
        <f>Gas!T23</f>
        <v>-</v>
      </c>
      <c r="W23" s="113">
        <f>Gas!U23+Gas!O23</f>
        <v>17.069494121051893</v>
      </c>
      <c r="X23" s="116">
        <f t="shared" si="0"/>
        <v>114.18589545061843</v>
      </c>
      <c r="Y23" s="116">
        <f t="shared" si="1"/>
        <v>3.7444720459589718</v>
      </c>
      <c r="Z23" s="116">
        <f t="shared" si="2"/>
        <v>0.21930580362889168</v>
      </c>
      <c r="AA23" s="116">
        <f t="shared" si="3"/>
        <v>126.69789379292203</v>
      </c>
      <c r="AB23" s="116">
        <f t="shared" si="4"/>
        <v>0.39600078609267891</v>
      </c>
      <c r="AC23" s="116">
        <f t="shared" si="5"/>
        <v>1.8920037557761329</v>
      </c>
      <c r="AD23" s="116">
        <f t="shared" si="6"/>
        <v>0.65572232438761469</v>
      </c>
      <c r="AE23" s="116">
        <f t="shared" si="7"/>
        <v>-6.0441759972863984</v>
      </c>
      <c r="AF23" s="116">
        <f t="shared" si="8"/>
        <v>-201.07259159917334</v>
      </c>
      <c r="AG23" s="116">
        <f t="shared" si="9"/>
        <v>-0.5968792897476275</v>
      </c>
      <c r="AH23" s="116">
        <f t="shared" si="10"/>
        <v>-25.023853467414842</v>
      </c>
      <c r="AI23" s="116">
        <f t="shared" si="11"/>
        <v>-25.301664226025057</v>
      </c>
      <c r="AJ23" s="116">
        <f t="shared" si="12"/>
        <v>-3.6248900975674334</v>
      </c>
      <c r="AK23" s="116">
        <f t="shared" si="13"/>
        <v>13.872760717829951</v>
      </c>
      <c r="AL23" s="116"/>
      <c r="AM23" s="116"/>
      <c r="AN23" s="116"/>
      <c r="AO23" s="116"/>
      <c r="AP23" s="116"/>
      <c r="AQ23" s="116"/>
      <c r="AR23" s="116"/>
      <c r="AS23" s="116"/>
      <c r="AT23" s="116"/>
      <c r="AU23" s="116"/>
      <c r="AV23" s="116"/>
      <c r="AW23" s="116"/>
      <c r="AX23" s="116"/>
    </row>
    <row r="24" spans="1:108" s="226" customFormat="1">
      <c r="A24" s="225">
        <f>Gas!A24</f>
        <v>42.725694444445253</v>
      </c>
      <c r="B24" s="239">
        <f>IF(HRT!B24="-", "-", 'Influent Concentration'!X24*HRT!B24/1000)</f>
        <v>200.64203708435272</v>
      </c>
      <c r="C24" s="239">
        <f>IF(HRT!B24="-", "-", 'Influent Concentration'!Y24*HRT!B24/1000)</f>
        <v>0.65029177691465456</v>
      </c>
      <c r="D24" s="239">
        <f>IF(HRT!B24="-", "-", 'Influent Concentration'!Z24*HRT!B24/1000)</f>
        <v>25.097207019741582</v>
      </c>
      <c r="E24" s="239">
        <f>IF(HRT!B24="-", "-", 'Influent Concentration'!AA24*HRT!B24/1000)</f>
        <v>25.247486052469171</v>
      </c>
      <c r="F24" s="239">
        <f>IF(HRT!B24="-", "-", 'Influent Concentration'!AB24*HRT!B24/1000)</f>
        <v>3.6171281605235843</v>
      </c>
      <c r="G24" s="239">
        <f>IF(HRT!B24="-", "-", 'Influent Concentration'!AC24*HRT!B24/1000)</f>
        <v>6.4424958384261233</v>
      </c>
      <c r="H24" s="239">
        <f>IF(HRT!B24="-", "-", 'Influent Concentration'!AD24*HRT!B24/1000)</f>
        <v>1.0711885343777741</v>
      </c>
      <c r="I24" s="239">
        <f>IF(HRT!B24="-", "-", 'Influent Concentration'!AE24*HRT!B24/1000)</f>
        <v>0.68161450510227628</v>
      </c>
      <c r="J24" s="229">
        <f>Gas!W24-Gas!S24</f>
        <v>25.240312214405776</v>
      </c>
      <c r="K24" s="226">
        <f>IF(HRT!D24="-", "-", 'Effluent Concentration'!AK24*HRT!D24/1000)</f>
        <v>0</v>
      </c>
      <c r="L24" s="226">
        <f>IF(HRT!D24="-", "-", 'Effluent Concentration'!AL24*HRT!D24/1000)</f>
        <v>2.5702196604640785E-2</v>
      </c>
      <c r="M24" s="226">
        <f>IF(HRT!D24="-", "-", 'Effluent Concentration'!AM24*HRT!D24/1000)</f>
        <v>0</v>
      </c>
      <c r="N24" s="226">
        <f>IF(HRT!D24="-", "-", 'Effluent Concentration'!AN24*HRT!D24/1000)</f>
        <v>0</v>
      </c>
      <c r="O24" s="226">
        <f>IF(HRT!D24="-", "-", 'Effluent Concentration'!AO24*HRT!D24/1000)</f>
        <v>114.57043559088892</v>
      </c>
      <c r="P24" s="226">
        <f>IF(HRT!D24="-", "-", 'Effluent Concentration'!AP24*HRT!D24/1000)</f>
        <v>3.8127891980531659</v>
      </c>
      <c r="Q24" s="226">
        <f>IF(HRT!D24="-", "-", 'Effluent Concentration'!AQ24*HRT!D24/1000)</f>
        <v>0.17076806626621241</v>
      </c>
      <c r="R24" s="226">
        <f>IF(HRT!D24="-", "-", 'Effluent Concentration'!AR24*HRT!D24/1000)</f>
        <v>120.73804544039643</v>
      </c>
      <c r="S24" s="226">
        <f>IF(HRT!D24="-", "-", 'Effluent Concentration'!AS24*HRT!D24/1000)</f>
        <v>0.33039956048003782</v>
      </c>
      <c r="T24" s="226">
        <f>IF(HRT!D24="-", "-", 'Effluent Concentration'!AT24*HRT!D24/1000)</f>
        <v>1.6140830987385455</v>
      </c>
      <c r="U24" s="226">
        <f>IF(HRT!D24="-", "-", 'Effluent Concentration'!AU24*HRT!D24/1000)</f>
        <v>0.61146468313328317</v>
      </c>
      <c r="V24" s="225" t="str">
        <f>Gas!T24</f>
        <v>-</v>
      </c>
      <c r="W24" s="225">
        <f>Gas!U24+Gas!O24</f>
        <v>16.895310288513688</v>
      </c>
      <c r="X24" s="238">
        <f t="shared" si="0"/>
        <v>108.12793975246279</v>
      </c>
      <c r="Y24" s="238">
        <f t="shared" si="1"/>
        <v>2.741600663675392</v>
      </c>
      <c r="Z24" s="238">
        <f t="shared" si="2"/>
        <v>0.17076806626621241</v>
      </c>
      <c r="AA24" s="238">
        <f t="shared" si="3"/>
        <v>120.05643093529416</v>
      </c>
      <c r="AB24" s="238">
        <f t="shared" si="4"/>
        <v>0.33039956048003782</v>
      </c>
      <c r="AC24" s="238">
        <f t="shared" si="5"/>
        <v>1.6140830987385455</v>
      </c>
      <c r="AD24" s="238">
        <f t="shared" si="6"/>
        <v>0.61146468313328317</v>
      </c>
      <c r="AE24" s="238">
        <f t="shared" si="7"/>
        <v>-8.3450019258920882</v>
      </c>
      <c r="AF24" s="238">
        <f t="shared" si="8"/>
        <v>-200.64203708435272</v>
      </c>
      <c r="AG24" s="238">
        <f t="shared" si="9"/>
        <v>-0.62458958031001377</v>
      </c>
      <c r="AH24" s="238">
        <f t="shared" si="10"/>
        <v>-25.097207019741582</v>
      </c>
      <c r="AI24" s="238">
        <f t="shared" si="11"/>
        <v>-25.247486052469171</v>
      </c>
      <c r="AJ24" s="238">
        <f t="shared" si="12"/>
        <v>-3.6171281605235843</v>
      </c>
      <c r="AK24" s="116">
        <f t="shared" si="13"/>
        <v>29.920763063238752</v>
      </c>
      <c r="AL24" s="238"/>
      <c r="AM24" s="238"/>
      <c r="AN24" s="238" t="s">
        <v>266</v>
      </c>
      <c r="AO24" s="238"/>
      <c r="AP24" s="238" t="s">
        <v>266</v>
      </c>
      <c r="AQ24" s="238" t="s">
        <v>266</v>
      </c>
      <c r="AR24" s="238" t="s">
        <v>266</v>
      </c>
      <c r="AS24" s="238" t="s">
        <v>266</v>
      </c>
      <c r="AT24" s="238" t="s">
        <v>266</v>
      </c>
      <c r="AU24" s="238" t="s">
        <v>266</v>
      </c>
      <c r="AV24" s="238" t="s">
        <v>266</v>
      </c>
      <c r="AW24" s="238" t="s">
        <v>266</v>
      </c>
      <c r="AX24" s="238"/>
      <c r="AY24" s="240"/>
      <c r="AZ24" s="240"/>
      <c r="BA24" s="240"/>
      <c r="BB24" s="240"/>
      <c r="BC24" s="240"/>
      <c r="BD24" s="240"/>
      <c r="BE24" s="240"/>
      <c r="BF24" s="240"/>
      <c r="BG24" s="240"/>
      <c r="BH24" s="240"/>
      <c r="BI24" s="240"/>
      <c r="BJ24" s="240"/>
      <c r="BK24" s="240"/>
      <c r="BL24" s="240"/>
      <c r="BM24" s="240"/>
      <c r="BN24" s="240"/>
      <c r="BO24" s="240"/>
      <c r="BP24" s="240"/>
      <c r="BQ24" s="240"/>
      <c r="BR24" s="240"/>
      <c r="BS24" s="240"/>
      <c r="BT24" s="240"/>
      <c r="BU24" s="240"/>
      <c r="BV24" s="240"/>
      <c r="BW24" s="240"/>
      <c r="BX24" s="240"/>
      <c r="BY24" s="240"/>
      <c r="BZ24" s="240"/>
      <c r="CA24" s="240"/>
      <c r="CB24" s="240"/>
      <c r="CC24" s="240"/>
      <c r="CD24" s="240"/>
      <c r="CE24" s="240"/>
      <c r="CF24" s="240"/>
      <c r="CG24" s="240"/>
      <c r="CH24" s="240"/>
      <c r="CI24" s="240"/>
      <c r="CJ24" s="240"/>
      <c r="CK24" s="240"/>
      <c r="CL24" s="240"/>
      <c r="CM24" s="240"/>
      <c r="CN24" s="240"/>
      <c r="CO24" s="240"/>
      <c r="CP24" s="240"/>
      <c r="CQ24" s="240"/>
      <c r="CR24" s="240"/>
      <c r="CS24" s="240"/>
      <c r="CT24" s="240"/>
      <c r="CU24" s="240"/>
      <c r="CV24" s="240"/>
      <c r="CW24" s="240"/>
      <c r="CX24" s="240"/>
      <c r="CY24" s="240"/>
      <c r="CZ24" s="240"/>
      <c r="DA24" s="240"/>
      <c r="DB24" s="240"/>
      <c r="DC24" s="240"/>
      <c r="DD24" s="240"/>
    </row>
    <row r="25" spans="1:108">
      <c r="A25" s="113">
        <f>Gas!A25</f>
        <v>42.944444444445253</v>
      </c>
      <c r="B25" s="181">
        <f>IF(HRT!B25="-", "-", 'Influent Concentration'!X25*HRT!B25/1000)</f>
        <v>284.35084999070233</v>
      </c>
      <c r="C25" s="181">
        <f>IF(HRT!B25="-", "-", 'Influent Concentration'!Y25*HRT!B25/1000)</f>
        <v>0.92159660156314616</v>
      </c>
      <c r="D25" s="181">
        <f>IF(HRT!B25="-", "-", 'Influent Concentration'!Z25*HRT!B25/1000)</f>
        <v>35.567881248414032</v>
      </c>
      <c r="E25" s="181">
        <f>IF(HRT!B25="-", "-", 'Influent Concentration'!AA25*HRT!B25/1000)</f>
        <v>35.780857408907778</v>
      </c>
      <c r="F25" s="181">
        <f>IF(HRT!B25="-", "-", 'Influent Concentration'!AB25*HRT!B25/1000)</f>
        <v>5.126211246239377</v>
      </c>
      <c r="G25" s="181">
        <f>IF(HRT!B25="-", "-", 'Influent Concentration'!AC25*HRT!B25/1000)</f>
        <v>9.1303357678125163</v>
      </c>
      <c r="H25" s="181">
        <f>IF(HRT!B25="-", "-", 'Influent Concentration'!AD25*HRT!B25/1000)</f>
        <v>1.5180934896636811</v>
      </c>
      <c r="I25" s="181">
        <f>IF(HRT!B25="-", "-", 'Influent Concentration'!AE25*HRT!B25/1000)</f>
        <v>0.96598732104349871</v>
      </c>
      <c r="J25" s="182">
        <f>Gas!W25-Gas!S25</f>
        <v>19.783695786030592</v>
      </c>
      <c r="K25">
        <f>IF(HRT!D25="-", "-", 'Effluent Concentration'!AK25*HRT!D25/1000)</f>
        <v>19.32481040990827</v>
      </c>
      <c r="L25">
        <f>IF(HRT!D25="-", "-", 'Effluent Concentration'!AL25*HRT!D25/1000)</f>
        <v>1.0002937482712302</v>
      </c>
      <c r="M25">
        <f>IF(HRT!D25="-", "-", 'Effluent Concentration'!AM25*HRT!D25/1000)</f>
        <v>0</v>
      </c>
      <c r="N25">
        <f>IF(HRT!D25="-", "-", 'Effluent Concentration'!AN25*HRT!D25/1000)</f>
        <v>0</v>
      </c>
      <c r="O25">
        <f>IF(HRT!D25="-", "-", 'Effluent Concentration'!AO25*HRT!D25/1000)</f>
        <v>149.56938212555545</v>
      </c>
      <c r="P25">
        <f>IF(HRT!D25="-", "-", 'Effluent Concentration'!AP25*HRT!D25/1000)</f>
        <v>5.1816187793605568</v>
      </c>
      <c r="Q25">
        <f>IF(HRT!D25="-", "-", 'Effluent Concentration'!AQ25*HRT!D25/1000)</f>
        <v>0.34658195948113785</v>
      </c>
      <c r="R25">
        <f>IF(HRT!D25="-", "-", 'Effluent Concentration'!AR25*HRT!D25/1000)</f>
        <v>160.34960937354327</v>
      </c>
      <c r="S25">
        <f>IF(HRT!D25="-", "-", 'Effluent Concentration'!AS25*HRT!D25/1000)</f>
        <v>0.53820822099079113</v>
      </c>
      <c r="T25">
        <f>IF(HRT!D25="-", "-", 'Effluent Concentration'!AT25*HRT!D25/1000)</f>
        <v>1.980905257813329</v>
      </c>
      <c r="U25">
        <f>IF(HRT!D25="-", "-", 'Effluent Concentration'!AU25*HRT!D25/1000)</f>
        <v>0.82021771456297465</v>
      </c>
      <c r="V25" s="113" t="str">
        <f>Gas!T25</f>
        <v>-</v>
      </c>
      <c r="W25" s="113">
        <f>Gas!U25+Gas!O25</f>
        <v>15.654579737984498</v>
      </c>
      <c r="X25" s="116">
        <f t="shared" si="0"/>
        <v>140.43904635774294</v>
      </c>
      <c r="Y25" s="116">
        <f t="shared" si="1"/>
        <v>3.6635252896968757</v>
      </c>
      <c r="Z25" s="116">
        <f t="shared" si="2"/>
        <v>0.34658195948113785</v>
      </c>
      <c r="AA25" s="116">
        <f t="shared" si="3"/>
        <v>159.38362205249979</v>
      </c>
      <c r="AB25" s="116">
        <f t="shared" si="4"/>
        <v>0.53820822099079113</v>
      </c>
      <c r="AC25" s="116">
        <f t="shared" si="5"/>
        <v>1.980905257813329</v>
      </c>
      <c r="AD25" s="116">
        <f t="shared" si="6"/>
        <v>0.82021771456297465</v>
      </c>
      <c r="AE25" s="116">
        <f t="shared" si="7"/>
        <v>-4.1291160480460931</v>
      </c>
      <c r="AF25" s="116">
        <f t="shared" si="8"/>
        <v>-265.02603958079408</v>
      </c>
      <c r="AG25" s="116">
        <f t="shared" si="9"/>
        <v>7.8697146708084031E-2</v>
      </c>
      <c r="AH25" s="116">
        <f t="shared" si="10"/>
        <v>-35.567881248414032</v>
      </c>
      <c r="AI25" s="116">
        <f t="shared" si="11"/>
        <v>-35.780857408907778</v>
      </c>
      <c r="AJ25" s="116">
        <f t="shared" si="12"/>
        <v>-5.126211246239377</v>
      </c>
      <c r="AK25" s="116">
        <f t="shared" si="13"/>
        <v>38.37930153290543</v>
      </c>
      <c r="AL25" s="116"/>
      <c r="AM25" s="116" t="s">
        <v>249</v>
      </c>
      <c r="AN25" s="116" t="s">
        <v>267</v>
      </c>
      <c r="AO25" s="116" t="s">
        <v>251</v>
      </c>
      <c r="AP25" s="116" t="s">
        <v>250</v>
      </c>
      <c r="AQ25" s="116" t="s">
        <v>251</v>
      </c>
      <c r="AR25" s="116" t="s">
        <v>252</v>
      </c>
      <c r="AS25" s="116" t="s">
        <v>251</v>
      </c>
      <c r="AT25" s="116" t="s">
        <v>253</v>
      </c>
      <c r="AU25" s="116" t="s">
        <v>251</v>
      </c>
      <c r="AV25" s="116" t="s">
        <v>254</v>
      </c>
      <c r="AW25" s="116" t="s">
        <v>251</v>
      </c>
      <c r="AX25" s="116"/>
    </row>
    <row r="26" spans="1:108">
      <c r="A26" s="113">
        <f>Gas!A26</f>
        <v>45.740277777782467</v>
      </c>
      <c r="B26" s="181">
        <f>IF(HRT!B26="-", "-", 'Influent Concentration'!X26*HRT!B26/1000)</f>
        <v>192.08325272185812</v>
      </c>
      <c r="C26" s="181">
        <f>IF(HRT!B26="-", "-", 'Influent Concentration'!Y26*HRT!B26/1000)</f>
        <v>0.62255229035344062</v>
      </c>
      <c r="D26" s="181">
        <f>IF(HRT!B26="-", "-", 'Influent Concentration'!Z26*HRT!B26/1000)</f>
        <v>24.026635836831652</v>
      </c>
      <c r="E26" s="181">
        <f>IF(HRT!B26="-", "-", 'Influent Concentration'!AA26*HRT!B26/1000)</f>
        <v>24.170504419117197</v>
      </c>
      <c r="F26" s="181">
        <f>IF(HRT!B26="-", "-", 'Influent Concentration'!AB26*HRT!B26/1000)</f>
        <v>3.4628323789052349</v>
      </c>
      <c r="G26" s="181">
        <f>IF(HRT!B26="-", "-", 'Influent Concentration'!AC26*HRT!B26/1000)</f>
        <v>6.1676783902052588</v>
      </c>
      <c r="H26" s="181">
        <f>IF(HRT!B26="-", "-", 'Influent Concentration'!AD26*HRT!B26/1000)</f>
        <v>1.0254948611548409</v>
      </c>
      <c r="I26" s="181">
        <f>IF(HRT!B26="-", "-", 'Influent Concentration'!AE26*HRT!B26/1000)</f>
        <v>0.65253888539519433</v>
      </c>
      <c r="J26" s="182">
        <f>Gas!W26-Gas!S26</f>
        <v>25.739604273059399</v>
      </c>
      <c r="K26">
        <f>IF(HRT!D26="-", "-", 'Effluent Concentration'!AK26*HRT!D26/1000)</f>
        <v>0</v>
      </c>
      <c r="L26">
        <f>IF(HRT!D26="-", "-", 'Effluent Concentration'!AL26*HRT!D26/1000)</f>
        <v>2.225833242888332E-2</v>
      </c>
      <c r="M26">
        <f>IF(HRT!D26="-", "-", 'Effluent Concentration'!AM26*HRT!D26/1000)</f>
        <v>0</v>
      </c>
      <c r="N26">
        <f>IF(HRT!D26="-", "-", 'Effluent Concentration'!AN26*HRT!D26/1000)</f>
        <v>0</v>
      </c>
      <c r="O26">
        <f>IF(HRT!D26="-", "-", 'Effluent Concentration'!AO26*HRT!D26/1000)</f>
        <v>114.1399741895313</v>
      </c>
      <c r="P26">
        <f>IF(HRT!D26="-", "-", 'Effluent Concentration'!AP26*HRT!D26/1000)</f>
        <v>2.9746933242750409</v>
      </c>
      <c r="Q26">
        <f>IF(HRT!D26="-", "-", 'Effluent Concentration'!AQ26*HRT!D26/1000)</f>
        <v>0.19814881244632385</v>
      </c>
      <c r="R26">
        <f>IF(HRT!D26="-", "-", 'Effluent Concentration'!AR26*HRT!D26/1000)</f>
        <v>120.71612286059215</v>
      </c>
      <c r="S26">
        <f>IF(HRT!D26="-", "-", 'Effluent Concentration'!AS26*HRT!D26/1000)</f>
        <v>0.33876837125386694</v>
      </c>
      <c r="T26">
        <f>IF(HRT!D26="-", "-", 'Effluent Concentration'!AT26*HRT!D26/1000)</f>
        <v>1.4071916959776012</v>
      </c>
      <c r="U26">
        <f>IF(HRT!D26="-", "-", 'Effluent Concentration'!AU26*HRT!D26/1000)</f>
        <v>0.57737340184305963</v>
      </c>
      <c r="V26" s="113" t="str">
        <f>Gas!T26</f>
        <v>-</v>
      </c>
      <c r="W26" s="113">
        <f>Gas!U26+Gas!O26</f>
        <v>19.451772965184034</v>
      </c>
      <c r="X26" s="116">
        <f t="shared" si="0"/>
        <v>107.97229579932605</v>
      </c>
      <c r="Y26" s="116">
        <f t="shared" si="1"/>
        <v>1.9491984631202</v>
      </c>
      <c r="Z26" s="116">
        <f t="shared" si="2"/>
        <v>0.19814881244632385</v>
      </c>
      <c r="AA26" s="116">
        <f t="shared" si="3"/>
        <v>120.06358397519696</v>
      </c>
      <c r="AB26" s="116">
        <f t="shared" si="4"/>
        <v>0.33876837125386694</v>
      </c>
      <c r="AC26" s="116">
        <f t="shared" si="5"/>
        <v>1.4071916959776012</v>
      </c>
      <c r="AD26" s="116">
        <f t="shared" si="6"/>
        <v>0.57737340184305963</v>
      </c>
      <c r="AE26" s="116">
        <f t="shared" si="7"/>
        <v>-6.2878313078753649</v>
      </c>
      <c r="AF26" s="116">
        <f t="shared" si="8"/>
        <v>-192.08325272185812</v>
      </c>
      <c r="AG26" s="116">
        <f t="shared" si="9"/>
        <v>-0.60029395792455731</v>
      </c>
      <c r="AH26" s="116">
        <f t="shared" si="10"/>
        <v>-24.026635836831652</v>
      </c>
      <c r="AI26" s="116">
        <f t="shared" si="11"/>
        <v>-24.170504419117197</v>
      </c>
      <c r="AJ26" s="116">
        <f t="shared" si="12"/>
        <v>-3.4628323789052349</v>
      </c>
      <c r="AK26" s="116">
        <f t="shared" si="13"/>
        <v>18.124790103348069</v>
      </c>
      <c r="AL26" s="116"/>
      <c r="AM26" s="116" t="s">
        <v>259</v>
      </c>
      <c r="AN26" s="116" t="s">
        <v>268</v>
      </c>
      <c r="AO26" s="116"/>
      <c r="AP26" s="266" t="s">
        <v>260</v>
      </c>
      <c r="AQ26" s="266"/>
      <c r="AR26" s="266" t="s">
        <v>261</v>
      </c>
      <c r="AS26" s="266"/>
      <c r="AT26" s="266" t="s">
        <v>262</v>
      </c>
      <c r="AU26" s="266"/>
      <c r="AV26" s="266" t="s">
        <v>263</v>
      </c>
      <c r="AW26" s="266"/>
      <c r="AX26" s="116"/>
    </row>
    <row r="27" spans="1:108">
      <c r="A27" s="113">
        <f>Gas!A27</f>
        <v>47.751388888893416</v>
      </c>
      <c r="B27" s="181">
        <f>IF(HRT!B27="-", "-", 'Influent Concentration'!X27*HRT!B27/1000)</f>
        <v>188.00045922833678</v>
      </c>
      <c r="C27" s="181">
        <f>IF(HRT!B27="-", "-", 'Influent Concentration'!Y27*HRT!B27/1000)</f>
        <v>0.60931973413412066</v>
      </c>
      <c r="D27" s="181">
        <f>IF(HRT!B27="-", "-", 'Influent Concentration'!Z27*HRT!B27/1000)</f>
        <v>23.515941692101247</v>
      </c>
      <c r="E27" s="181">
        <f>IF(HRT!B27="-", "-", 'Influent Concentration'!AA27*HRT!B27/1000)</f>
        <v>23.656752299767177</v>
      </c>
      <c r="F27" s="181">
        <f>IF(HRT!B27="-", "-", 'Influent Concentration'!AB27*HRT!B27/1000)</f>
        <v>3.3892287236910992</v>
      </c>
      <c r="G27" s="181">
        <f>IF(HRT!B27="-", "-", 'Influent Concentration'!AC27*HRT!B27/1000)</f>
        <v>6.0365823324030439</v>
      </c>
      <c r="H27" s="181">
        <f>IF(HRT!B27="-", "-", 'Influent Concentration'!AD27*HRT!B27/1000)</f>
        <v>1.0036976264275361</v>
      </c>
      <c r="I27" s="181">
        <f>IF(HRT!B27="-", "-", 'Influent Concentration'!AE27*HRT!B27/1000)</f>
        <v>0.6386689541137881</v>
      </c>
      <c r="J27" s="182">
        <f>Gas!W27-Gas!S27</f>
        <v>22.626450302944249</v>
      </c>
      <c r="K27">
        <f>IF(HRT!D27="-", "-", 'Effluent Concentration'!AK27*HRT!D27/1000)</f>
        <v>0</v>
      </c>
      <c r="L27">
        <f>IF(HRT!D27="-", "-", 'Effluent Concentration'!AL27*HRT!D27/1000)</f>
        <v>1.210802905216528E-2</v>
      </c>
      <c r="M27">
        <f>IF(HRT!D27="-", "-", 'Effluent Concentration'!AM27*HRT!D27/1000)</f>
        <v>0</v>
      </c>
      <c r="N27">
        <f>IF(HRT!D27="-", "-", 'Effluent Concentration'!AN27*HRT!D27/1000)</f>
        <v>0</v>
      </c>
      <c r="O27">
        <f>IF(HRT!D27="-", "-", 'Effluent Concentration'!AO27*HRT!D27/1000)</f>
        <v>119.13859133228942</v>
      </c>
      <c r="P27">
        <f>IF(HRT!D27="-", "-", 'Effluent Concentration'!AP27*HRT!D27/1000)</f>
        <v>2.3723718315012587</v>
      </c>
      <c r="Q27">
        <f>IF(HRT!D27="-", "-", 'Effluent Concentration'!AQ27*HRT!D27/1000)</f>
        <v>0.21294795119528273</v>
      </c>
      <c r="R27">
        <f>IF(HRT!D27="-", "-", 'Effluent Concentration'!AR27*HRT!D27/1000)</f>
        <v>127.62207323967957</v>
      </c>
      <c r="S27">
        <f>IF(HRT!D27="-", "-", 'Effluent Concentration'!AS27*HRT!D27/1000)</f>
        <v>0.31639857881257394</v>
      </c>
      <c r="T27">
        <f>IF(HRT!D27="-", "-", 'Effluent Concentration'!AT27*HRT!D27/1000)</f>
        <v>1.6177153142513863</v>
      </c>
      <c r="U27">
        <f>IF(HRT!D27="-", "-", 'Effluent Concentration'!AU27*HRT!D27/1000)</f>
        <v>0.47919338676643025</v>
      </c>
      <c r="V27" s="113" t="str">
        <f>Gas!T27</f>
        <v>-</v>
      </c>
      <c r="W27" s="113">
        <f>Gas!U27+Gas!O27</f>
        <v>17.556865221393597</v>
      </c>
      <c r="X27" s="116">
        <f t="shared" si="0"/>
        <v>113.10200899988638</v>
      </c>
      <c r="Y27" s="116">
        <f t="shared" si="1"/>
        <v>1.3686742050737226</v>
      </c>
      <c r="Z27" s="116">
        <f t="shared" si="2"/>
        <v>0.21294795119528273</v>
      </c>
      <c r="AA27" s="116">
        <f t="shared" si="3"/>
        <v>126.98340428556578</v>
      </c>
      <c r="AB27" s="116">
        <f t="shared" si="4"/>
        <v>0.31639857881257394</v>
      </c>
      <c r="AC27" s="116">
        <f t="shared" si="5"/>
        <v>1.6177153142513863</v>
      </c>
      <c r="AD27" s="116">
        <f t="shared" si="6"/>
        <v>0.47919338676643025</v>
      </c>
      <c r="AE27" s="116">
        <f t="shared" si="7"/>
        <v>-5.0695850815506525</v>
      </c>
      <c r="AF27" s="116">
        <f t="shared" si="8"/>
        <v>-188.00045922833678</v>
      </c>
      <c r="AG27" s="116">
        <f t="shared" si="9"/>
        <v>-0.59721170508195542</v>
      </c>
      <c r="AH27" s="116">
        <f t="shared" si="10"/>
        <v>-23.515941692101247</v>
      </c>
      <c r="AI27" s="116">
        <f t="shared" si="11"/>
        <v>-23.656752299767177</v>
      </c>
      <c r="AJ27" s="116">
        <f t="shared" si="12"/>
        <v>-3.3892287236910992</v>
      </c>
      <c r="AK27" s="116">
        <f t="shared" si="13"/>
        <v>0.14883600897733906</v>
      </c>
      <c r="AL27" s="116"/>
      <c r="AM27" s="116" t="s">
        <v>255</v>
      </c>
      <c r="AN27" s="116">
        <f>('Effluent Concentration'!AO7-'Influent Concentration'!AC7)/5.72</f>
        <v>11.699166778267529</v>
      </c>
      <c r="AO27" s="116">
        <v>0</v>
      </c>
      <c r="AP27" s="241">
        <f>AVERAGE(X19:X23)</f>
        <v>113.48074907197247</v>
      </c>
      <c r="AQ27" s="241">
        <f>STDEVA(X19:X23)</f>
        <v>3.6638602524792421</v>
      </c>
      <c r="AR27" s="241">
        <f>AVERAGE(X31:X46)</f>
        <v>118.45116040403552</v>
      </c>
      <c r="AS27" s="241">
        <f>STDEVA(X31:X46)</f>
        <v>3.740911103170018</v>
      </c>
      <c r="AT27" s="241">
        <f>AVERAGE(X51:X55)</f>
        <v>23.209319050127117</v>
      </c>
      <c r="AU27" s="241">
        <f>STDEVA(X51:X55)</f>
        <v>0.58098082105639193</v>
      </c>
      <c r="AV27" s="241">
        <f>AVERAGE(X62:X93)</f>
        <v>6.9901465856504794</v>
      </c>
      <c r="AW27" s="241">
        <f>STDEVA(X62:X93)</f>
        <v>1.1999720432242278</v>
      </c>
      <c r="AX27" s="116"/>
    </row>
    <row r="28" spans="1:108">
      <c r="A28" s="113">
        <f>Gas!A28</f>
        <v>48.746527777781012</v>
      </c>
      <c r="B28" s="181">
        <f>IF(HRT!B28="-", "-", 'Influent Concentration'!X28*HRT!B28/1000)</f>
        <v>255.41622387975636</v>
      </c>
      <c r="C28" s="181">
        <f>IF(HRT!B28="-", "-", 'Influent Concentration'!Y28*HRT!B28/1000)</f>
        <v>3.4547794308359343</v>
      </c>
      <c r="D28" s="181">
        <f>IF(HRT!B28="-", "-", 'Influent Concentration'!Z28*HRT!B28/1000)</f>
        <v>39.15702962030624</v>
      </c>
      <c r="E28" s="181">
        <f>IF(HRT!B28="-", "-", 'Influent Concentration'!AA28*HRT!B28/1000)</f>
        <v>26.104218795972891</v>
      </c>
      <c r="F28" s="181">
        <f>IF(HRT!B28="-", "-", 'Influent Concentration'!AB28*HRT!B28/1000)</f>
        <v>4.9235581232987951</v>
      </c>
      <c r="G28" s="181">
        <f>IF(HRT!B28="-", "-", 'Influent Concentration'!AC28*HRT!B28/1000)</f>
        <v>7.5583891302589219</v>
      </c>
      <c r="H28" s="181">
        <f>IF(HRT!B28="-", "-", 'Influent Concentration'!AD28*HRT!B28/1000)</f>
        <v>1.1169490518930711</v>
      </c>
      <c r="I28" s="181">
        <f>IF(HRT!B28="-", "-", 'Influent Concentration'!AE28*HRT!B28/1000)</f>
        <v>0.89230080112340071</v>
      </c>
      <c r="J28" s="182">
        <f>Gas!W28-Gas!S28</f>
        <v>21.898222516232465</v>
      </c>
      <c r="K28">
        <f>IF(HRT!D28="-", "-", 'Effluent Concentration'!AK28*HRT!D28/1000)</f>
        <v>18.673039647614555</v>
      </c>
      <c r="L28">
        <f>IF(HRT!D28="-", "-", 'Effluent Concentration'!AL28*HRT!D28/1000)</f>
        <v>0.88722528494941177</v>
      </c>
      <c r="M28">
        <f>IF(HRT!D28="-", "-", 'Effluent Concentration'!AM28*HRT!D28/1000)</f>
        <v>0.56807728222385889</v>
      </c>
      <c r="N28">
        <f>IF(HRT!D28="-", "-", 'Effluent Concentration'!AN28*HRT!D28/1000)</f>
        <v>0</v>
      </c>
      <c r="O28">
        <f>IF(HRT!D28="-", "-", 'Effluent Concentration'!AO28*HRT!D28/1000)</f>
        <v>153.7815261728696</v>
      </c>
      <c r="P28">
        <f>IF(HRT!D28="-", "-", 'Effluent Concentration'!AP28*HRT!D28/1000)</f>
        <v>3.1604354558416805</v>
      </c>
      <c r="Q28">
        <f>IF(HRT!D28="-", "-", 'Effluent Concentration'!AQ28*HRT!D28/1000)</f>
        <v>0.24670240999743986</v>
      </c>
      <c r="R28">
        <f>IF(HRT!D28="-", "-", 'Effluent Concentration'!AR28*HRT!D28/1000)</f>
        <v>167.79190302186987</v>
      </c>
      <c r="S28">
        <f>IF(HRT!D28="-", "-", 'Effluent Concentration'!AS28*HRT!D28/1000)</f>
        <v>0.52470007026926613</v>
      </c>
      <c r="T28">
        <f>IF(HRT!D28="-", "-", 'Effluent Concentration'!AT28*HRT!D28/1000)</f>
        <v>1.8770960260337126</v>
      </c>
      <c r="U28">
        <f>IF(HRT!D28="-", "-", 'Effluent Concentration'!AU28*HRT!D28/1000)</f>
        <v>0.59257638537737334</v>
      </c>
      <c r="V28" s="113" t="str">
        <f>Gas!T28</f>
        <v>-</v>
      </c>
      <c r="W28" s="113">
        <f>Gas!U28+Gas!O28</f>
        <v>23.44635010542596</v>
      </c>
      <c r="X28" s="116">
        <f t="shared" si="0"/>
        <v>146.22313704261069</v>
      </c>
      <c r="Y28" s="116">
        <f t="shared" si="1"/>
        <v>2.0434864039486094</v>
      </c>
      <c r="Z28" s="116">
        <f t="shared" si="2"/>
        <v>0.24670240999743986</v>
      </c>
      <c r="AA28" s="116">
        <f t="shared" si="3"/>
        <v>166.89960222074646</v>
      </c>
      <c r="AB28" s="116">
        <f t="shared" si="4"/>
        <v>0.52470007026926613</v>
      </c>
      <c r="AC28" s="116">
        <f t="shared" si="5"/>
        <v>1.8770960260337126</v>
      </c>
      <c r="AD28" s="116">
        <f t="shared" si="6"/>
        <v>0.59257638537737334</v>
      </c>
      <c r="AE28" s="116">
        <f t="shared" si="7"/>
        <v>1.5481275891934949</v>
      </c>
      <c r="AF28" s="116">
        <f t="shared" si="8"/>
        <v>-236.7431842321418</v>
      </c>
      <c r="AG28" s="116">
        <f t="shared" si="9"/>
        <v>-2.5675541458865228</v>
      </c>
      <c r="AH28" s="116">
        <f t="shared" si="10"/>
        <v>-38.588952338082379</v>
      </c>
      <c r="AI28" s="116">
        <f t="shared" si="11"/>
        <v>-26.104218795972891</v>
      </c>
      <c r="AJ28" s="116">
        <f t="shared" si="12"/>
        <v>-4.9235581232987951</v>
      </c>
      <c r="AK28" s="116">
        <f t="shared" si="13"/>
        <v>-11.027960512794637</v>
      </c>
      <c r="AL28" s="116"/>
      <c r="AM28" s="116" t="s">
        <v>256</v>
      </c>
      <c r="AN28" s="116">
        <f>('Effluent Concentration'!AP7-'Influent Concentration'!AD7)/5.72</f>
        <v>-0.27045039194067277</v>
      </c>
      <c r="AO28" s="116">
        <v>0</v>
      </c>
      <c r="AP28" s="241">
        <f>AVERAGE(Y19:Y23)</f>
        <v>3.3932883821394739</v>
      </c>
      <c r="AQ28" s="241">
        <f>STDEVA(Y19:Y23)</f>
        <v>0.45938167067470442</v>
      </c>
      <c r="AR28" s="241">
        <f>AVERAGE(Y31:Y46)</f>
        <v>1.1746439381791549</v>
      </c>
      <c r="AS28" s="241">
        <f>STDEVA(Y31:Y46)</f>
        <v>0.13802063385289198</v>
      </c>
      <c r="AT28" s="241">
        <f>AVERAGE(Y51:Y55)</f>
        <v>0.12953847318367276</v>
      </c>
      <c r="AU28" s="241">
        <f>STDEVA(Y51:Y55)</f>
        <v>0.11019789529235924</v>
      </c>
      <c r="AV28" s="241">
        <f>AVERAGE(Y62:Y93)</f>
        <v>6.7193176161384136E-2</v>
      </c>
      <c r="AW28" s="241">
        <f>STDEVA(Y62:Y93)</f>
        <v>2.2664800233152316E-2</v>
      </c>
      <c r="AX28" s="116"/>
    </row>
    <row r="29" spans="1:108">
      <c r="A29" s="113">
        <f>Gas!A29</f>
        <v>49.74861111111386</v>
      </c>
      <c r="B29" s="181">
        <f>IF(HRT!B29="-", "-", 'Influent Concentration'!X29*HRT!B29/1000)</f>
        <v>143.13762810442211</v>
      </c>
      <c r="C29" s="181">
        <f>IF(HRT!B29="-", "-", 'Influent Concentration'!Y29*HRT!B29/1000)</f>
        <v>1.9360905342747674</v>
      </c>
      <c r="D29" s="181">
        <f>IF(HRT!B29="-", "-", 'Influent Concentration'!Z29*HRT!B29/1000)</f>
        <v>21.943963693175018</v>
      </c>
      <c r="E29" s="181">
        <f>IF(HRT!B29="-", "-", 'Influent Concentration'!AA29*HRT!B29/1000)</f>
        <v>14.629047071549703</v>
      </c>
      <c r="F29" s="181">
        <f>IF(HRT!B29="-", "-", 'Influent Concentration'!AB29*HRT!B29/1000)</f>
        <v>2.7592077781833724</v>
      </c>
      <c r="G29" s="181">
        <f>IF(HRT!B29="-", "-", 'Influent Concentration'!AC29*HRT!B29/1000)</f>
        <v>4.2357915874006302</v>
      </c>
      <c r="H29" s="181">
        <f>IF(HRT!B29="-", "-", 'Influent Concentration'!AD29*HRT!B29/1000)</f>
        <v>0.62594864011740936</v>
      </c>
      <c r="I29" s="181">
        <f>IF(HRT!B29="-", "-", 'Influent Concentration'!AE29*HRT!B29/1000)</f>
        <v>0.50005367039099091</v>
      </c>
      <c r="J29" s="182">
        <f>Gas!W29-Gas!S29</f>
        <v>23.251605472064384</v>
      </c>
      <c r="K29">
        <f>IF(HRT!D29="-", "-", 'Effluent Concentration'!AK29*HRT!D29/1000)</f>
        <v>0</v>
      </c>
      <c r="L29">
        <f>IF(HRT!D29="-", "-", 'Effluent Concentration'!AL29*HRT!D29/1000)</f>
        <v>1.4248640575627391E-2</v>
      </c>
      <c r="M29">
        <f>IF(HRT!D29="-", "-", 'Effluent Concentration'!AM29*HRT!D29/1000)</f>
        <v>0</v>
      </c>
      <c r="N29">
        <f>IF(HRT!D29="-", "-", 'Effluent Concentration'!AN29*HRT!D29/1000)</f>
        <v>0.14092612180261141</v>
      </c>
      <c r="O29">
        <f>IF(HRT!D29="-", "-", 'Effluent Concentration'!AO29*HRT!D29/1000)</f>
        <v>98.997024640875651</v>
      </c>
      <c r="P29">
        <f>IF(HRT!D29="-", "-", 'Effluent Concentration'!AP29*HRT!D29/1000)</f>
        <v>1.8876871389815995</v>
      </c>
      <c r="Q29">
        <f>IF(HRT!D29="-", "-", 'Effluent Concentration'!AQ29*HRT!D29/1000)</f>
        <v>0.27048414081940375</v>
      </c>
      <c r="R29">
        <f>IF(HRT!D29="-", "-", 'Effluent Concentration'!AR29*HRT!D29/1000)</f>
        <v>107.39015932120975</v>
      </c>
      <c r="S29">
        <f>IF(HRT!D29="-", "-", 'Effluent Concentration'!AS29*HRT!D29/1000)</f>
        <v>0.37748304370377772</v>
      </c>
      <c r="T29">
        <f>IF(HRT!D29="-", "-", 'Effluent Concentration'!AT29*HRT!D29/1000)</f>
        <v>1.2311094720793658</v>
      </c>
      <c r="U29">
        <f>IF(HRT!D29="-", "-", 'Effluent Concentration'!AU29*HRT!D29/1000)</f>
        <v>0.48425769253861634</v>
      </c>
      <c r="V29" s="113" t="str">
        <f>Gas!T29</f>
        <v>-</v>
      </c>
      <c r="W29" s="113">
        <f>Gas!U29+Gas!O29</f>
        <v>25.747033129834911</v>
      </c>
      <c r="X29" s="116">
        <f t="shared" si="0"/>
        <v>94.761233053475024</v>
      </c>
      <c r="Y29" s="116">
        <f t="shared" si="1"/>
        <v>1.2617384988641902</v>
      </c>
      <c r="Z29" s="116">
        <f t="shared" si="2"/>
        <v>0.27048414081940375</v>
      </c>
      <c r="AA29" s="116">
        <f t="shared" si="3"/>
        <v>106.89010565081875</v>
      </c>
      <c r="AB29" s="116">
        <f t="shared" si="4"/>
        <v>0.37748304370377772</v>
      </c>
      <c r="AC29" s="116">
        <f t="shared" si="5"/>
        <v>1.2311094720793658</v>
      </c>
      <c r="AD29" s="116">
        <f t="shared" si="6"/>
        <v>0.48425769253861634</v>
      </c>
      <c r="AE29" s="116">
        <f t="shared" si="7"/>
        <v>2.4954276577705272</v>
      </c>
      <c r="AF29" s="116">
        <f t="shared" si="8"/>
        <v>-143.13762810442211</v>
      </c>
      <c r="AG29" s="116">
        <f t="shared" si="9"/>
        <v>-1.9218418936991399</v>
      </c>
      <c r="AH29" s="116">
        <f t="shared" si="10"/>
        <v>-21.943963693175018</v>
      </c>
      <c r="AI29" s="116">
        <f t="shared" si="11"/>
        <v>-14.488120949747092</v>
      </c>
      <c r="AJ29" s="116">
        <f t="shared" si="12"/>
        <v>-2.7592077781833724</v>
      </c>
      <c r="AK29" s="116">
        <f t="shared" si="13"/>
        <v>-23.521076790842955</v>
      </c>
      <c r="AL29" s="116"/>
      <c r="AM29" s="116" t="s">
        <v>203</v>
      </c>
      <c r="AN29" s="116">
        <f>'Effluent Concentration'!AQ7/5.72</f>
        <v>2.5397369626174532E-2</v>
      </c>
      <c r="AO29" s="116">
        <v>0</v>
      </c>
      <c r="AP29" s="241">
        <f>AVERAGE(Z19:Z23)</f>
        <v>0.17568825558777884</v>
      </c>
      <c r="AQ29" s="241">
        <f>STDEVA(Z19:Z23)</f>
        <v>6.9958938504267584E-2</v>
      </c>
      <c r="AR29" s="241">
        <f>AVERAGE(Z31:Z46)</f>
        <v>0.22259707892950767</v>
      </c>
      <c r="AS29" s="241">
        <f>STDEVA(Z31:Z46)</f>
        <v>4.1440453296360896E-2</v>
      </c>
      <c r="AT29" s="241">
        <f>AVERAGE(Z51:Z55)</f>
        <v>0.19572829478039983</v>
      </c>
      <c r="AU29" s="241">
        <f>STDEVA(Z51:Z55)</f>
        <v>5.6431268288604586E-3</v>
      </c>
      <c r="AV29" s="241">
        <f>AVERAGE(Z62:Z93)</f>
        <v>0.23873882620260034</v>
      </c>
      <c r="AW29" s="241">
        <f>STDEVA(Z62:Z93)</f>
        <v>0.69116819826370923</v>
      </c>
      <c r="AX29" s="116"/>
    </row>
    <row r="30" spans="1:108">
      <c r="A30" s="113">
        <f>Gas!A30</f>
        <v>52.738194444449618</v>
      </c>
      <c r="B30" s="181">
        <f>IF(HRT!B30="-", "-", 'Influent Concentration'!X30*HRT!B30/1000)</f>
        <v>176.69850597272298</v>
      </c>
      <c r="C30" s="181">
        <f>IF(HRT!B30="-", "-", 'Influent Concentration'!Y30*HRT!B30/1000)</f>
        <v>2.3900375419432662</v>
      </c>
      <c r="D30" s="181">
        <f>IF(HRT!B30="-", "-", 'Influent Concentration'!Z30*HRT!B30/1000)</f>
        <v>27.089072601335857</v>
      </c>
      <c r="E30" s="181">
        <f>IF(HRT!B30="-", "-", 'Influent Concentration'!AA30*HRT!B30/1000)</f>
        <v>18.059058233532458</v>
      </c>
      <c r="F30" s="181">
        <f>IF(HRT!B30="-", "-", 'Influent Concentration'!AB30*HRT!B30/1000)</f>
        <v>3.4061476254003678</v>
      </c>
      <c r="G30" s="181">
        <f>IF(HRT!B30="-", "-", 'Influent Concentration'!AC30*HRT!B30/1000)</f>
        <v>5.2289398323654153</v>
      </c>
      <c r="H30" s="181">
        <f>IF(HRT!B30="-", "-", 'Influent Concentration'!AD30*HRT!B30/1000)</f>
        <v>0.77271218609068781</v>
      </c>
      <c r="I30" s="181">
        <f>IF(HRT!B30="-", "-", 'Influent Concentration'!AE30*HRT!B30/1000)</f>
        <v>0.61729915211257302</v>
      </c>
      <c r="J30" s="182">
        <f>Gas!W30-Gas!S30</f>
        <v>39.316728359411854</v>
      </c>
      <c r="K30">
        <f>IF(HRT!D30="-", "-", 'Effluent Concentration'!AK30*HRT!D30/1000)</f>
        <v>0</v>
      </c>
      <c r="L30">
        <f>IF(HRT!D30="-", "-", 'Effluent Concentration'!AL30*HRT!D30/1000)</f>
        <v>1.4582039832379511E-2</v>
      </c>
      <c r="M30">
        <f>IF(HRT!D30="-", "-", 'Effluent Concentration'!AM30*HRT!D30/1000)</f>
        <v>6.2712645884358181E-2</v>
      </c>
      <c r="N30">
        <f>IF(HRT!D30="-", "-", 'Effluent Concentration'!AN30*HRT!D30/1000)</f>
        <v>0</v>
      </c>
      <c r="O30">
        <f>IF(HRT!D30="-", "-", 'Effluent Concentration'!AO30*HRT!D30/1000)</f>
        <v>122.98980931411609</v>
      </c>
      <c r="P30">
        <f>IF(HRT!D30="-", "-", 'Effluent Concentration'!AP30*HRT!D30/1000)</f>
        <v>2.2538325947563509</v>
      </c>
      <c r="Q30">
        <f>IF(HRT!D30="-", "-", 'Effluent Concentration'!AQ30*HRT!D30/1000)</f>
        <v>0.19471902612624989</v>
      </c>
      <c r="R30">
        <f>IF(HRT!D30="-", "-", 'Effluent Concentration'!AR30*HRT!D30/1000)</f>
        <v>130.63746955255502</v>
      </c>
      <c r="S30">
        <f>IF(HRT!D30="-", "-", 'Effluent Concentration'!AS30*HRT!D30/1000)</f>
        <v>0.42509354156904938</v>
      </c>
      <c r="T30">
        <f>IF(HRT!D30="-", "-", 'Effluent Concentration'!AT30*HRT!D30/1000)</f>
        <v>1.6133068143885609</v>
      </c>
      <c r="U30">
        <f>IF(HRT!D30="-", "-", 'Effluent Concentration'!AU30*HRT!D30/1000)</f>
        <v>0.79433138751689125</v>
      </c>
      <c r="V30" s="113" t="str">
        <f>Gas!T30</f>
        <v>-</v>
      </c>
      <c r="W30" s="113">
        <f>Gas!U30+Gas!O30</f>
        <v>39.252867890495217</v>
      </c>
      <c r="X30" s="116">
        <f t="shared" si="0"/>
        <v>117.76086948175067</v>
      </c>
      <c r="Y30" s="116">
        <f t="shared" si="1"/>
        <v>1.4811204086656631</v>
      </c>
      <c r="Z30" s="116">
        <f t="shared" si="2"/>
        <v>0.19471902612624989</v>
      </c>
      <c r="AA30" s="116">
        <f t="shared" si="3"/>
        <v>130.02017040044245</v>
      </c>
      <c r="AB30" s="116">
        <f t="shared" si="4"/>
        <v>0.42509354156904938</v>
      </c>
      <c r="AC30" s="116">
        <f t="shared" si="5"/>
        <v>1.6133068143885609</v>
      </c>
      <c r="AD30" s="116">
        <f t="shared" si="6"/>
        <v>0.79433138751689125</v>
      </c>
      <c r="AE30" s="116">
        <f t="shared" si="7"/>
        <v>-6.3860468916637103E-2</v>
      </c>
      <c r="AF30" s="116">
        <f t="shared" si="8"/>
        <v>-176.69850597272298</v>
      </c>
      <c r="AG30" s="116">
        <f t="shared" si="9"/>
        <v>-2.3754555021108867</v>
      </c>
      <c r="AH30" s="116">
        <f t="shared" si="10"/>
        <v>-27.0263599554515</v>
      </c>
      <c r="AI30" s="116">
        <f t="shared" si="11"/>
        <v>-18.059058233532458</v>
      </c>
      <c r="AJ30" s="116">
        <f t="shared" si="12"/>
        <v>-3.4061476254003678</v>
      </c>
      <c r="AK30" s="116">
        <f t="shared" si="13"/>
        <v>-24.660223302324731</v>
      </c>
      <c r="AL30" s="116"/>
      <c r="AM30" s="116" t="s">
        <v>149</v>
      </c>
      <c r="AN30" s="116">
        <f>('Effluent Concentration'!AR7-'Influent Concentration'!AE7)/5.72</f>
        <v>17.678950263219928</v>
      </c>
      <c r="AO30" s="116">
        <v>0</v>
      </c>
      <c r="AP30" s="241">
        <f>AVERAGE(AA19:AA23)</f>
        <v>127.89296312864511</v>
      </c>
      <c r="AQ30" s="241">
        <f>STDEVA(AA19:AA23)</f>
        <v>2.3311806284357259</v>
      </c>
      <c r="AR30" s="241">
        <f>AVERAGE(AA31:AA46)</f>
        <v>128.99932587795024</v>
      </c>
      <c r="AS30" s="241">
        <f>STDEVA(AA31:AA46)</f>
        <v>4.7884528852612318</v>
      </c>
      <c r="AT30" s="241">
        <f>AVERAGE(AA51:AA55)</f>
        <v>15.984321759484663</v>
      </c>
      <c r="AU30" s="241">
        <f>STDEVA(AA51:AA55)</f>
        <v>0.88509955081481739</v>
      </c>
      <c r="AV30" s="241">
        <f>AVERAGE(AA62:AA93)</f>
        <v>4.6942129078270707</v>
      </c>
      <c r="AW30" s="241">
        <f>STDEVA(AA62:AA93)</f>
        <v>1.7464925365784394</v>
      </c>
      <c r="AX30" s="116"/>
    </row>
    <row r="31" spans="1:108">
      <c r="A31" s="231">
        <f>Gas!A31</f>
        <v>54.743055555554747</v>
      </c>
      <c r="B31" s="181">
        <f>IF(HRT!B31="-", "-", 'Influent Concentration'!X31*HRT!B31/1000)</f>
        <v>176.51229774680479</v>
      </c>
      <c r="C31" s="181">
        <f>IF(HRT!B31="-", "-", 'Influent Concentration'!Y31*HRT!B31/1000)</f>
        <v>2.3875188752000862</v>
      </c>
      <c r="D31" s="181">
        <f>IF(HRT!B31="-", "-", 'Influent Concentration'!Z31*HRT!B31/1000)</f>
        <v>27.060525624534357</v>
      </c>
      <c r="E31" s="181">
        <f>IF(HRT!B31="-", "-", 'Influent Concentration'!AA31*HRT!B31/1000)</f>
        <v>18.040027256575932</v>
      </c>
      <c r="F31" s="181">
        <f>IF(HRT!B31="-", "-", 'Influent Concentration'!AB31*HRT!B31/1000)</f>
        <v>3.402558162642606</v>
      </c>
      <c r="G31" s="181">
        <f>IF(HRT!B31="-", "-", 'Influent Concentration'!AC31*HRT!B31/1000)</f>
        <v>5.2234294767217291</v>
      </c>
      <c r="H31" s="181">
        <f>IF(HRT!B31="-", "-", 'Influent Concentration'!AD31*HRT!B31/1000)</f>
        <v>0.77189788738156628</v>
      </c>
      <c r="I31" s="181">
        <f>IF(HRT!B31="-", "-", 'Influent Concentration'!AE31*HRT!B31/1000)</f>
        <v>0.61664863059659925</v>
      </c>
      <c r="J31" s="182">
        <f>Gas!W31-Gas!S31</f>
        <v>44.161402959470138</v>
      </c>
      <c r="K31">
        <f>IF(HRT!D31="-", "-", 'Effluent Concentration'!AK31*HRT!D31/1000)</f>
        <v>0</v>
      </c>
      <c r="L31">
        <f>IF(HRT!D31="-", "-", 'Effluent Concentration'!AL31*HRT!D31/1000)</f>
        <v>9.9028350028235838E-3</v>
      </c>
      <c r="M31">
        <f>IF(HRT!D31="-", "-", 'Effluent Concentration'!AM31*HRT!D31/1000)</f>
        <v>0</v>
      </c>
      <c r="N31">
        <f>IF(HRT!D31="-", "-", 'Effluent Concentration'!AN31*HRT!D31/1000)</f>
        <v>0</v>
      </c>
      <c r="O31">
        <f>IF(HRT!D31="-", "-", 'Effluent Concentration'!AO31*HRT!D31/1000)</f>
        <v>122.24046705746525</v>
      </c>
      <c r="P31">
        <f>IF(HRT!D31="-", "-", 'Effluent Concentration'!AP31*HRT!D31/1000)</f>
        <v>1.9506573108008565</v>
      </c>
      <c r="Q31">
        <f>IF(HRT!D31="-", "-", 'Effluent Concentration'!AQ31*HRT!D31/1000)</f>
        <v>0.19835397617249106</v>
      </c>
      <c r="R31">
        <f>IF(HRT!D31="-", "-", 'Effluent Concentration'!AR31*HRT!D31/1000)</f>
        <v>131.42160396892001</v>
      </c>
      <c r="S31">
        <f>IF(HRT!D31="-", "-", 'Effluent Concentration'!AS31*HRT!D31/1000)</f>
        <v>0.26607808880255068</v>
      </c>
      <c r="T31">
        <f>IF(HRT!D31="-", "-", 'Effluent Concentration'!AT31*HRT!D31/1000)</f>
        <v>1.5651652282502981</v>
      </c>
      <c r="U31">
        <f>IF(HRT!D31="-", "-", 'Effluent Concentration'!AU31*HRT!D31/1000)</f>
        <v>1.111906528986329</v>
      </c>
      <c r="V31" s="113" t="str">
        <f>Gas!T31</f>
        <v>-</v>
      </c>
      <c r="W31" s="113">
        <f>Gas!U31+Gas!O31</f>
        <v>44.076036944577815</v>
      </c>
      <c r="X31" s="116">
        <f t="shared" si="0"/>
        <v>117.01703758074352</v>
      </c>
      <c r="Y31" s="116">
        <f t="shared" si="1"/>
        <v>1.1787594234192902</v>
      </c>
      <c r="Z31" s="116">
        <f t="shared" si="2"/>
        <v>0.19835397617249106</v>
      </c>
      <c r="AA31" s="116">
        <f t="shared" si="3"/>
        <v>130.80495533832342</v>
      </c>
      <c r="AB31" s="116">
        <f t="shared" si="4"/>
        <v>0.26607808880255068</v>
      </c>
      <c r="AC31" s="116">
        <f t="shared" si="5"/>
        <v>1.5651652282502981</v>
      </c>
      <c r="AD31" s="116">
        <f t="shared" si="6"/>
        <v>1.111906528986329</v>
      </c>
      <c r="AE31" s="116">
        <f t="shared" si="7"/>
        <v>-8.5366014892322539E-2</v>
      </c>
      <c r="AF31" s="116">
        <f t="shared" si="8"/>
        <v>-176.51229774680479</v>
      </c>
      <c r="AG31" s="116">
        <f t="shared" si="9"/>
        <v>-2.3776160401972626</v>
      </c>
      <c r="AH31" s="116">
        <f t="shared" si="10"/>
        <v>-27.060525624534357</v>
      </c>
      <c r="AI31" s="116">
        <f t="shared" si="11"/>
        <v>-18.040027256575932</v>
      </c>
      <c r="AJ31" s="116">
        <f t="shared" si="12"/>
        <v>-3.402558162642606</v>
      </c>
      <c r="AK31" s="116">
        <f t="shared" si="13"/>
        <v>-24.663865319050629</v>
      </c>
      <c r="AL31" s="116"/>
      <c r="AM31" s="116" t="s">
        <v>204</v>
      </c>
      <c r="AN31" s="116">
        <f>'Effluent Concentration'!AS7/5.72</f>
        <v>3.6803498078343863E-2</v>
      </c>
      <c r="AO31" s="116">
        <v>0</v>
      </c>
      <c r="AP31" s="241">
        <f>AVERAGE(AB19:AB23)</f>
        <v>0.28635834244889236</v>
      </c>
      <c r="AQ31" s="241">
        <f>STDEVA(AB19:AB23)</f>
        <v>0.12007177474087113</v>
      </c>
      <c r="AR31" s="241">
        <f>AVERAGE(AB31:AB46)</f>
        <v>0.3289026910799332</v>
      </c>
      <c r="AS31" s="241">
        <f>STDEVA(AB31:AB46)</f>
        <v>7.2213915911636048E-2</v>
      </c>
      <c r="AT31" s="241">
        <f>AVERAGE(AB51:AB55)</f>
        <v>0.28731310161951817</v>
      </c>
      <c r="AU31" s="241">
        <f>STDEVA(AB51:AB55)</f>
        <v>2.8719728386133681E-2</v>
      </c>
      <c r="AV31" s="241">
        <f>AVERAGE(AB62:AB93)</f>
        <v>6.598390528028894E-2</v>
      </c>
      <c r="AW31" s="241">
        <f>STDEVA(AB62:AB93)</f>
        <v>1.3276258109356273E-2</v>
      </c>
      <c r="AX31" s="116"/>
    </row>
    <row r="32" spans="1:108">
      <c r="A32" s="231">
        <f>Gas!A32</f>
        <v>56.75</v>
      </c>
      <c r="B32" s="181">
        <f>IF(HRT!B32="-", "-", 'Influent Concentration'!X32*HRT!B32/1000)</f>
        <v>179.89181288337883</v>
      </c>
      <c r="C32" s="181">
        <f>IF(HRT!B32="-", "-", 'Influent Concentration'!Y32*HRT!B32/1000)</f>
        <v>2.4332304560961031</v>
      </c>
      <c r="D32" s="181">
        <f>IF(HRT!B32="-", "-", 'Influent Concentration'!Z32*HRT!B32/1000)</f>
        <v>27.578628086057709</v>
      </c>
      <c r="E32" s="181">
        <f>IF(HRT!B32="-", "-", 'Influent Concentration'!AA32*HRT!B32/1000)</f>
        <v>18.385422710354788</v>
      </c>
      <c r="F32" s="181">
        <f>IF(HRT!B32="-", "-", 'Influent Concentration'!AB32*HRT!B32/1000)</f>
        <v>3.467703747174165</v>
      </c>
      <c r="G32" s="181">
        <f>IF(HRT!B32="-", "-", 'Influent Concentration'!AC32*HRT!B32/1000)</f>
        <v>5.3234375736461113</v>
      </c>
      <c r="H32" s="181">
        <f>IF(HRT!B32="-", "-", 'Influent Concentration'!AD32*HRT!B32/1000)</f>
        <v>0.78667669105470994</v>
      </c>
      <c r="I32" s="181">
        <f>IF(HRT!B32="-", "-", 'Influent Concentration'!AE32*HRT!B32/1000)</f>
        <v>0.62845502260243091</v>
      </c>
      <c r="J32" s="182">
        <f>Gas!W32-Gas!S32</f>
        <v>37.540866899822788</v>
      </c>
      <c r="K32">
        <f>IF(HRT!D32="-", "-", 'Effluent Concentration'!AK32*HRT!D32/1000)</f>
        <v>0</v>
      </c>
      <c r="L32">
        <f>IF(HRT!D32="-", "-", 'Effluent Concentration'!AL32*HRT!D32/1000)</f>
        <v>7.4572922377230131E-3</v>
      </c>
      <c r="M32">
        <f>IF(HRT!D32="-", "-", 'Effluent Concentration'!AM32*HRT!D32/1000)</f>
        <v>0</v>
      </c>
      <c r="N32">
        <f>IF(HRT!D32="-", "-", 'Effluent Concentration'!AN32*HRT!D32/1000)</f>
        <v>0</v>
      </c>
      <c r="O32">
        <f>IF(HRT!D32="-", "-", 'Effluent Concentration'!AO32*HRT!D32/1000)</f>
        <v>123.71340879157707</v>
      </c>
      <c r="P32">
        <f>IF(HRT!D32="-", "-", 'Effluent Concentration'!AP32*HRT!D32/1000)</f>
        <v>1.7765881370524126</v>
      </c>
      <c r="Q32">
        <f>IF(HRT!D32="-", "-", 'Effluent Concentration'!AQ32*HRT!D32/1000)</f>
        <v>0.23802002155285543</v>
      </c>
      <c r="R32">
        <f>IF(HRT!D32="-", "-", 'Effluent Concentration'!AR32*HRT!D32/1000)</f>
        <v>133.42722351048639</v>
      </c>
      <c r="S32">
        <f>IF(HRT!D32="-", "-", 'Effluent Concentration'!AS32*HRT!D32/1000)</f>
        <v>0.39288057423478301</v>
      </c>
      <c r="T32">
        <f>IF(HRT!D32="-", "-", 'Effluent Concentration'!AT32*HRT!D32/1000)</f>
        <v>1.6815288577248717</v>
      </c>
      <c r="U32">
        <f>IF(HRT!D32="-", "-", 'Effluent Concentration'!AU32*HRT!D32/1000)</f>
        <v>1.4038185721537177</v>
      </c>
      <c r="V32" s="113" t="str">
        <f>Gas!T32</f>
        <v>-</v>
      </c>
      <c r="W32" s="113">
        <f>Gas!U32+Gas!O32</f>
        <v>39.827481858071174</v>
      </c>
      <c r="X32" s="116">
        <f t="shared" si="0"/>
        <v>118.38997121793095</v>
      </c>
      <c r="Y32" s="116">
        <f t="shared" si="1"/>
        <v>0.98991144599770264</v>
      </c>
      <c r="Z32" s="116">
        <f t="shared" si="2"/>
        <v>0.23802002155285543</v>
      </c>
      <c r="AA32" s="116">
        <f t="shared" si="3"/>
        <v>132.79876848788396</v>
      </c>
      <c r="AB32" s="116">
        <f t="shared" si="4"/>
        <v>0.39288057423478301</v>
      </c>
      <c r="AC32" s="116">
        <f t="shared" si="5"/>
        <v>1.6815288577248717</v>
      </c>
      <c r="AD32" s="116">
        <f t="shared" si="6"/>
        <v>1.4038185721537177</v>
      </c>
      <c r="AE32" s="116">
        <f t="shared" si="7"/>
        <v>2.2866149582483857</v>
      </c>
      <c r="AF32" s="116">
        <f t="shared" si="8"/>
        <v>-179.89181288337883</v>
      </c>
      <c r="AG32" s="116">
        <f t="shared" si="9"/>
        <v>-2.4257731638583802</v>
      </c>
      <c r="AH32" s="116">
        <f t="shared" si="10"/>
        <v>-27.578628086057709</v>
      </c>
      <c r="AI32" s="116">
        <f t="shared" si="11"/>
        <v>-18.385422710354788</v>
      </c>
      <c r="AJ32" s="116">
        <f t="shared" si="12"/>
        <v>-3.467703747174165</v>
      </c>
      <c r="AK32" s="116">
        <f t="shared" si="13"/>
        <v>-26.432173544903367</v>
      </c>
      <c r="AL32" s="116"/>
      <c r="AM32" s="116" t="s">
        <v>150</v>
      </c>
      <c r="AN32" s="116">
        <f>'Effluent Concentration'!AT7/5.72</f>
        <v>8.5589530414753187E-2</v>
      </c>
      <c r="AO32" s="116">
        <v>0</v>
      </c>
      <c r="AP32" s="241">
        <f>AVERAGE(AC19:AC23)</f>
        <v>1.8423853984137426</v>
      </c>
      <c r="AQ32" s="241">
        <f>STDEVA(AC19:AC23)</f>
        <v>3.912447559004633E-2</v>
      </c>
      <c r="AR32" s="241">
        <f>AVERAGE(AC31:AC46)</f>
        <v>1.5678844055107326</v>
      </c>
      <c r="AS32" s="241">
        <f>STDEVA(AC31:AC46)</f>
        <v>9.8694450694173277E-2</v>
      </c>
      <c r="AT32" s="241">
        <f>AVERAGE(AC51:AC55)</f>
        <v>0.25222626413462357</v>
      </c>
      <c r="AU32" s="241">
        <f>STDEVA(AC51:AC55)</f>
        <v>1.3252728218121877E-2</v>
      </c>
      <c r="AV32" s="241">
        <f>AVERAGE(AC62:AC93)</f>
        <v>6.7097996074494543E-2</v>
      </c>
      <c r="AW32" s="241">
        <f>STDEVA(AC62:AC93)</f>
        <v>1.9948568987182308E-2</v>
      </c>
      <c r="AX32" s="116"/>
    </row>
    <row r="33" spans="1:108">
      <c r="A33" s="231">
        <f>Gas!A33</f>
        <v>59.74722222222772</v>
      </c>
      <c r="B33" s="181">
        <f>IF(HRT!B33="-", "-", 'Influent Concentration'!X33*HRT!B33/1000)</f>
        <v>177.23315571108134</v>
      </c>
      <c r="C33" s="181">
        <f>IF(HRT!B33="-", "-", 'Influent Concentration'!Y33*HRT!B33/1000)</f>
        <v>1.3584824640352402</v>
      </c>
      <c r="D33" s="181">
        <f>IF(HRT!B33="-", "-", 'Influent Concentration'!Z33*HRT!B33/1000)</f>
        <v>26.823933778513606</v>
      </c>
      <c r="E33" s="181">
        <f>IF(HRT!B33="-", "-", 'Influent Concentration'!AA33*HRT!B33/1000)</f>
        <v>18.145064198180041</v>
      </c>
      <c r="F33" s="181">
        <f>IF(HRT!B33="-", "-", 'Influent Concentration'!AB33*HRT!B33/1000)</f>
        <v>3.3198207125721626</v>
      </c>
      <c r="G33" s="181">
        <f>IF(HRT!B33="-", "-", 'Influent Concentration'!AC33*HRT!B33/1000)</f>
        <v>3.1935407179161088</v>
      </c>
      <c r="H33" s="181">
        <f>IF(HRT!B33="-", "-", 'Influent Concentration'!AD33*HRT!B33/1000)</f>
        <v>0.59202089968004445</v>
      </c>
      <c r="I33" s="181">
        <f>IF(HRT!B33="-", "-", 'Influent Concentration'!AE33*HRT!B33/1000)</f>
        <v>0.49176786662549987</v>
      </c>
      <c r="J33" s="182">
        <f>Gas!W33-Gas!S33</f>
        <v>36.500531050392965</v>
      </c>
      <c r="K33">
        <f>IF(HRT!D33="-", "-", 'Effluent Concentration'!AK33*HRT!D33/1000)</f>
        <v>0</v>
      </c>
      <c r="L33">
        <f>IF(HRT!D33="-", "-", 'Effluent Concentration'!AL33*HRT!D33/1000)</f>
        <v>7.1644737162891749E-3</v>
      </c>
      <c r="M33">
        <f>IF(HRT!D33="-", "-", 'Effluent Concentration'!AM33*HRT!D33/1000)</f>
        <v>0</v>
      </c>
      <c r="N33">
        <f>IF(HRT!D33="-", "-", 'Effluent Concentration'!AN33*HRT!D33/1000)</f>
        <v>0</v>
      </c>
      <c r="O33">
        <f>IF(HRT!D33="-", "-", 'Effluent Concentration'!AO33*HRT!D33/1000)</f>
        <v>122.64234356043264</v>
      </c>
      <c r="P33">
        <f>IF(HRT!D33="-", "-", 'Effluent Concentration'!AP33*HRT!D33/1000)</f>
        <v>2.0232162360041368</v>
      </c>
      <c r="Q33">
        <f>IF(HRT!D33="-", "-", 'Effluent Concentration'!AQ33*HRT!D33/1000)</f>
        <v>0.30334294438994269</v>
      </c>
      <c r="R33">
        <f>IF(HRT!D33="-", "-", 'Effluent Concentration'!AR33*HRT!D33/1000)</f>
        <v>128.42606902564361</v>
      </c>
      <c r="S33">
        <f>IF(HRT!D33="-", "-", 'Effluent Concentration'!AS33*HRT!D33/1000)</f>
        <v>0.47307530410686943</v>
      </c>
      <c r="T33">
        <f>IF(HRT!D33="-", "-", 'Effluent Concentration'!AT33*HRT!D33/1000)</f>
        <v>1.5651746763535788</v>
      </c>
      <c r="U33">
        <f>IF(HRT!D33="-", "-", 'Effluent Concentration'!AU33*HRT!D33/1000)</f>
        <v>1.964636110770265</v>
      </c>
      <c r="V33" s="113" t="str">
        <f>Gas!T33</f>
        <v>-</v>
      </c>
      <c r="W33" s="113">
        <f>Gas!U33+Gas!O33</f>
        <v>37.932505649284927</v>
      </c>
      <c r="X33" s="116">
        <f t="shared" si="0"/>
        <v>119.44880284251653</v>
      </c>
      <c r="Y33" s="116">
        <f t="shared" si="1"/>
        <v>1.4311953363240923</v>
      </c>
      <c r="Z33" s="116">
        <f t="shared" si="2"/>
        <v>0.30334294438994269</v>
      </c>
      <c r="AA33" s="116">
        <f t="shared" si="3"/>
        <v>127.93430115901812</v>
      </c>
      <c r="AB33" s="116">
        <f t="shared" si="4"/>
        <v>0.47307530410686943</v>
      </c>
      <c r="AC33" s="116">
        <f t="shared" si="5"/>
        <v>1.5651746763535788</v>
      </c>
      <c r="AD33" s="116">
        <f t="shared" si="6"/>
        <v>1.964636110770265</v>
      </c>
      <c r="AE33" s="116">
        <f t="shared" si="7"/>
        <v>1.4319745988919621</v>
      </c>
      <c r="AF33" s="116">
        <f t="shared" si="8"/>
        <v>-177.23315571108134</v>
      </c>
      <c r="AG33" s="116">
        <f t="shared" si="9"/>
        <v>-1.3513179903189509</v>
      </c>
      <c r="AH33" s="116">
        <f t="shared" si="10"/>
        <v>-26.823933778513606</v>
      </c>
      <c r="AI33" s="116">
        <f t="shared" si="11"/>
        <v>-18.145064198180041</v>
      </c>
      <c r="AJ33" s="116">
        <f t="shared" si="12"/>
        <v>-3.3198207125721626</v>
      </c>
      <c r="AK33" s="116">
        <f t="shared" si="13"/>
        <v>-27.679210581705277</v>
      </c>
      <c r="AL33" s="116"/>
      <c r="AM33" s="116" t="s">
        <v>151</v>
      </c>
      <c r="AN33" s="116">
        <f>'Effluent Concentration'!AU7/5.72</f>
        <v>0.23568889787898051</v>
      </c>
      <c r="AO33" s="116">
        <v>0</v>
      </c>
      <c r="AP33" s="241">
        <f>AVERAGE(AD19:AD23)</f>
        <v>0.69883321538922316</v>
      </c>
      <c r="AQ33" s="241">
        <f>STDEVA(AD19:AD23)</f>
        <v>7.5791443940237693E-2</v>
      </c>
      <c r="AR33" s="241">
        <f>AVERAGE(AD31:AD46)</f>
        <v>3.1432122540874876</v>
      </c>
      <c r="AS33" s="241">
        <f>STDEVA(AD31:AD46)</f>
        <v>1.2650771883663774</v>
      </c>
      <c r="AT33" s="241">
        <f>AVERAGE(AD51:AD55)</f>
        <v>0.77376946161229843</v>
      </c>
      <c r="AU33" s="241">
        <f>STDEVA(AD51:AD55)</f>
        <v>0.39136385364584769</v>
      </c>
      <c r="AV33" s="241">
        <f>AVERAGE(AD62:AD93)</f>
        <v>0.2843872510091584</v>
      </c>
      <c r="AW33" s="241">
        <f>STDEVA(AD62:AD93)</f>
        <v>0.13957672031047474</v>
      </c>
      <c r="AX33" s="116"/>
    </row>
    <row r="34" spans="1:108">
      <c r="A34" s="231">
        <f>Gas!A34</f>
        <v>61.711111111115315</v>
      </c>
      <c r="B34" s="181">
        <f>IF(HRT!B34="-", "-", 'Influent Concentration'!X34*HRT!B34/1000)</f>
        <v>176.8542339669479</v>
      </c>
      <c r="C34" s="181">
        <f>IF(HRT!B34="-", "-", 'Influent Concentration'!Y34*HRT!B34/1000)</f>
        <v>1.355578049550368</v>
      </c>
      <c r="D34" s="181">
        <f>IF(HRT!B34="-", "-", 'Influent Concentration'!Z34*HRT!B34/1000)</f>
        <v>26.766584623209713</v>
      </c>
      <c r="E34" s="181">
        <f>IF(HRT!B34="-", "-", 'Influent Concentration'!AA34*HRT!B34/1000)</f>
        <v>18.106270331728805</v>
      </c>
      <c r="F34" s="181">
        <f>IF(HRT!B34="-", "-", 'Influent Concentration'!AB34*HRT!B34/1000)</f>
        <v>3.312722987264666</v>
      </c>
      <c r="G34" s="181">
        <f>IF(HRT!B34="-", "-", 'Influent Concentration'!AC34*HRT!B34/1000)</f>
        <v>3.1867129772829368</v>
      </c>
      <c r="H34" s="181">
        <f>IF(HRT!B34="-", "-", 'Influent Concentration'!AD34*HRT!B34/1000)</f>
        <v>0.59075516815836526</v>
      </c>
      <c r="I34" s="181">
        <f>IF(HRT!B34="-", "-", 'Influent Concentration'!AE34*HRT!B34/1000)</f>
        <v>0.49071647453702255</v>
      </c>
      <c r="J34" s="182">
        <f>Gas!W34-Gas!S34</f>
        <v>36.365315614152905</v>
      </c>
      <c r="K34">
        <f>IF(HRT!D34="-", "-", 'Effluent Concentration'!AK34*HRT!D34/1000)</f>
        <v>0</v>
      </c>
      <c r="L34">
        <f>IF(HRT!D34="-", "-", 'Effluent Concentration'!AL34*HRT!D34/1000)</f>
        <v>9.614052876449999E-3</v>
      </c>
      <c r="M34">
        <f>IF(HRT!D34="-", "-", 'Effluent Concentration'!AM34*HRT!D34/1000)</f>
        <v>0</v>
      </c>
      <c r="N34">
        <f>IF(HRT!D34="-", "-", 'Effluent Concentration'!AN34*HRT!D34/1000)</f>
        <v>0</v>
      </c>
      <c r="O34">
        <f>IF(HRT!D34="-", "-", 'Effluent Concentration'!AO34*HRT!D34/1000)</f>
        <v>127.85527393512282</v>
      </c>
      <c r="P34">
        <f>IF(HRT!D34="-", "-", 'Effluent Concentration'!AP34*HRT!D34/1000)</f>
        <v>1.918911679723845</v>
      </c>
      <c r="Q34">
        <f>IF(HRT!D34="-", "-", 'Effluent Concentration'!AQ34*HRT!D34/1000)</f>
        <v>0.22075059113765902</v>
      </c>
      <c r="R34">
        <f>IF(HRT!D34="-", "-", 'Effluent Concentration'!AR34*HRT!D34/1000)</f>
        <v>134.75649383682079</v>
      </c>
      <c r="S34">
        <f>IF(HRT!D34="-", "-", 'Effluent Concentration'!AS34*HRT!D34/1000)</f>
        <v>0.32922988953223054</v>
      </c>
      <c r="T34">
        <f>IF(HRT!D34="-", "-", 'Effluent Concentration'!AT34*HRT!D34/1000)</f>
        <v>1.7069303503440261</v>
      </c>
      <c r="U34">
        <f>IF(HRT!D34="-", "-", 'Effluent Concentration'!AU34*HRT!D34/1000)</f>
        <v>2.2979063740795427</v>
      </c>
      <c r="V34" s="113" t="str">
        <f>Gas!T34</f>
        <v>-</v>
      </c>
      <c r="W34" s="113">
        <f>Gas!U34+Gas!O34</f>
        <v>37.486936227896635</v>
      </c>
      <c r="X34" s="116">
        <f t="shared" si="0"/>
        <v>124.66856095783989</v>
      </c>
      <c r="Y34" s="116">
        <f t="shared" si="1"/>
        <v>1.3281565115654796</v>
      </c>
      <c r="Z34" s="116">
        <f t="shared" si="2"/>
        <v>0.22075059113765902</v>
      </c>
      <c r="AA34" s="116">
        <f t="shared" si="3"/>
        <v>134.26577736228379</v>
      </c>
      <c r="AB34" s="116">
        <f t="shared" si="4"/>
        <v>0.32922988953223054</v>
      </c>
      <c r="AC34" s="116">
        <f t="shared" si="5"/>
        <v>1.7069303503440261</v>
      </c>
      <c r="AD34" s="116">
        <f t="shared" si="6"/>
        <v>2.2979063740795427</v>
      </c>
      <c r="AE34" s="116">
        <f t="shared" si="7"/>
        <v>1.1216206137437297</v>
      </c>
      <c r="AF34" s="116">
        <f t="shared" si="8"/>
        <v>-176.8542339669479</v>
      </c>
      <c r="AG34" s="116">
        <f t="shared" si="9"/>
        <v>-1.3459639966739181</v>
      </c>
      <c r="AH34" s="116">
        <f t="shared" si="10"/>
        <v>-26.766584623209713</v>
      </c>
      <c r="AI34" s="116">
        <f t="shared" si="11"/>
        <v>-18.106270331728805</v>
      </c>
      <c r="AJ34" s="116">
        <f t="shared" si="12"/>
        <v>-3.312722987264666</v>
      </c>
      <c r="AK34" s="116">
        <f t="shared" si="13"/>
        <v>-39.553156744701397</v>
      </c>
      <c r="AL34" s="116"/>
      <c r="AM34" s="116" t="s">
        <v>248</v>
      </c>
      <c r="AN34" s="116">
        <f>AVERAGE(('Effluent Concentration'!AK5-'Influent Concentration'!X5),('Effluent Concentration'!AK6-'Influent Concentration'!X6),('Effluent Concentration'!AK7-'Influent Concentration'!X7))/5.72</f>
        <v>-28.009510481449745</v>
      </c>
      <c r="AO34" s="116">
        <f>STDEVA(('Effluent Concentration'!AK5-'Influent Concentration'!X5),('Effluent Concentration'!AK6-'Influent Concentration'!X6),('Effluent Concentration'!AK7-'Influent Concentration'!X7))/5.72</f>
        <v>7.9777239363665107</v>
      </c>
      <c r="AP34" s="241">
        <f>AVERAGE(AF19:AF23)</f>
        <v>-186.65866124512345</v>
      </c>
      <c r="AQ34" s="241">
        <f>STDEVA(AF19:AF23)</f>
        <v>9.1605807391473419</v>
      </c>
      <c r="AR34" s="241">
        <f>AVERAGE(AF31:AF46)</f>
        <v>-174.87336619665695</v>
      </c>
      <c r="AS34" s="241">
        <f>STDEVA(AF31:AF46)</f>
        <v>14.726789053171945</v>
      </c>
      <c r="AT34" s="241">
        <f>AVERAGE(AF51:AF55)</f>
        <v>0</v>
      </c>
      <c r="AU34" s="241">
        <f>STDEVA(AF51:AF55)</f>
        <v>0</v>
      </c>
      <c r="AV34" s="241">
        <f>AVERAGE(AF62:AF93)</f>
        <v>0</v>
      </c>
      <c r="AW34" s="241">
        <f>STDEVA(AF62:AF93)</f>
        <v>0</v>
      </c>
      <c r="AX34" s="116"/>
    </row>
    <row r="35" spans="1:108">
      <c r="A35" s="231">
        <f>Gas!A35</f>
        <v>63.732638888890506</v>
      </c>
      <c r="B35" s="181">
        <f>IF(HRT!B35="-", "-", 'Influent Concentration'!X35*HRT!B35/1000)</f>
        <v>176.12845501980388</v>
      </c>
      <c r="C35" s="181">
        <f>IF(HRT!B35="-", "-", 'Influent Concentration'!Y35*HRT!B35/1000)</f>
        <v>1.350014993538047</v>
      </c>
      <c r="D35" s="181">
        <f>IF(HRT!B35="-", "-", 'Influent Concentration'!Z35*HRT!B35/1000)</f>
        <v>26.656739225840795</v>
      </c>
      <c r="E35" s="181">
        <f>IF(HRT!B35="-", "-", 'Influent Concentration'!AA35*HRT!B35/1000)</f>
        <v>18.031965354554647</v>
      </c>
      <c r="F35" s="181">
        <f>IF(HRT!B35="-", "-", 'Influent Concentration'!AB35*HRT!B35/1000)</f>
        <v>3.299128149595548</v>
      </c>
      <c r="G35" s="181">
        <f>IF(HRT!B35="-", "-", 'Influent Concentration'!AC35*HRT!B35/1000)</f>
        <v>3.1736352627288436</v>
      </c>
      <c r="H35" s="181">
        <f>IF(HRT!B35="-", "-", 'Influent Concentration'!AD35*HRT!B35/1000)</f>
        <v>0.58833081192810377</v>
      </c>
      <c r="I35" s="181">
        <f>IF(HRT!B35="-", "-", 'Influent Concentration'!AE35*HRT!B35/1000)</f>
        <v>0.48870265966673637</v>
      </c>
      <c r="J35" s="182">
        <f>Gas!W35-Gas!S35</f>
        <v>39.142822343477292</v>
      </c>
      <c r="K35">
        <f>IF(HRT!D35="-", "-", 'Effluent Concentration'!AK35*HRT!D35/1000)</f>
        <v>0</v>
      </c>
      <c r="L35">
        <f>IF(HRT!D35="-", "-", 'Effluent Concentration'!AL35*HRT!D35/1000)</f>
        <v>7.1686054175886162E-3</v>
      </c>
      <c r="M35">
        <f>IF(HRT!D35="-", "-", 'Effluent Concentration'!AM35*HRT!D35/1000)</f>
        <v>0.1010534224678398</v>
      </c>
      <c r="N35">
        <f>IF(HRT!D35="-", "-", 'Effluent Concentration'!AN35*HRT!D35/1000)</f>
        <v>0</v>
      </c>
      <c r="O35">
        <f>IF(HRT!D35="-", "-", 'Effluent Concentration'!AO35*HRT!D35/1000)</f>
        <v>120.67476124528221</v>
      </c>
      <c r="P35">
        <f>IF(HRT!D35="-", "-", 'Effluent Concentration'!AP35*HRT!D35/1000)</f>
        <v>1.7453014020497135</v>
      </c>
      <c r="Q35">
        <f>IF(HRT!D35="-", "-", 'Effluent Concentration'!AQ35*HRT!D35/1000)</f>
        <v>0.27083133918368585</v>
      </c>
      <c r="R35">
        <f>IF(HRT!D35="-", "-", 'Effluent Concentration'!AR35*HRT!D35/1000)</f>
        <v>125.71710594555816</v>
      </c>
      <c r="S35">
        <f>IF(HRT!D35="-", "-", 'Effluent Concentration'!AS35*HRT!D35/1000)</f>
        <v>0.35752890163202522</v>
      </c>
      <c r="T35">
        <f>IF(HRT!D35="-", "-", 'Effluent Concentration'!AT35*HRT!D35/1000)</f>
        <v>1.5509704465163912</v>
      </c>
      <c r="U35">
        <f>IF(HRT!D35="-", "-", 'Effluent Concentration'!AU35*HRT!D35/1000)</f>
        <v>2.4545549334099026</v>
      </c>
      <c r="V35" s="113" t="str">
        <f>Gas!T35</f>
        <v>-</v>
      </c>
      <c r="W35" s="113">
        <f>Gas!U35+Gas!O35</f>
        <v>38.276694177142062</v>
      </c>
      <c r="X35" s="116">
        <f t="shared" si="0"/>
        <v>117.50112598255338</v>
      </c>
      <c r="Y35" s="116">
        <f t="shared" si="1"/>
        <v>1.1569705901216096</v>
      </c>
      <c r="Z35" s="116">
        <f t="shared" si="2"/>
        <v>0.27083133918368585</v>
      </c>
      <c r="AA35" s="116">
        <f t="shared" si="3"/>
        <v>125.22840328589142</v>
      </c>
      <c r="AB35" s="116">
        <f t="shared" si="4"/>
        <v>0.35752890163202522</v>
      </c>
      <c r="AC35" s="116">
        <f t="shared" si="5"/>
        <v>1.5509704465163912</v>
      </c>
      <c r="AD35" s="116">
        <f t="shared" si="6"/>
        <v>2.4545549334099026</v>
      </c>
      <c r="AE35" s="116">
        <f t="shared" si="7"/>
        <v>-0.86612816633522982</v>
      </c>
      <c r="AF35" s="116">
        <f t="shared" si="8"/>
        <v>-176.12845501980388</v>
      </c>
      <c r="AG35" s="116">
        <f t="shared" si="9"/>
        <v>-1.3428463881204584</v>
      </c>
      <c r="AH35" s="116">
        <f t="shared" si="10"/>
        <v>-26.555685803372956</v>
      </c>
      <c r="AI35" s="116">
        <f t="shared" si="11"/>
        <v>-18.031965354554647</v>
      </c>
      <c r="AJ35" s="116">
        <f t="shared" si="12"/>
        <v>-3.299128149595548</v>
      </c>
      <c r="AK35" s="116">
        <f t="shared" si="13"/>
        <v>-22.296176597525694</v>
      </c>
      <c r="AL35" s="116"/>
      <c r="AM35" s="116" t="s">
        <v>257</v>
      </c>
      <c r="AN35" s="116">
        <f>('Effluent Concentration'!AL7-'Influent Concentration'!Y7)/5.72</f>
        <v>-3.2670314933063218</v>
      </c>
      <c r="AO35" s="116"/>
      <c r="AP35" s="241">
        <f>AVERAGE(AG19:AG23)</f>
        <v>-0.12192923369588746</v>
      </c>
      <c r="AQ35" s="241">
        <f>STDEVA(AG19:AG23)</f>
        <v>0.26605480873314247</v>
      </c>
      <c r="AR35" s="241">
        <f>AVERAGE(AG31:AG46)</f>
        <v>-4.6052537113566592</v>
      </c>
      <c r="AS35" s="241">
        <f>STDEVA(AG31:AG46)</f>
        <v>3.052450764903881</v>
      </c>
      <c r="AT35" s="241">
        <f>AVERAGE(AG51:AG55)</f>
        <v>1.5938828063934332E-3</v>
      </c>
      <c r="AU35" s="241">
        <f>STDEVA(AG51:AG55)</f>
        <v>6.0246956734235756E-4</v>
      </c>
      <c r="AV35" s="241">
        <f>AVERAGE(AG62:AG93)</f>
        <v>4.6765041075022789E-4</v>
      </c>
      <c r="AW35" s="241">
        <f>STDEVA(AG62:AG93)</f>
        <v>1.4904498807925685E-4</v>
      </c>
      <c r="AX35" s="116"/>
    </row>
    <row r="36" spans="1:108">
      <c r="A36" s="231">
        <f>Gas!A36</f>
        <v>66.740972222221899</v>
      </c>
      <c r="B36" s="181">
        <f>IF(HRT!B36="-", "-", 'Influent Concentration'!X36*HRT!B36/1000)</f>
        <v>175.16789278800246</v>
      </c>
      <c r="C36" s="181">
        <f>IF(HRT!B36="-", "-", 'Influent Concentration'!Y36*HRT!B36/1000)</f>
        <v>5.0695578067049452</v>
      </c>
      <c r="D36" s="181">
        <f>IF(HRT!B36="-", "-", 'Influent Concentration'!Z36*HRT!B36/1000)</f>
        <v>21.056895391244769</v>
      </c>
      <c r="E36" s="181">
        <f>IF(HRT!B36="-", "-", 'Influent Concentration'!AA36*HRT!B36/1000)</f>
        <v>16.726485985566399</v>
      </c>
      <c r="F36" s="181">
        <f>IF(HRT!B36="-", "-", 'Influent Concentration'!AB36*HRT!B36/1000)</f>
        <v>3.3858391143179984</v>
      </c>
      <c r="G36" s="181">
        <f>IF(HRT!B36="-", "-", 'Influent Concentration'!AC36*HRT!B36/1000)</f>
        <v>4.6718815022599047</v>
      </c>
      <c r="H36" s="181">
        <f>IF(HRT!B36="-", "-", 'Influent Concentration'!AD36*HRT!B36/1000)</f>
        <v>0.42859469137233508</v>
      </c>
      <c r="I36" s="181">
        <f>IF(HRT!B36="-", "-", 'Influent Concentration'!AE36*HRT!B36/1000)</f>
        <v>0.85107682382722483</v>
      </c>
      <c r="J36" s="182">
        <f>Gas!W36-Gas!S36</f>
        <v>41.186127993056743</v>
      </c>
      <c r="K36">
        <f>IF(HRT!D36="-", "-", 'Effluent Concentration'!AK36*HRT!D36/1000)</f>
        <v>0</v>
      </c>
      <c r="L36">
        <f>IF(HRT!D36="-", "-", 'Effluent Concentration'!AL36*HRT!D36/1000)</f>
        <v>7.2519793422674414E-3</v>
      </c>
      <c r="M36">
        <f>IF(HRT!D36="-", "-", 'Effluent Concentration'!AM36*HRT!D36/1000)</f>
        <v>9.1832575997773142E-2</v>
      </c>
      <c r="N36">
        <f>IF(HRT!D36="-", "-", 'Effluent Concentration'!AN36*HRT!D36/1000)</f>
        <v>0</v>
      </c>
      <c r="O36">
        <f>IF(HRT!D36="-", "-", 'Effluent Concentration'!AO36*HRT!D36/1000)</f>
        <v>125.10717039626159</v>
      </c>
      <c r="P36">
        <f>IF(HRT!D36="-", "-", 'Effluent Concentration'!AP36*HRT!D36/1000)</f>
        <v>1.6560400939476985</v>
      </c>
      <c r="Q36">
        <f>IF(HRT!D36="-", "-", 'Effluent Concentration'!AQ36*HRT!D36/1000)</f>
        <v>0.24091452336371963</v>
      </c>
      <c r="R36">
        <f>IF(HRT!D36="-", "-", 'Effluent Concentration'!AR36*HRT!D36/1000)</f>
        <v>131.02915782476188</v>
      </c>
      <c r="S36">
        <f>IF(HRT!D36="-", "-", 'Effluent Concentration'!AS36*HRT!D36/1000)</f>
        <v>0.41262896167988627</v>
      </c>
      <c r="T36">
        <f>IF(HRT!D36="-", "-", 'Effluent Concentration'!AT36*HRT!D36/1000)</f>
        <v>1.6759867702800315</v>
      </c>
      <c r="U36">
        <f>IF(HRT!D36="-", "-", 'Effluent Concentration'!AU36*HRT!D36/1000)</f>
        <v>2.8378313707991096</v>
      </c>
      <c r="V36" s="113" t="str">
        <f>Gas!T36</f>
        <v>-</v>
      </c>
      <c r="W36" s="113">
        <f>Gas!U36+Gas!O36</f>
        <v>39.217221603889833</v>
      </c>
      <c r="X36" s="116">
        <f t="shared" si="0"/>
        <v>120.43528889400169</v>
      </c>
      <c r="Y36" s="116">
        <f t="shared" si="1"/>
        <v>1.2274454025753634</v>
      </c>
      <c r="Z36" s="116">
        <f t="shared" si="2"/>
        <v>0.24091452336371963</v>
      </c>
      <c r="AA36" s="116">
        <f t="shared" si="3"/>
        <v>130.17808100093467</v>
      </c>
      <c r="AB36" s="116">
        <f t="shared" si="4"/>
        <v>0.41262896167988627</v>
      </c>
      <c r="AC36" s="116">
        <f t="shared" si="5"/>
        <v>1.6759867702800315</v>
      </c>
      <c r="AD36" s="116">
        <f t="shared" si="6"/>
        <v>2.8378313707991096</v>
      </c>
      <c r="AE36" s="116">
        <f t="shared" si="7"/>
        <v>-1.9689063891669107</v>
      </c>
      <c r="AF36" s="116">
        <f t="shared" si="8"/>
        <v>-175.16789278800246</v>
      </c>
      <c r="AG36" s="116">
        <f t="shared" si="9"/>
        <v>-5.0623058273626773</v>
      </c>
      <c r="AH36" s="116">
        <f t="shared" si="10"/>
        <v>-20.965062815246995</v>
      </c>
      <c r="AI36" s="116">
        <f t="shared" si="11"/>
        <v>-16.726485985566399</v>
      </c>
      <c r="AJ36" s="116">
        <f t="shared" si="12"/>
        <v>-3.3858391143179984</v>
      </c>
      <c r="AK36" s="116">
        <f t="shared" si="13"/>
        <v>-33.731684003971061</v>
      </c>
      <c r="AL36" s="116"/>
      <c r="AM36" s="116" t="s">
        <v>198</v>
      </c>
      <c r="AN36" s="116">
        <f>('Effluent Concentration'!AN7-'Influent Concentration'!AA7)/5.72</f>
        <v>-5.2472711407782953</v>
      </c>
      <c r="AO36" s="116"/>
      <c r="AP36" s="241">
        <f>AVERAGE(AI19:AI23)</f>
        <v>-21.080582344282124</v>
      </c>
      <c r="AQ36" s="241">
        <f>STDEVA(AI19:AI23)</f>
        <v>2.6789353001494209</v>
      </c>
      <c r="AR36" s="241">
        <f>AVERAGE(AI31:AI46)</f>
        <v>-17.209214328365878</v>
      </c>
      <c r="AS36" s="241">
        <f>STDEVA(AI31:AI46)</f>
        <v>1.0182708857010649</v>
      </c>
      <c r="AT36" s="241">
        <f>AVERAGE(AI51:AI55)</f>
        <v>3.8237019436489599E-2</v>
      </c>
      <c r="AU36" s="241">
        <f>STDEVA(AI51:AI55)</f>
        <v>5.2359669705718613E-2</v>
      </c>
      <c r="AV36" s="241">
        <f>AVERAGE(AI62:AI93)</f>
        <v>0</v>
      </c>
      <c r="AW36" s="241">
        <f>STDEVA(AI62:AI93)</f>
        <v>0</v>
      </c>
      <c r="AX36" s="116"/>
    </row>
    <row r="37" spans="1:108">
      <c r="A37" s="231">
        <f>Gas!A37</f>
        <v>68.715277777781012</v>
      </c>
      <c r="B37" s="181">
        <f>IF(HRT!B37="-", "-", 'Influent Concentration'!X37*HRT!B37/1000)</f>
        <v>175.0728452189102</v>
      </c>
      <c r="C37" s="181">
        <f>IF(HRT!B37="-", "-", 'Influent Concentration'!Y37*HRT!B37/1000)</f>
        <v>5.0668070220820853</v>
      </c>
      <c r="D37" s="181">
        <f>IF(HRT!B37="-", "-", 'Influent Concentration'!Z37*HRT!B37/1000)</f>
        <v>21.045469743041131</v>
      </c>
      <c r="E37" s="181">
        <f>IF(HRT!B37="-", "-", 'Influent Concentration'!AA37*HRT!B37/1000)</f>
        <v>16.717410053858366</v>
      </c>
      <c r="F37" s="181">
        <f>IF(HRT!B37="-", "-", 'Influent Concentration'!AB37*HRT!B37/1000)</f>
        <v>3.3840019295917827</v>
      </c>
      <c r="G37" s="181">
        <f>IF(HRT!B37="-", "-", 'Influent Concentration'!AC37*HRT!B37/1000)</f>
        <v>4.6693465001381718</v>
      </c>
      <c r="H37" s="181">
        <f>IF(HRT!B37="-", "-", 'Influent Concentration'!AD37*HRT!B37/1000)</f>
        <v>0.42836213229491271</v>
      </c>
      <c r="I37" s="181">
        <f>IF(HRT!B37="-", "-", 'Influent Concentration'!AE37*HRT!B37/1000)</f>
        <v>0.85061502239816134</v>
      </c>
      <c r="J37" s="182">
        <f>Gas!W37-Gas!S37</f>
        <v>39.925851061744652</v>
      </c>
      <c r="K37">
        <f>IF(HRT!D37="-", "-", 'Effluent Concentration'!AK37*HRT!D37/1000)</f>
        <v>0</v>
      </c>
      <c r="L37">
        <f>IF(HRT!D37="-", "-", 'Effluent Concentration'!AL37*HRT!D37/1000)</f>
        <v>9.5653819560701549E-3</v>
      </c>
      <c r="M37">
        <f>IF(HRT!D37="-", "-", 'Effluent Concentration'!AM37*HRT!D37/1000)</f>
        <v>0</v>
      </c>
      <c r="N37">
        <f>IF(HRT!D37="-", "-", 'Effluent Concentration'!AN37*HRT!D37/1000)</f>
        <v>0</v>
      </c>
      <c r="O37">
        <f>IF(HRT!D37="-", "-", 'Effluent Concentration'!AO37*HRT!D37/1000)</f>
        <v>120.71476148422559</v>
      </c>
      <c r="P37">
        <f>IF(HRT!D37="-", "-", 'Effluent Concentration'!AP37*HRT!D37/1000)</f>
        <v>1.413139437183192</v>
      </c>
      <c r="Q37">
        <f>IF(HRT!D37="-", "-", 'Effluent Concentration'!AQ37*HRT!D37/1000)</f>
        <v>0.17290261097564946</v>
      </c>
      <c r="R37">
        <f>IF(HRT!D37="-", "-", 'Effluent Concentration'!AR37*HRT!D37/1000)</f>
        <v>126.98995819630468</v>
      </c>
      <c r="S37">
        <f>IF(HRT!D37="-", "-", 'Effluent Concentration'!AS37*HRT!D37/1000)</f>
        <v>0.25701110326607057</v>
      </c>
      <c r="T37">
        <f>IF(HRT!D37="-", "-", 'Effluent Concentration'!AT37*HRT!D37/1000)</f>
        <v>1.5471060529937974</v>
      </c>
      <c r="U37">
        <f>IF(HRT!D37="-", "-", 'Effluent Concentration'!AU37*HRT!D37/1000)</f>
        <v>2.887084625521418</v>
      </c>
      <c r="V37" s="113" t="str">
        <f>Gas!T37</f>
        <v>-</v>
      </c>
      <c r="W37" s="113">
        <f>Gas!U37+Gas!O37</f>
        <v>38.879437038622413</v>
      </c>
      <c r="X37" s="116">
        <f t="shared" si="0"/>
        <v>116.04541498408742</v>
      </c>
      <c r="Y37" s="116">
        <f t="shared" si="1"/>
        <v>0.9847773048882793</v>
      </c>
      <c r="Z37" s="116">
        <f t="shared" si="2"/>
        <v>0.17290261097564946</v>
      </c>
      <c r="AA37" s="116">
        <f t="shared" si="3"/>
        <v>126.13934317390652</v>
      </c>
      <c r="AB37" s="116">
        <f t="shared" si="4"/>
        <v>0.25701110326607057</v>
      </c>
      <c r="AC37" s="116">
        <f t="shared" si="5"/>
        <v>1.5471060529937974</v>
      </c>
      <c r="AD37" s="116">
        <f t="shared" si="6"/>
        <v>2.887084625521418</v>
      </c>
      <c r="AE37" s="116">
        <f t="shared" si="7"/>
        <v>-1.0464140231222387</v>
      </c>
      <c r="AF37" s="116">
        <f t="shared" si="8"/>
        <v>-175.0728452189102</v>
      </c>
      <c r="AG37" s="116">
        <f t="shared" si="9"/>
        <v>-5.0572416401260147</v>
      </c>
      <c r="AH37" s="116">
        <f t="shared" si="10"/>
        <v>-21.045469743041131</v>
      </c>
      <c r="AI37" s="116">
        <f t="shared" si="11"/>
        <v>-16.717410053858366</v>
      </c>
      <c r="AJ37" s="116">
        <f t="shared" si="12"/>
        <v>-3.3840019295917827</v>
      </c>
      <c r="AK37" s="116">
        <f t="shared" si="13"/>
        <v>-25.710257246989421</v>
      </c>
      <c r="AL37" s="116"/>
      <c r="AM37" s="116" t="s">
        <v>258</v>
      </c>
      <c r="AN37" s="116">
        <f>('Effluent Concentration'!AM7-'Influent Concentration'!Z7)/5.72</f>
        <v>-9.9445403619471122</v>
      </c>
      <c r="AO37" s="116"/>
      <c r="AP37" s="241">
        <f>AVERAGE(AH19:AH23)</f>
        <v>-24.938225470006792</v>
      </c>
      <c r="AQ37" s="241">
        <f>STDEVA(AH19:AH23)</f>
        <v>1.268939717816485</v>
      </c>
      <c r="AR37" s="241">
        <f>AVERAGE(AH31:AH46)</f>
        <v>-20.790667627194317</v>
      </c>
      <c r="AS37" s="241">
        <f>STDEVA(AH31:AH46)</f>
        <v>10.166063004959383</v>
      </c>
      <c r="AT37" s="241">
        <f>AVERAGE(AH51:AH55)</f>
        <v>1.7029606240602402E-2</v>
      </c>
      <c r="AU37" s="241">
        <f>STDEVA(AH51:AH55)</f>
        <v>2.335628707873361E-2</v>
      </c>
      <c r="AV37" s="241">
        <f>AVERAGE(AH62:AH93)</f>
        <v>2.6082334583577794E-3</v>
      </c>
      <c r="AW37" s="241">
        <f>STDEVA(AH62:AH93)</f>
        <v>2.9306884493939529E-3</v>
      </c>
      <c r="AX37" s="116"/>
    </row>
    <row r="38" spans="1:108">
      <c r="A38" s="231">
        <f>Gas!A38</f>
        <v>70.715277777781012</v>
      </c>
      <c r="B38" s="181">
        <f>IF(HRT!B38="-", "-", 'Influent Concentration'!X38*HRT!B38/1000)</f>
        <v>179.23779279473982</v>
      </c>
      <c r="C38" s="181">
        <f>IF(HRT!B38="-", "-", 'Influent Concentration'!Y38*HRT!B38/1000)</f>
        <v>5.1873453362759872</v>
      </c>
      <c r="D38" s="181">
        <f>IF(HRT!B38="-", "-", 'Influent Concentration'!Z38*HRT!B38/1000)</f>
        <v>21.546137211367665</v>
      </c>
      <c r="E38" s="181">
        <f>IF(HRT!B38="-", "-", 'Influent Concentration'!AA38*HRT!B38/1000)</f>
        <v>17.115113857614492</v>
      </c>
      <c r="F38" s="181">
        <f>IF(HRT!B38="-", "-", 'Influent Concentration'!AB38*HRT!B38/1000)</f>
        <v>3.4645066510157867</v>
      </c>
      <c r="G38" s="181">
        <f>IF(HRT!B38="-", "-", 'Influent Concentration'!AC38*HRT!B38/1000)</f>
        <v>4.7804293089092411</v>
      </c>
      <c r="H38" s="181">
        <f>IF(HRT!B38="-", "-", 'Influent Concentration'!AD38*HRT!B38/1000)</f>
        <v>0.43855278077753762</v>
      </c>
      <c r="I38" s="181">
        <f>IF(HRT!B38="-", "-", 'Influent Concentration'!AE38*HRT!B38/1000)</f>
        <v>0.87085098172738595</v>
      </c>
      <c r="J38" s="182">
        <f>Gas!W38-Gas!S38</f>
        <v>41.94257196971239</v>
      </c>
      <c r="K38">
        <f>IF(HRT!D38="-", "-", 'Effluent Concentration'!AK38*HRT!D38/1000)</f>
        <v>0</v>
      </c>
      <c r="L38">
        <f>IF(HRT!D38="-", "-", 'Effluent Concentration'!AL38*HRT!D38/1000)</f>
        <v>1.2400743184466505E-2</v>
      </c>
      <c r="M38">
        <f>IF(HRT!D38="-", "-", 'Effluent Concentration'!AM38*HRT!D38/1000)</f>
        <v>6.933107113001466E-2</v>
      </c>
      <c r="N38">
        <f>IF(HRT!D38="-", "-", 'Effluent Concentration'!AN38*HRT!D38/1000)</f>
        <v>0</v>
      </c>
      <c r="O38">
        <f>IF(HRT!D38="-", "-", 'Effluent Concentration'!AO38*HRT!D38/1000)</f>
        <v>124.18061890997153</v>
      </c>
      <c r="P38">
        <f>IF(HRT!D38="-", "-", 'Effluent Concentration'!AP38*HRT!D38/1000)</f>
        <v>1.495880156613457</v>
      </c>
      <c r="Q38">
        <f>IF(HRT!D38="-", "-", 'Effluent Concentration'!AQ38*HRT!D38/1000)</f>
        <v>0.20840285630362512</v>
      </c>
      <c r="R38">
        <f>IF(HRT!D38="-", "-", 'Effluent Concentration'!AR38*HRT!D38/1000)</f>
        <v>132.28734797226622</v>
      </c>
      <c r="S38">
        <f>IF(HRT!D38="-", "-", 'Effluent Concentration'!AS38*HRT!D38/1000)</f>
        <v>0.30314128504622467</v>
      </c>
      <c r="T38">
        <f>IF(HRT!D38="-", "-", 'Effluent Concentration'!AT38*HRT!D38/1000)</f>
        <v>1.5366127207515525</v>
      </c>
      <c r="U38">
        <f>IF(HRT!D38="-", "-", 'Effluent Concentration'!AU38*HRT!D38/1000)</f>
        <v>3.1542135794907677</v>
      </c>
      <c r="V38" s="113" t="str">
        <f>Gas!T38</f>
        <v>-</v>
      </c>
      <c r="W38" s="113">
        <f>Gas!U38+Gas!O38</f>
        <v>39.130022960536657</v>
      </c>
      <c r="X38" s="116">
        <f t="shared" si="0"/>
        <v>119.40018960106229</v>
      </c>
      <c r="Y38" s="116">
        <f t="shared" si="1"/>
        <v>1.0573273758359194</v>
      </c>
      <c r="Z38" s="116">
        <f t="shared" si="2"/>
        <v>0.20840285630362512</v>
      </c>
      <c r="AA38" s="116">
        <f t="shared" si="3"/>
        <v>131.41649699053883</v>
      </c>
      <c r="AB38" s="116">
        <f t="shared" si="4"/>
        <v>0.30314128504622467</v>
      </c>
      <c r="AC38" s="116">
        <f t="shared" si="5"/>
        <v>1.5366127207515525</v>
      </c>
      <c r="AD38" s="116">
        <f t="shared" si="6"/>
        <v>3.1542135794907677</v>
      </c>
      <c r="AE38" s="116">
        <f t="shared" si="7"/>
        <v>-2.8125490091757328</v>
      </c>
      <c r="AF38" s="116">
        <f t="shared" si="8"/>
        <v>-179.23779279473982</v>
      </c>
      <c r="AG38" s="116">
        <f t="shared" si="9"/>
        <v>-5.1749445930915208</v>
      </c>
      <c r="AH38" s="116">
        <f t="shared" si="10"/>
        <v>-21.476806140237649</v>
      </c>
      <c r="AI38" s="116">
        <f t="shared" si="11"/>
        <v>-17.115113857614492</v>
      </c>
      <c r="AJ38" s="116">
        <f t="shared" si="12"/>
        <v>-3.4645066510157867</v>
      </c>
      <c r="AK38" s="116">
        <f t="shared" si="13"/>
        <v>-27.794671363154222</v>
      </c>
      <c r="AL38" s="116"/>
      <c r="AM38" s="116" t="s">
        <v>245</v>
      </c>
      <c r="AN38" s="116"/>
      <c r="AO38" s="116"/>
      <c r="AP38" s="253">
        <f>AVERAGE(AK19:AK23)</f>
        <v>-6.9300430763557186</v>
      </c>
      <c r="AQ38" s="253">
        <f>STDEVA(AK19:AK23)</f>
        <v>14.235213187739559</v>
      </c>
      <c r="AR38" s="241">
        <f>AVERAGE(AK31:AK46)</f>
        <v>-32.497978289537393</v>
      </c>
      <c r="AS38" s="241">
        <f>STDEVA(AK31:AK46)</f>
        <v>19.364443683054883</v>
      </c>
      <c r="AT38" s="241">
        <f>AVERAGE(AK51:AK55)</f>
        <v>-39.03681374243935</v>
      </c>
      <c r="AU38" s="241">
        <f>STDEVA(AK51:AK55)</f>
        <v>1.8296759048199918</v>
      </c>
      <c r="AV38" s="241">
        <f>AVERAGE(AK62:AK93)</f>
        <v>-13.61355302565071</v>
      </c>
      <c r="AW38" s="241">
        <f>STDEVA(AK62:AK93)</f>
        <v>3.5306413089889217</v>
      </c>
      <c r="AX38" s="116"/>
    </row>
    <row r="39" spans="1:108">
      <c r="A39" s="231">
        <f>Gas!A39</f>
        <v>73.722916666665697</v>
      </c>
      <c r="B39" s="181">
        <f>IF(HRT!B39="-", "-", 'Influent Concentration'!X39*HRT!B39/1000)</f>
        <v>178.8897860710791</v>
      </c>
      <c r="C39" s="181">
        <f>IF(HRT!B39="-", "-", 'Influent Concentration'!Y39*HRT!B39/1000)</f>
        <v>5.1772736263602033</v>
      </c>
      <c r="D39" s="181">
        <f>IF(HRT!B39="-", "-", 'Influent Concentration'!Z39*HRT!B39/1000)</f>
        <v>21.50430339662605</v>
      </c>
      <c r="E39" s="181">
        <f>IF(HRT!B39="-", "-", 'Influent Concentration'!AA39*HRT!B39/1000)</f>
        <v>17.081883283828699</v>
      </c>
      <c r="F39" s="181">
        <f>IF(HRT!B39="-", "-", 'Influent Concentration'!AB39*HRT!B39/1000)</f>
        <v>3.4577799914764036</v>
      </c>
      <c r="G39" s="181">
        <f>IF(HRT!B39="-", "-", 'Influent Concentration'!AC39*HRT!B39/1000)</f>
        <v>4.7711476640309742</v>
      </c>
      <c r="H39" s="181">
        <f>IF(HRT!B39="-", "-", 'Influent Concentration'!AD39*HRT!B39/1000)</f>
        <v>0.43770129006226499</v>
      </c>
      <c r="I39" s="181">
        <f>IF(HRT!B39="-", "-", 'Influent Concentration'!AE39*HRT!B39/1000)</f>
        <v>0.8691601441410588</v>
      </c>
      <c r="J39" s="182">
        <f>Gas!W39-Gas!S39</f>
        <v>40.838022673870228</v>
      </c>
      <c r="K39">
        <f>IF(HRT!D39="-", "-", 'Effluent Concentration'!AK39*HRT!D39/1000)</f>
        <v>0</v>
      </c>
      <c r="L39">
        <f>IF(HRT!D39="-", "-", 'Effluent Concentration'!AL39*HRT!D39/1000)</f>
        <v>7.4025246984137424E-3</v>
      </c>
      <c r="M39">
        <f>IF(HRT!D39="-", "-", 'Effluent Concentration'!AM39*HRT!D39/1000)</f>
        <v>0</v>
      </c>
      <c r="N39">
        <f>IF(HRT!D39="-", "-", 'Effluent Concentration'!AN39*HRT!D39/1000)</f>
        <v>0</v>
      </c>
      <c r="O39">
        <f>IF(HRT!D39="-", "-", 'Effluent Concentration'!AO39*HRT!D39/1000)</f>
        <v>126.00982656771717</v>
      </c>
      <c r="P39">
        <f>IF(HRT!D39="-", "-", 'Effluent Concentration'!AP39*HRT!D39/1000)</f>
        <v>1.4753522508858574</v>
      </c>
      <c r="Q39">
        <f>IF(HRT!D39="-", "-", 'Effluent Concentration'!AQ39*HRT!D39/1000)</f>
        <v>0.19287507321497799</v>
      </c>
      <c r="R39">
        <f>IF(HRT!D39="-", "-", 'Effluent Concentration'!AR39*HRT!D39/1000)</f>
        <v>134.61715735039388</v>
      </c>
      <c r="S39">
        <f>IF(HRT!D39="-", "-", 'Effluent Concentration'!AS39*HRT!D39/1000)</f>
        <v>0.22879718215838737</v>
      </c>
      <c r="T39">
        <f>IF(HRT!D39="-", "-", 'Effluent Concentration'!AT39*HRT!D39/1000)</f>
        <v>1.5651807234016952</v>
      </c>
      <c r="U39">
        <f>IF(HRT!D39="-", "-", 'Effluent Concentration'!AU39*HRT!D39/1000)</f>
        <v>3.2862665928079982</v>
      </c>
      <c r="V39" s="113" t="str">
        <f>Gas!T39</f>
        <v>-</v>
      </c>
      <c r="W39" s="113">
        <f>Gas!U39+Gas!O39</f>
        <v>40.013505280094442</v>
      </c>
      <c r="X39" s="116">
        <f t="shared" si="0"/>
        <v>121.23867890368619</v>
      </c>
      <c r="Y39" s="116">
        <f t="shared" si="1"/>
        <v>1.0376509608235924</v>
      </c>
      <c r="Z39" s="116">
        <f t="shared" si="2"/>
        <v>0.19287507321497799</v>
      </c>
      <c r="AA39" s="116">
        <f t="shared" si="3"/>
        <v>133.74799720625282</v>
      </c>
      <c r="AB39" s="116">
        <f t="shared" si="4"/>
        <v>0.22879718215838737</v>
      </c>
      <c r="AC39" s="116">
        <f t="shared" si="5"/>
        <v>1.5651807234016952</v>
      </c>
      <c r="AD39" s="116">
        <f t="shared" si="6"/>
        <v>3.2862665928079982</v>
      </c>
      <c r="AE39" s="116">
        <f t="shared" si="7"/>
        <v>-0.82451739377578548</v>
      </c>
      <c r="AF39" s="116">
        <f t="shared" si="8"/>
        <v>-178.8897860710791</v>
      </c>
      <c r="AG39" s="116">
        <f t="shared" si="9"/>
        <v>-5.1698711016617898</v>
      </c>
      <c r="AH39" s="116">
        <f t="shared" si="10"/>
        <v>-21.50430339662605</v>
      </c>
      <c r="AI39" s="116">
        <f t="shared" si="11"/>
        <v>-17.081883283828699</v>
      </c>
      <c r="AJ39" s="116">
        <f t="shared" si="12"/>
        <v>-3.4577799914764036</v>
      </c>
      <c r="AK39" s="116">
        <f t="shared" si="13"/>
        <v>-34.369305403897783</v>
      </c>
      <c r="AL39" s="116"/>
      <c r="AM39" s="116" t="s">
        <v>27</v>
      </c>
      <c r="AN39" s="116"/>
      <c r="AO39" s="116"/>
      <c r="AP39" s="241">
        <f>AVERAGE(AE19:AE23)</f>
        <v>-4.3202173520685498</v>
      </c>
      <c r="AQ39" s="241">
        <f>STDEVA(AE19:AE23)</f>
        <v>1.5499603089645442</v>
      </c>
      <c r="AR39" s="241">
        <f>AVERAGE(AE31:AE46)</f>
        <v>-0.54961010123257781</v>
      </c>
      <c r="AS39" s="241">
        <f>STDEVA(AE31:AE46)</f>
        <v>2.2450323478921939</v>
      </c>
      <c r="AT39" s="241">
        <f>AVERAGE(AE51:AE55)</f>
        <v>2.0014713876576762</v>
      </c>
      <c r="AU39" s="241">
        <f>STDEVA(AE51:AE55)</f>
        <v>2.0666755422051559</v>
      </c>
      <c r="AV39" s="241">
        <f>AVERAGE(AE62:AE93)</f>
        <v>1.6163112419404646</v>
      </c>
      <c r="AW39" s="241">
        <f>STDEVA(AE62:AE93)</f>
        <v>2.4359780153356962</v>
      </c>
      <c r="AX39" s="116"/>
    </row>
    <row r="40" spans="1:108">
      <c r="A40" s="231">
        <f>Gas!A40</f>
        <v>75.719444444446708</v>
      </c>
      <c r="B40" s="181">
        <f>IF(HRT!B40="-", "-", 'Influent Concentration'!X40*HRT!B40/1000)</f>
        <v>190.63547569958888</v>
      </c>
      <c r="C40" s="181">
        <f>IF(HRT!B40="-", "-", 'Influent Concentration'!Y40*HRT!B40/1000)</f>
        <v>9.2347338831305841</v>
      </c>
      <c r="D40" s="181">
        <f>IF(HRT!B40="-", "-", 'Influent Concentration'!Z40*HRT!B40/1000)</f>
        <v>27.621143872068934</v>
      </c>
      <c r="E40" s="181">
        <f>IF(HRT!B40="-", "-", 'Influent Concentration'!AA40*HRT!B40/1000)</f>
        <v>15.969276966028477</v>
      </c>
      <c r="F40" s="181">
        <f>IF(HRT!B40="-", "-", 'Influent Concentration'!AB40*HRT!B40/1000)</f>
        <v>3.3990675089894959</v>
      </c>
      <c r="G40" s="181">
        <f>IF(HRT!B40="-", "-", 'Influent Concentration'!AC40*HRT!B40/1000)</f>
        <v>3.3400556602776863</v>
      </c>
      <c r="H40" s="181">
        <f>IF(HRT!B40="-", "-", 'Influent Concentration'!AD40*HRT!B40/1000)</f>
        <v>0.22954315334736036</v>
      </c>
      <c r="I40" s="181">
        <f>IF(HRT!B40="-", "-", 'Influent Concentration'!AE40*HRT!B40/1000)</f>
        <v>0.42330214504527952</v>
      </c>
      <c r="J40" s="182">
        <f>Gas!W40-Gas!S40</f>
        <v>39.747880421886634</v>
      </c>
      <c r="K40">
        <f>IF(HRT!D40="-", "-", 'Effluent Concentration'!AK40*HRT!D40/1000)</f>
        <v>0</v>
      </c>
      <c r="L40">
        <f>IF(HRT!D40="-", "-", 'Effluent Concentration'!AL40*HRT!D40/1000)</f>
        <v>2.4239787293624093E-3</v>
      </c>
      <c r="M40">
        <f>IF(HRT!D40="-", "-", 'Effluent Concentration'!AM40*HRT!D40/1000)</f>
        <v>0</v>
      </c>
      <c r="N40">
        <f>IF(HRT!D40="-", "-", 'Effluent Concentration'!AN40*HRT!D40/1000)</f>
        <v>0.23185721794987543</v>
      </c>
      <c r="O40">
        <f>IF(HRT!D40="-", "-", 'Effluent Concentration'!AO40*HRT!D40/1000)</f>
        <v>122.30300569804561</v>
      </c>
      <c r="P40">
        <f>IF(HRT!D40="-", "-", 'Effluent Concentration'!AP40*HRT!D40/1000)</f>
        <v>1.4197473774385547</v>
      </c>
      <c r="Q40">
        <f>IF(HRT!D40="-", "-", 'Effluent Concentration'!AQ40*HRT!D40/1000)</f>
        <v>0.12789397067056779</v>
      </c>
      <c r="R40">
        <f>IF(HRT!D40="-", "-", 'Effluent Concentration'!AR40*HRT!D40/1000)</f>
        <v>131.6550007710282</v>
      </c>
      <c r="S40">
        <f>IF(HRT!D40="-", "-", 'Effluent Concentration'!AS40*HRT!D40/1000)</f>
        <v>0.19921993595470436</v>
      </c>
      <c r="T40">
        <f>IF(HRT!D40="-", "-", 'Effluent Concentration'!AT40*HRT!D40/1000)</f>
        <v>1.6499497259838334</v>
      </c>
      <c r="U40">
        <f>IF(HRT!D40="-", "-", 'Effluent Concentration'!AU40*HRT!D40/1000)</f>
        <v>3.0612196994974159</v>
      </c>
      <c r="V40" s="113" t="str">
        <f>Gas!T40</f>
        <v>-</v>
      </c>
      <c r="W40" s="113">
        <f>Gas!U40+Gas!O40</f>
        <v>39.998520045468261</v>
      </c>
      <c r="X40" s="116">
        <f t="shared" si="0"/>
        <v>118.96295003776792</v>
      </c>
      <c r="Y40" s="116">
        <f t="shared" si="1"/>
        <v>1.1902042240911943</v>
      </c>
      <c r="Z40" s="116">
        <f t="shared" si="2"/>
        <v>0.12789397067056779</v>
      </c>
      <c r="AA40" s="116">
        <f t="shared" si="3"/>
        <v>131.23169862598292</v>
      </c>
      <c r="AB40" s="116">
        <f t="shared" si="4"/>
        <v>0.19921993595470436</v>
      </c>
      <c r="AC40" s="116">
        <f t="shared" si="5"/>
        <v>1.6499497259838334</v>
      </c>
      <c r="AD40" s="116">
        <f t="shared" si="6"/>
        <v>3.0612196994974159</v>
      </c>
      <c r="AE40" s="116">
        <f t="shared" si="7"/>
        <v>0.25063962358162684</v>
      </c>
      <c r="AF40" s="116">
        <f t="shared" si="8"/>
        <v>-190.63547569958888</v>
      </c>
      <c r="AG40" s="116">
        <f t="shared" si="9"/>
        <v>-9.2323099044012213</v>
      </c>
      <c r="AH40" s="116">
        <f t="shared" si="10"/>
        <v>-27.621143872068934</v>
      </c>
      <c r="AI40" s="116">
        <f t="shared" si="11"/>
        <v>-15.737419748078603</v>
      </c>
      <c r="AJ40" s="116">
        <f t="shared" si="12"/>
        <v>-3.3990675089894959</v>
      </c>
      <c r="AK40" s="116">
        <f t="shared" si="13"/>
        <v>-10.048359110403032</v>
      </c>
      <c r="AL40" s="116"/>
      <c r="AM40" s="116" t="s">
        <v>265</v>
      </c>
      <c r="AN40" s="116">
        <f>-'Influent Concentration'!AB7/5.72</f>
        <v>-1.2108816092499322</v>
      </c>
      <c r="AO40" s="116"/>
      <c r="AP40" s="241">
        <f>AVERAGE(AJ19:AJ23)</f>
        <v>-3.7206070730641598</v>
      </c>
      <c r="AQ40" s="241">
        <f>STDEVA(AJ19:AJ23)</f>
        <v>9.1048724325965558E-2</v>
      </c>
      <c r="AR40" s="241">
        <f>AVERAGE(AJ31:AJ46)</f>
        <v>-3.3616363954287967</v>
      </c>
      <c r="AS40" s="241">
        <f>STDEVA(AJ31:AJ46)</f>
        <v>8.8067467423374485E-2</v>
      </c>
      <c r="AT40" s="241">
        <f>AVERAGE(AJ51:AJ55)</f>
        <v>-3.8537345586441014</v>
      </c>
      <c r="AU40" s="241">
        <f>STDEVA(AJ51:AJ55)</f>
        <v>1.507162991792789E-2</v>
      </c>
      <c r="AV40" s="241">
        <f>AVERAGE(AJ62:AJ93)</f>
        <v>-0.41359474836433918</v>
      </c>
      <c r="AW40" s="241">
        <f>STDEVA(AJ62:AJ93)</f>
        <v>9.5958732698145002E-3</v>
      </c>
      <c r="AX40" s="116"/>
    </row>
    <row r="41" spans="1:108">
      <c r="A41" s="231">
        <f>Gas!A41</f>
        <v>77.722222222226264</v>
      </c>
      <c r="B41" s="181">
        <f>IF(HRT!B41="-", "-", 'Influent Concentration'!X41*HRT!B41/1000)</f>
        <v>186.70447941345347</v>
      </c>
      <c r="C41" s="181">
        <f>IF(HRT!B41="-", "-", 'Influent Concentration'!Y41*HRT!B41/1000)</f>
        <v>9.044309176161347</v>
      </c>
      <c r="D41" s="181">
        <f>IF(HRT!B41="-", "-", 'Influent Concentration'!Z41*HRT!B41/1000)</f>
        <v>27.051582442951624</v>
      </c>
      <c r="E41" s="181">
        <f>IF(HRT!B41="-", "-", 'Influent Concentration'!AA41*HRT!B41/1000)</f>
        <v>15.639982703167092</v>
      </c>
      <c r="F41" s="181">
        <f>IF(HRT!B41="-", "-", 'Influent Concentration'!AB41*HRT!B41/1000)</f>
        <v>3.3289770827184837</v>
      </c>
      <c r="G41" s="181">
        <f>IF(HRT!B41="-", "-", 'Influent Concentration'!AC41*HRT!B41/1000)</f>
        <v>3.2711820870466077</v>
      </c>
      <c r="H41" s="181">
        <f>IF(HRT!B41="-", "-", 'Influent Concentration'!AD41*HRT!B41/1000)</f>
        <v>0.22480986181279719</v>
      </c>
      <c r="I41" s="181">
        <f>IF(HRT!B41="-", "-", 'Influent Concentration'!AE41*HRT!B41/1000)</f>
        <v>0.41457344880456326</v>
      </c>
      <c r="J41" s="182">
        <f>Gas!W41-Gas!S41</f>
        <v>40.116169445699484</v>
      </c>
      <c r="K41">
        <f>IF(HRT!D41="-", "-", 'Effluent Concentration'!AK41*HRT!D41/1000)</f>
        <v>0</v>
      </c>
      <c r="L41">
        <f>IF(HRT!D41="-", "-", 'Effluent Concentration'!AL41*HRT!D41/1000)</f>
        <v>4.7451187998790367E-3</v>
      </c>
      <c r="M41">
        <f>IF(HRT!D41="-", "-", 'Effluent Concentration'!AM41*HRT!D41/1000)</f>
        <v>0</v>
      </c>
      <c r="N41">
        <f>IF(HRT!D41="-", "-", 'Effluent Concentration'!AN41*HRT!D41/1000)</f>
        <v>0.19451904138101433</v>
      </c>
      <c r="O41">
        <f>IF(HRT!D41="-", "-", 'Effluent Concentration'!AO41*HRT!D41/1000)</f>
        <v>126.78691730329831</v>
      </c>
      <c r="P41">
        <f>IF(HRT!D41="-", "-", 'Effluent Concentration'!AP41*HRT!D41/1000)</f>
        <v>1.5219763577877674</v>
      </c>
      <c r="Q41">
        <f>IF(HRT!D41="-", "-", 'Effluent Concentration'!AQ41*HRT!D41/1000)</f>
        <v>0.26427096602485994</v>
      </c>
      <c r="R41">
        <f>IF(HRT!D41="-", "-", 'Effluent Concentration'!AR41*HRT!D41/1000)</f>
        <v>132.5620256242596</v>
      </c>
      <c r="S41">
        <f>IF(HRT!D41="-", "-", 'Effluent Concentration'!AS41*HRT!D41/1000)</f>
        <v>0.35998878853757715</v>
      </c>
      <c r="T41">
        <f>IF(HRT!D41="-", "-", 'Effluent Concentration'!AT41*HRT!D41/1000)</f>
        <v>1.679947679842027</v>
      </c>
      <c r="U41">
        <f>IF(HRT!D41="-", "-", 'Effluent Concentration'!AU41*HRT!D41/1000)</f>
        <v>3.1861879596962557</v>
      </c>
      <c r="V41" s="113" t="str">
        <f>Gas!T41</f>
        <v>-</v>
      </c>
      <c r="W41" s="113">
        <f>Gas!U41+Gas!O41</f>
        <v>40.013052969344656</v>
      </c>
      <c r="X41" s="116">
        <f t="shared" si="0"/>
        <v>123.5157352162517</v>
      </c>
      <c r="Y41" s="116">
        <f t="shared" si="1"/>
        <v>1.2971664959749702</v>
      </c>
      <c r="Z41" s="116">
        <f t="shared" si="2"/>
        <v>0.26427096602485994</v>
      </c>
      <c r="AA41" s="116">
        <f t="shared" si="3"/>
        <v>132.14745217545504</v>
      </c>
      <c r="AB41" s="116">
        <f t="shared" si="4"/>
        <v>0.35998878853757715</v>
      </c>
      <c r="AC41" s="116">
        <f t="shared" si="5"/>
        <v>1.679947679842027</v>
      </c>
      <c r="AD41" s="116">
        <f t="shared" si="6"/>
        <v>3.1861879596962557</v>
      </c>
      <c r="AE41" s="116">
        <f t="shared" si="7"/>
        <v>-0.10311647635482757</v>
      </c>
      <c r="AF41" s="116">
        <f t="shared" si="8"/>
        <v>-186.70447941345347</v>
      </c>
      <c r="AG41" s="116">
        <f t="shared" si="9"/>
        <v>-9.0395640573614688</v>
      </c>
      <c r="AH41" s="116">
        <f t="shared" si="10"/>
        <v>-27.051582442951624</v>
      </c>
      <c r="AI41" s="116">
        <f t="shared" si="11"/>
        <v>-15.445463661786079</v>
      </c>
      <c r="AJ41" s="116">
        <f t="shared" si="12"/>
        <v>-3.3289770827184837</v>
      </c>
      <c r="AK41" s="116">
        <f t="shared" si="13"/>
        <v>-20.777566147156488</v>
      </c>
      <c r="AL41" s="116"/>
      <c r="AM41" s="116"/>
      <c r="AN41" s="116"/>
      <c r="AO41" s="116"/>
      <c r="AP41" s="116"/>
      <c r="AQ41" s="116"/>
      <c r="AR41" s="116"/>
      <c r="AS41" s="116"/>
      <c r="AT41" s="116"/>
      <c r="AU41" s="116"/>
      <c r="AV41" s="116"/>
      <c r="AW41" s="116"/>
      <c r="AX41" s="116"/>
    </row>
    <row r="42" spans="1:108">
      <c r="A42" s="231">
        <f>Gas!A42</f>
        <v>80.712500000001455</v>
      </c>
      <c r="B42" s="181">
        <f>IF(HRT!B42="-", "-", 'Influent Concentration'!X42*HRT!B42/1000)</f>
        <v>190.02689080939814</v>
      </c>
      <c r="C42" s="181">
        <f>IF(HRT!B42="-", "-", 'Influent Concentration'!Y42*HRT!B42/1000)</f>
        <v>9.2052529091115503</v>
      </c>
      <c r="D42" s="181">
        <f>IF(HRT!B42="-", "-", 'Influent Concentration'!Z42*HRT!B42/1000)</f>
        <v>27.532966103746237</v>
      </c>
      <c r="E42" s="181">
        <f>IF(HRT!B42="-", "-", 'Influent Concentration'!AA42*HRT!B42/1000)</f>
        <v>15.918296629692177</v>
      </c>
      <c r="F42" s="181">
        <f>IF(HRT!B42="-", "-", 'Influent Concentration'!AB42*HRT!B42/1000)</f>
        <v>3.3882163223511328</v>
      </c>
      <c r="G42" s="181">
        <f>IF(HRT!B42="-", "-", 'Influent Concentration'!AC42*HRT!B42/1000)</f>
        <v>3.3293928631263094</v>
      </c>
      <c r="H42" s="181">
        <f>IF(HRT!B42="-", "-", 'Influent Concentration'!AD42*HRT!B42/1000)</f>
        <v>0.22881035954672443</v>
      </c>
      <c r="I42" s="181">
        <f>IF(HRT!B42="-", "-", 'Influent Concentration'!AE42*HRT!B42/1000)</f>
        <v>0.4219507948387427</v>
      </c>
      <c r="J42" s="182">
        <f>Gas!W42-Gas!S42</f>
        <v>38.087586462749073</v>
      </c>
      <c r="K42">
        <f>IF(HRT!D42="-", "-", 'Effluent Concentration'!AK42*HRT!D42/1000)</f>
        <v>0</v>
      </c>
      <c r="L42">
        <f>IF(HRT!D42="-", "-", 'Effluent Concentration'!AL42*HRT!D42/1000)</f>
        <v>7.2588700747532242E-3</v>
      </c>
      <c r="M42">
        <f>IF(HRT!D42="-", "-", 'Effluent Concentration'!AM42*HRT!D42/1000)</f>
        <v>0</v>
      </c>
      <c r="N42">
        <f>IF(HRT!D42="-", "-", 'Effluent Concentration'!AN42*HRT!D42/1000)</f>
        <v>0</v>
      </c>
      <c r="O42">
        <f>IF(HRT!D42="-", "-", 'Effluent Concentration'!AO42*HRT!D42/1000)</f>
        <v>123.22797899030854</v>
      </c>
      <c r="P42">
        <f>IF(HRT!D42="-", "-", 'Effluent Concentration'!AP42*HRT!D42/1000)</f>
        <v>1.5521674804445595</v>
      </c>
      <c r="Q42">
        <f>IF(HRT!D42="-", "-", 'Effluent Concentration'!AQ42*HRT!D42/1000)</f>
        <v>0.21277362095182334</v>
      </c>
      <c r="R42">
        <f>IF(HRT!D42="-", "-", 'Effluent Concentration'!AR42*HRT!D42/1000)</f>
        <v>132.17970163796048</v>
      </c>
      <c r="S42">
        <f>IF(HRT!D42="-", "-", 'Effluent Concentration'!AS42*HRT!D42/1000)</f>
        <v>0.36203078475326272</v>
      </c>
      <c r="T42">
        <f>IF(HRT!D42="-", "-", 'Effluent Concentration'!AT42*HRT!D42/1000)</f>
        <v>1.5297075412109693</v>
      </c>
      <c r="U42">
        <f>IF(HRT!D42="-", "-", 'Effluent Concentration'!AU42*HRT!D42/1000)</f>
        <v>3.4592034108551117</v>
      </c>
      <c r="V42" s="113" t="str">
        <f>Gas!T42</f>
        <v>-</v>
      </c>
      <c r="W42" s="113">
        <f>Gas!U42+Gas!O42</f>
        <v>40.17275479595024</v>
      </c>
      <c r="X42" s="116">
        <f t="shared" si="0"/>
        <v>119.89858612718223</v>
      </c>
      <c r="Y42" s="116">
        <f t="shared" si="1"/>
        <v>1.3233571208978352</v>
      </c>
      <c r="Z42" s="116">
        <f t="shared" si="2"/>
        <v>0.21277362095182334</v>
      </c>
      <c r="AA42" s="116">
        <f t="shared" si="3"/>
        <v>131.75775084312173</v>
      </c>
      <c r="AB42" s="116">
        <f t="shared" si="4"/>
        <v>0.36203078475326272</v>
      </c>
      <c r="AC42" s="116">
        <f t="shared" si="5"/>
        <v>1.5297075412109693</v>
      </c>
      <c r="AD42" s="116">
        <f t="shared" si="6"/>
        <v>3.4592034108551117</v>
      </c>
      <c r="AE42" s="116">
        <f t="shared" si="7"/>
        <v>2.0851683332011675</v>
      </c>
      <c r="AF42" s="116">
        <f t="shared" si="8"/>
        <v>-190.02689080939814</v>
      </c>
      <c r="AG42" s="116">
        <f t="shared" si="9"/>
        <v>-9.1979940390367965</v>
      </c>
      <c r="AH42" s="116">
        <f t="shared" si="10"/>
        <v>-27.532966103746237</v>
      </c>
      <c r="AI42" s="116">
        <f t="shared" si="11"/>
        <v>-15.918296629692177</v>
      </c>
      <c r="AJ42" s="116">
        <f t="shared" si="12"/>
        <v>-3.3882163223511328</v>
      </c>
      <c r="AK42" s="116">
        <f t="shared" si="13"/>
        <v>-14.564213877949664</v>
      </c>
      <c r="AL42" s="116"/>
      <c r="AM42" s="116"/>
      <c r="AN42" s="116"/>
      <c r="AO42" s="116"/>
      <c r="AP42" s="116"/>
      <c r="AQ42" s="116"/>
      <c r="AR42" s="116"/>
      <c r="AS42" s="116"/>
      <c r="AT42" s="116"/>
      <c r="AU42" s="116"/>
      <c r="AV42" s="116"/>
      <c r="AW42" s="116"/>
      <c r="AX42" s="116"/>
    </row>
    <row r="43" spans="1:108">
      <c r="A43" s="231">
        <f>Gas!A43</f>
        <v>82.766666666670062</v>
      </c>
      <c r="B43" s="181">
        <f>IF(HRT!B43="-", "-", 'Influent Concentration'!X43*HRT!B43/1000)</f>
        <v>192.22654035285373</v>
      </c>
      <c r="C43" s="181">
        <f>IF(HRT!B43="-", "-", 'Influent Concentration'!Y43*HRT!B43/1000)</f>
        <v>9.3118079880936619</v>
      </c>
      <c r="D43" s="181">
        <f>IF(HRT!B43="-", "-", 'Influent Concentration'!Z43*HRT!B43/1000)</f>
        <v>27.851672977610892</v>
      </c>
      <c r="E43" s="181">
        <f>IF(HRT!B43="-", "-", 'Influent Concentration'!AA43*HRT!B43/1000)</f>
        <v>16.102558308473281</v>
      </c>
      <c r="F43" s="181">
        <f>IF(HRT!B43="-", "-", 'Influent Concentration'!AB43*HRT!B43/1000)</f>
        <v>3.4274365003735365</v>
      </c>
      <c r="G43" s="181">
        <f>IF(HRT!B43="-", "-", 'Influent Concentration'!AC43*HRT!B43/1000)</f>
        <v>3.3679321322800932</v>
      </c>
      <c r="H43" s="181">
        <f>IF(HRT!B43="-", "-", 'Influent Concentration'!AD43*HRT!B43/1000)</f>
        <v>0.23145894575876583</v>
      </c>
      <c r="I43" s="181">
        <f>IF(HRT!B43="-", "-", 'Influent Concentration'!AE43*HRT!B43/1000)</f>
        <v>0.42683507131811066</v>
      </c>
      <c r="J43" s="182">
        <f>Gas!W43-Gas!S43</f>
        <v>38.862444755140586</v>
      </c>
      <c r="K43">
        <f>IF(HRT!D43="-", "-", 'Effluent Concentration'!AK43*HRT!D43/1000)</f>
        <v>0</v>
      </c>
      <c r="L43">
        <f>IF(HRT!D43="-", "-", 'Effluent Concentration'!AL43*HRT!D43/1000)</f>
        <v>7.2848564230336135E-3</v>
      </c>
      <c r="M43">
        <f>IF(HRT!D43="-", "-", 'Effluent Concentration'!AM43*HRT!D43/1000)</f>
        <v>9.3989447243517016E-2</v>
      </c>
      <c r="N43">
        <f>IF(HRT!D43="-", "-", 'Effluent Concentration'!AN43*HRT!D43/1000)</f>
        <v>0</v>
      </c>
      <c r="O43">
        <f>IF(HRT!D43="-", "-", 'Effluent Concentration'!AO43*HRT!D43/1000)</f>
        <v>122.66303721391392</v>
      </c>
      <c r="P43">
        <f>IF(HRT!D43="-", "-", 'Effluent Concentration'!AP43*HRT!D43/1000)</f>
        <v>1.4984629081295437</v>
      </c>
      <c r="Q43">
        <f>IF(HRT!D43="-", "-", 'Effluent Concentration'!AQ43*HRT!D43/1000)</f>
        <v>0.24675194682303275</v>
      </c>
      <c r="R43">
        <f>IF(HRT!D43="-", "-", 'Effluent Concentration'!AR43*HRT!D43/1000)</f>
        <v>130.95885054657802</v>
      </c>
      <c r="S43">
        <f>IF(HRT!D43="-", "-", 'Effluent Concentration'!AS43*HRT!D43/1000)</f>
        <v>0.33774043787567826</v>
      </c>
      <c r="T43">
        <f>IF(HRT!D43="-", "-", 'Effluent Concentration'!AT43*HRT!D43/1000)</f>
        <v>1.5761220434198315</v>
      </c>
      <c r="U43">
        <f>IF(HRT!D43="-", "-", 'Effluent Concentration'!AU43*HRT!D43/1000)</f>
        <v>3.6875490418429089</v>
      </c>
      <c r="V43" s="113" t="str">
        <f>Gas!T43</f>
        <v>-</v>
      </c>
      <c r="W43" s="113">
        <f>Gas!U43+Gas!O43</f>
        <v>40.181927906278794</v>
      </c>
      <c r="X43" s="116">
        <f t="shared" si="0"/>
        <v>119.29510508163384</v>
      </c>
      <c r="Y43" s="116">
        <f t="shared" si="1"/>
        <v>1.2670039623707778</v>
      </c>
      <c r="Z43" s="116">
        <f t="shared" si="2"/>
        <v>0.24675194682303275</v>
      </c>
      <c r="AA43" s="116">
        <f t="shared" si="3"/>
        <v>130.5320154752599</v>
      </c>
      <c r="AB43" s="116">
        <f t="shared" si="4"/>
        <v>0.33774043787567826</v>
      </c>
      <c r="AC43" s="116">
        <f t="shared" si="5"/>
        <v>1.5761220434198315</v>
      </c>
      <c r="AD43" s="116">
        <f t="shared" si="6"/>
        <v>3.6875490418429089</v>
      </c>
      <c r="AE43" s="116">
        <f t="shared" si="7"/>
        <v>1.3194831511382077</v>
      </c>
      <c r="AF43" s="116">
        <f t="shared" si="8"/>
        <v>-192.22654035285373</v>
      </c>
      <c r="AG43" s="116">
        <f t="shared" si="9"/>
        <v>-9.3045231316706278</v>
      </c>
      <c r="AH43" s="116">
        <f t="shared" si="10"/>
        <v>-27.757683530367377</v>
      </c>
      <c r="AI43" s="116">
        <f t="shared" si="11"/>
        <v>-16.102558308473281</v>
      </c>
      <c r="AJ43" s="116">
        <f t="shared" si="12"/>
        <v>-3.4274365003735365</v>
      </c>
      <c r="AK43" s="116">
        <f t="shared" si="13"/>
        <v>-9.4430293166256494</v>
      </c>
      <c r="AL43" s="116"/>
      <c r="AM43" s="116"/>
      <c r="AN43" s="116"/>
      <c r="AO43" s="116"/>
      <c r="AP43" s="116"/>
      <c r="AQ43" s="116"/>
      <c r="AR43" s="116"/>
      <c r="AS43" s="116"/>
      <c r="AT43" s="116"/>
      <c r="AU43" s="116"/>
      <c r="AV43" s="116"/>
      <c r="AW43" s="116"/>
      <c r="AX43" s="116"/>
    </row>
    <row r="44" spans="1:108">
      <c r="A44" s="231">
        <f>Gas!A44</f>
        <v>84.759722222224809</v>
      </c>
      <c r="B44" s="181">
        <f>IF(HRT!B44="-", "-", 'Influent Concentration'!X44*HRT!B44/1000)</f>
        <v>154.01720780333801</v>
      </c>
      <c r="C44" s="181">
        <f>IF(HRT!B44="-", "-", 'Influent Concentration'!Y44*HRT!B44/1000)</f>
        <v>2.6486447025103597</v>
      </c>
      <c r="D44" s="181">
        <f>IF(HRT!B44="-", "-", 'Influent Concentration'!Z44*HRT!B44/1000)</f>
        <v>1.0746194168873224</v>
      </c>
      <c r="E44" s="181">
        <f>IF(HRT!B44="-", "-", 'Influent Concentration'!AA44*HRT!B44/1000)</f>
        <v>18.685960279402135</v>
      </c>
      <c r="F44" s="181">
        <f>IF(HRT!B44="-", "-", 'Influent Concentration'!AB44*HRT!B44/1000)</f>
        <v>3.3862232140465496</v>
      </c>
      <c r="G44" s="181">
        <f>IF(HRT!B44="-", "-", 'Influent Concentration'!AC44*HRT!B44/1000)</f>
        <v>5.4295717471235045</v>
      </c>
      <c r="H44" s="181">
        <f>IF(HRT!B44="-", "-", 'Influent Concentration'!AD44*HRT!B44/1000)</f>
        <v>0.18214865932684002</v>
      </c>
      <c r="I44" s="181">
        <f>IF(HRT!B44="-", "-", 'Influent Concentration'!AE44*HRT!B44/1000)</f>
        <v>1.1019754353625637</v>
      </c>
      <c r="J44" s="182">
        <f>Gas!W44-Gas!S44</f>
        <v>40.268493290315291</v>
      </c>
      <c r="K44">
        <f>IF(HRT!D44="-", "-", 'Effluent Concentration'!AK44*HRT!D44/1000)</f>
        <v>0</v>
      </c>
      <c r="L44">
        <f>IF(HRT!D44="-", "-", 'Effluent Concentration'!AL44*HRT!D44/1000)</f>
        <v>7.2394345622472838E-3</v>
      </c>
      <c r="M44">
        <f>IF(HRT!D44="-", "-", 'Effluent Concentration'!AM44*HRT!D44/1000)</f>
        <v>9.5133105796272141E-2</v>
      </c>
      <c r="N44">
        <f>IF(HRT!D44="-", "-", 'Effluent Concentration'!AN44*HRT!D44/1000)</f>
        <v>0</v>
      </c>
      <c r="O44">
        <f>IF(HRT!D44="-", "-", 'Effluent Concentration'!AO44*HRT!D44/1000)</f>
        <v>123.40313632315403</v>
      </c>
      <c r="P44">
        <f>IF(HRT!D44="-", "-", 'Effluent Concentration'!AP44*HRT!D44/1000)</f>
        <v>1.404988767338905</v>
      </c>
      <c r="Q44">
        <f>IF(HRT!D44="-", "-", 'Effluent Concentration'!AQ44*HRT!D44/1000)</f>
        <v>0.19805699467697566</v>
      </c>
      <c r="R44">
        <f>IF(HRT!D44="-", "-", 'Effluent Concentration'!AR44*HRT!D44/1000)</f>
        <v>129.87351643806159</v>
      </c>
      <c r="S44">
        <f>IF(HRT!D44="-", "-", 'Effluent Concentration'!AS44*HRT!D44/1000)</f>
        <v>0.34071996261365589</v>
      </c>
      <c r="T44">
        <f>IF(HRT!D44="-", "-", 'Effluent Concentration'!AT44*HRT!D44/1000)</f>
        <v>1.5052702825916735</v>
      </c>
      <c r="U44">
        <f>IF(HRT!D44="-", "-", 'Effluent Concentration'!AU44*HRT!D44/1000)</f>
        <v>4.3191335380373141</v>
      </c>
      <c r="V44" s="113" t="str">
        <f>Gas!T44</f>
        <v>-</v>
      </c>
      <c r="W44" s="113">
        <f>Gas!U44+Gas!O44</f>
        <v>40.235781172390269</v>
      </c>
      <c r="X44" s="116">
        <f t="shared" si="0"/>
        <v>117.97356457603053</v>
      </c>
      <c r="Y44" s="116">
        <f t="shared" si="1"/>
        <v>1.222840108012065</v>
      </c>
      <c r="Z44" s="116">
        <f t="shared" si="2"/>
        <v>0.19805699467697566</v>
      </c>
      <c r="AA44" s="116">
        <f t="shared" si="3"/>
        <v>128.77154100269902</v>
      </c>
      <c r="AB44" s="116">
        <f t="shared" si="4"/>
        <v>0.34071996261365589</v>
      </c>
      <c r="AC44" s="116">
        <f t="shared" si="5"/>
        <v>1.5052702825916735</v>
      </c>
      <c r="AD44" s="116">
        <f t="shared" si="6"/>
        <v>4.3191335380373141</v>
      </c>
      <c r="AE44" s="116">
        <f t="shared" si="7"/>
        <v>-3.271211792502271E-2</v>
      </c>
      <c r="AF44" s="116">
        <f t="shared" si="8"/>
        <v>-154.01720780333801</v>
      </c>
      <c r="AG44" s="116">
        <f t="shared" si="9"/>
        <v>-2.6414052679481124</v>
      </c>
      <c r="AH44" s="116">
        <f t="shared" si="10"/>
        <v>-0.97948631109105033</v>
      </c>
      <c r="AI44" s="116">
        <f t="shared" si="11"/>
        <v>-18.685960279402135</v>
      </c>
      <c r="AJ44" s="116">
        <f t="shared" si="12"/>
        <v>-3.3862232140465496</v>
      </c>
      <c r="AK44" s="116">
        <f t="shared" si="13"/>
        <v>-74.588131470910355</v>
      </c>
      <c r="AL44" s="116"/>
      <c r="AM44" s="116"/>
      <c r="AN44" s="116"/>
      <c r="AO44" s="116"/>
      <c r="AP44" s="116"/>
      <c r="AQ44" s="116"/>
      <c r="AR44" s="116"/>
      <c r="AS44" s="116"/>
      <c r="AT44" s="116"/>
      <c r="AU44" s="116"/>
      <c r="AV44" s="116"/>
      <c r="AW44" s="116"/>
      <c r="AX44" s="116"/>
    </row>
    <row r="45" spans="1:108">
      <c r="A45" s="231">
        <f>Gas!A45</f>
        <v>87.712500000001455</v>
      </c>
      <c r="B45" s="181">
        <f>IF(HRT!B45="-", "-", 'Influent Concentration'!X45*HRT!B45/1000)</f>
        <v>143.59304477546107</v>
      </c>
      <c r="C45" s="181">
        <f>IF(HRT!B45="-", "-", 'Influent Concentration'!Y45*HRT!B45/1000)</f>
        <v>2.4693796413157352</v>
      </c>
      <c r="D45" s="181">
        <f>IF(HRT!B45="-", "-", 'Influent Concentration'!Z45*HRT!B45/1000)</f>
        <v>1.0018872322546859</v>
      </c>
      <c r="E45" s="181">
        <f>IF(HRT!B45="-", "-", 'Influent Concentration'!AA45*HRT!B45/1000)</f>
        <v>17.421260710678361</v>
      </c>
      <c r="F45" s="181">
        <f>IF(HRT!B45="-", "-", 'Influent Concentration'!AB45*HRT!B45/1000)</f>
        <v>3.1570375059335003</v>
      </c>
      <c r="G45" s="181">
        <f>IF(HRT!B45="-", "-", 'Influent Concentration'!AC45*HRT!B45/1000)</f>
        <v>5.0620885167052512</v>
      </c>
      <c r="H45" s="181">
        <f>IF(HRT!B45="-", "-", 'Influent Concentration'!AD45*HRT!B45/1000)</f>
        <v>0.1698205088090311</v>
      </c>
      <c r="I45" s="181">
        <f>IF(HRT!B45="-", "-", 'Influent Concentration'!AE45*HRT!B45/1000)</f>
        <v>1.0273917459503856</v>
      </c>
      <c r="J45" s="182">
        <f>Gas!W45-Gas!S45</f>
        <v>42.905202785221832</v>
      </c>
      <c r="K45">
        <f>IF(HRT!D45="-", "-", 'Effluent Concentration'!AK45*HRT!D45/1000)</f>
        <v>0</v>
      </c>
      <c r="L45">
        <f>IF(HRT!D45="-", "-", 'Effluent Concentration'!AL45*HRT!D45/1000)</f>
        <v>9.1176614574686229E-3</v>
      </c>
      <c r="M45">
        <f>IF(HRT!D45="-", "-", 'Effluent Concentration'!AM45*HRT!D45/1000)</f>
        <v>8.8227266686211378E-2</v>
      </c>
      <c r="N45">
        <f>IF(HRT!D45="-", "-", 'Effluent Concentration'!AN45*HRT!D45/1000)</f>
        <v>0</v>
      </c>
      <c r="O45">
        <f>IF(HRT!D45="-", "-", 'Effluent Concentration'!AO45*HRT!D45/1000)</f>
        <v>115.44034924804468</v>
      </c>
      <c r="P45">
        <f>IF(HRT!D45="-", "-", 'Effluent Concentration'!AP45*HRT!D45/1000)</f>
        <v>1.1443502063490163</v>
      </c>
      <c r="Q45">
        <f>IF(HRT!D45="-", "-", 'Effluent Concentration'!AQ45*HRT!D45/1000)</f>
        <v>0.2316244052515074</v>
      </c>
      <c r="R45">
        <f>IF(HRT!D45="-", "-", 'Effluent Concentration'!AR45*HRT!D45/1000)</f>
        <v>119.02376409087556</v>
      </c>
      <c r="S45">
        <f>IF(HRT!D45="-", "-", 'Effluent Concentration'!AS45*HRT!D45/1000)</f>
        <v>0.26419557866225063</v>
      </c>
      <c r="T45">
        <f>IF(HRT!D45="-", "-", 'Effluent Concentration'!AT45*HRT!D45/1000)</f>
        <v>1.4026383448977673</v>
      </c>
      <c r="U45">
        <f>IF(HRT!D45="-", "-", 'Effluent Concentration'!AU45*HRT!D45/1000)</f>
        <v>5.1795463799114803</v>
      </c>
      <c r="V45" s="113" t="str">
        <f>Gas!T45</f>
        <v>-</v>
      </c>
      <c r="W45" s="113">
        <f>Gas!U45+Gas!O45</f>
        <v>39.83611230996231</v>
      </c>
      <c r="X45" s="116">
        <f t="shared" si="0"/>
        <v>110.37826073133944</v>
      </c>
      <c r="Y45" s="116">
        <f t="shared" si="1"/>
        <v>0.9745296975399852</v>
      </c>
      <c r="Z45" s="116">
        <f t="shared" si="2"/>
        <v>0.2316244052515074</v>
      </c>
      <c r="AA45" s="116">
        <f t="shared" si="3"/>
        <v>117.99637234492518</v>
      </c>
      <c r="AB45" s="116">
        <f t="shared" si="4"/>
        <v>0.26419557866225063</v>
      </c>
      <c r="AC45" s="116">
        <f t="shared" si="5"/>
        <v>1.4026383448977673</v>
      </c>
      <c r="AD45" s="116">
        <f t="shared" si="6"/>
        <v>5.1795463799114803</v>
      </c>
      <c r="AE45" s="116">
        <f t="shared" si="7"/>
        <v>-3.0690904752595216</v>
      </c>
      <c r="AF45" s="116">
        <f t="shared" si="8"/>
        <v>-143.59304477546107</v>
      </c>
      <c r="AG45" s="116">
        <f t="shared" si="9"/>
        <v>-2.4602619798582666</v>
      </c>
      <c r="AH45" s="116">
        <f t="shared" si="10"/>
        <v>-0.91365996556847451</v>
      </c>
      <c r="AI45" s="116">
        <f t="shared" si="11"/>
        <v>-17.421260710678361</v>
      </c>
      <c r="AJ45" s="116">
        <f t="shared" si="12"/>
        <v>-3.1570375059335003</v>
      </c>
      <c r="AK45" s="116">
        <f t="shared" si="13"/>
        <v>-65.812812069768412</v>
      </c>
      <c r="AL45" s="116"/>
      <c r="AM45" s="116"/>
      <c r="AN45" s="116"/>
      <c r="AO45" s="116"/>
      <c r="AP45" s="116"/>
      <c r="AQ45" s="116"/>
      <c r="AR45" s="116"/>
      <c r="AS45" s="116"/>
      <c r="AT45" s="116"/>
      <c r="AU45" s="116"/>
      <c r="AV45" s="116"/>
      <c r="AW45" s="116"/>
      <c r="AX45" s="116"/>
    </row>
    <row r="46" spans="1:108">
      <c r="A46" s="231">
        <f>Gas!A46</f>
        <v>89.76736111111677</v>
      </c>
      <c r="B46" s="181">
        <f>IF(HRT!B46="-", "-", 'Influent Concentration'!X46*HRT!B46/1000)</f>
        <v>145.78194809166953</v>
      </c>
      <c r="C46" s="181">
        <f>IF(HRT!B46="-", "-", 'Influent Concentration'!Y46*HRT!B46/1000)</f>
        <v>2.507022364849496</v>
      </c>
      <c r="D46" s="181">
        <f>IF(HRT!B46="-", "-", 'Influent Concentration'!Z46*HRT!B46/1000)</f>
        <v>1.0171597984752747</v>
      </c>
      <c r="E46" s="181">
        <f>IF(HRT!B46="-", "-", 'Influent Concentration'!AA46*HRT!B46/1000)</f>
        <v>17.68682688348127</v>
      </c>
      <c r="F46" s="181">
        <f>IF(HRT!B46="-", "-", 'Influent Concentration'!AB46*HRT!B46/1000)</f>
        <v>3.2051627467969297</v>
      </c>
      <c r="G46" s="181">
        <f>IF(HRT!B46="-", "-", 'Influent Concentration'!AC46*HRT!B46/1000)</f>
        <v>5.1392539696593511</v>
      </c>
      <c r="H46" s="181">
        <f>IF(HRT!B46="-", "-", 'Influent Concentration'!AD46*HRT!B46/1000)</f>
        <v>0.1724092182794206</v>
      </c>
      <c r="I46" s="181">
        <f>IF(HRT!B46="-", "-", 'Influent Concentration'!AE46*HRT!B46/1000)</f>
        <v>1.0430530978165053</v>
      </c>
      <c r="J46" s="182">
        <f>Gas!W46-Gas!S46</f>
        <v>45.687733893417203</v>
      </c>
      <c r="K46">
        <f>IF(HRT!D46="-", "-", 'Effluent Concentration'!AK46*HRT!D46/1000)</f>
        <v>0</v>
      </c>
      <c r="L46">
        <f>IF(HRT!D46="-", "-", 'Effluent Concentration'!AL46*HRT!D46/1000)</f>
        <v>6.9021048304221972E-3</v>
      </c>
      <c r="M46">
        <f>IF(HRT!D46="-", "-", 'Effluent Concentration'!AM46*HRT!D46/1000)</f>
        <v>0</v>
      </c>
      <c r="N46">
        <f>IF(HRT!D46="-", "-", 'Effluent Concentration'!AN46*HRT!D46/1000)</f>
        <v>0</v>
      </c>
      <c r="O46">
        <f>IF(HRT!D46="-", "-", 'Effluent Concentration'!AO46*HRT!D46/1000)</f>
        <v>116.18854769960024</v>
      </c>
      <c r="P46">
        <f>IF(HRT!D46="-", "-", 'Effluent Concentration'!AP46*HRT!D46/1000)</f>
        <v>1.2994162687077435</v>
      </c>
      <c r="Q46">
        <f>IF(HRT!D46="-", "-", 'Effluent Concentration'!AQ46*HRT!D46/1000)</f>
        <v>0.23378742217874965</v>
      </c>
      <c r="R46">
        <f>IF(HRT!D46="-", "-", 'Effluent Concentration'!AR46*HRT!D46/1000)</f>
        <v>120.08131267254274</v>
      </c>
      <c r="S46">
        <f>IF(HRT!D46="-", "-", 'Effluent Concentration'!AS46*HRT!D46/1000)</f>
        <v>0.37817627842277551</v>
      </c>
      <c r="T46">
        <f>IF(HRT!D46="-", "-", 'Effluent Concentration'!AT46*HRT!D46/1000)</f>
        <v>1.3478590436093791</v>
      </c>
      <c r="U46">
        <f>IF(HRT!D46="-", "-", 'Effluent Concentration'!AU46*HRT!D46/1000)</f>
        <v>6.000337347540273</v>
      </c>
      <c r="V46" s="113" t="str">
        <f>Gas!T46</f>
        <v>-</v>
      </c>
      <c r="W46" s="113">
        <f>Gas!U46+Gas!O46</f>
        <v>39.207271060898471</v>
      </c>
      <c r="X46" s="116">
        <f t="shared" si="0"/>
        <v>111.04929372994089</v>
      </c>
      <c r="Y46" s="116">
        <f t="shared" si="1"/>
        <v>1.1270070504283229</v>
      </c>
      <c r="Z46" s="116">
        <f t="shared" si="2"/>
        <v>0.23378742217874965</v>
      </c>
      <c r="AA46" s="116">
        <f t="shared" si="3"/>
        <v>119.03825957472623</v>
      </c>
      <c r="AB46" s="116">
        <f t="shared" si="4"/>
        <v>0.37817627842277551</v>
      </c>
      <c r="AC46" s="116">
        <f t="shared" si="5"/>
        <v>1.3478590436093791</v>
      </c>
      <c r="AD46" s="116">
        <f t="shared" si="6"/>
        <v>6.000337347540273</v>
      </c>
      <c r="AE46" s="116">
        <f t="shared" si="7"/>
        <v>-6.4804628325187323</v>
      </c>
      <c r="AF46" s="116">
        <f t="shared" si="8"/>
        <v>-145.78194809166953</v>
      </c>
      <c r="AG46" s="116">
        <f t="shared" si="9"/>
        <v>-2.5001202600190737</v>
      </c>
      <c r="AH46" s="116">
        <f t="shared" si="10"/>
        <v>-1.0171597984752747</v>
      </c>
      <c r="AI46" s="116">
        <f t="shared" si="11"/>
        <v>-17.68682688348127</v>
      </c>
      <c r="AJ46" s="116">
        <f t="shared" si="12"/>
        <v>-3.2051627467969297</v>
      </c>
      <c r="AK46" s="116">
        <f t="shared" si="13"/>
        <v>-62.503039833885822</v>
      </c>
      <c r="AL46" s="116"/>
      <c r="AM46" s="116"/>
      <c r="AN46" s="116"/>
      <c r="AO46" s="116"/>
      <c r="AP46" s="116"/>
      <c r="AQ46" s="116"/>
      <c r="AR46" s="116"/>
      <c r="AS46" s="116"/>
      <c r="AT46" s="116"/>
      <c r="AU46" s="116"/>
      <c r="AV46" s="116"/>
      <c r="AW46" s="116"/>
      <c r="AX46" s="116"/>
    </row>
    <row r="47" spans="1:108">
      <c r="A47" s="113">
        <f>Gas!A47</f>
        <v>91.739583333335759</v>
      </c>
      <c r="B47" s="181">
        <f>IF(HRT!B47="-", "-", 'Influent Concentration'!X47*HRT!B47/1000)</f>
        <v>161.13897645803388</v>
      </c>
      <c r="C47" s="181">
        <f>IF(HRT!B47="-", "-", 'Influent Concentration'!Y47*HRT!B47/1000)</f>
        <v>2.7711182565294044</v>
      </c>
      <c r="D47" s="181">
        <f>IF(HRT!B47="-", "-", 'Influent Concentration'!Z47*HRT!B47/1000)</f>
        <v>1.1243099091905453</v>
      </c>
      <c r="E47" s="181">
        <f>IF(HRT!B47="-", "-", 'Influent Concentration'!AA47*HRT!B47/1000)</f>
        <v>19.550000655790868</v>
      </c>
      <c r="F47" s="181">
        <f>IF(HRT!B47="-", "-", 'Influent Concentration'!AB47*HRT!B47/1000)</f>
        <v>3.5428024605317434</v>
      </c>
      <c r="G47" s="181">
        <f>IF(HRT!B47="-", "-", 'Influent Concentration'!AC47*HRT!B47/1000)</f>
        <v>5.6806356017965554</v>
      </c>
      <c r="H47" s="181">
        <f>IF(HRT!B47="-", "-", 'Influent Concentration'!AD47*HRT!B47/1000)</f>
        <v>0.19057122866821621</v>
      </c>
      <c r="I47" s="181">
        <f>IF(HRT!B47="-", "-", 'Influent Concentration'!AE47*HRT!B47/1000)</f>
        <v>1.152930872263036</v>
      </c>
      <c r="J47" s="182">
        <f>Gas!W47-Gas!S47</f>
        <v>42.712989484800914</v>
      </c>
      <c r="K47">
        <f>IF(HRT!D47="-", "-", 'Effluent Concentration'!AK47*HRT!D47/1000)</f>
        <v>0</v>
      </c>
      <c r="L47">
        <f>IF(HRT!D47="-", "-", 'Effluent Concentration'!AL47*HRT!D47/1000)</f>
        <v>1.0128594769975335E-2</v>
      </c>
      <c r="M47">
        <f>IF(HRT!D47="-", "-", 'Effluent Concentration'!AM47*HRT!D47/1000)</f>
        <v>0</v>
      </c>
      <c r="N47">
        <f>IF(HRT!D47="-", "-", 'Effluent Concentration'!AN47*HRT!D47/1000)</f>
        <v>0</v>
      </c>
      <c r="O47">
        <f>IF(HRT!D47="-", "-", 'Effluent Concentration'!AO47*HRT!D47/1000)</f>
        <v>136.0702691016462</v>
      </c>
      <c r="P47">
        <f>IF(HRT!D47="-", "-", 'Effluent Concentration'!AP47*HRT!D47/1000)</f>
        <v>1.3815815834209613</v>
      </c>
      <c r="Q47">
        <f>IF(HRT!D47="-", "-", 'Effluent Concentration'!AQ47*HRT!D47/1000)</f>
        <v>0.25235788736298942</v>
      </c>
      <c r="R47">
        <f>IF(HRT!D47="-", "-", 'Effluent Concentration'!AR47*HRT!D47/1000)</f>
        <v>137.76266553084292</v>
      </c>
      <c r="S47">
        <f>IF(HRT!D47="-", "-", 'Effluent Concentration'!AS47*HRT!D47/1000)</f>
        <v>0.30416094226469359</v>
      </c>
      <c r="T47">
        <f>IF(HRT!D47="-", "-", 'Effluent Concentration'!AT47*HRT!D47/1000)</f>
        <v>1.5314770250871417</v>
      </c>
      <c r="U47">
        <f>IF(HRT!D47="-", "-", 'Effluent Concentration'!AU47*HRT!D47/1000)</f>
        <v>7.4259386920359356</v>
      </c>
      <c r="V47" s="113" t="str">
        <f>Gas!T47</f>
        <v>-</v>
      </c>
      <c r="W47" s="113">
        <f>Gas!U47+Gas!O47</f>
        <v>39.809369864284825</v>
      </c>
      <c r="X47" s="116">
        <f t="shared" si="0"/>
        <v>130.38963349984965</v>
      </c>
      <c r="Y47" s="116">
        <f t="shared" si="1"/>
        <v>1.1910103547527451</v>
      </c>
      <c r="Z47" s="116">
        <f t="shared" si="2"/>
        <v>0.25235788736298942</v>
      </c>
      <c r="AA47" s="116">
        <f t="shared" si="3"/>
        <v>136.6097346585799</v>
      </c>
      <c r="AB47" s="116">
        <f t="shared" si="4"/>
        <v>0.30416094226469359</v>
      </c>
      <c r="AC47" s="116">
        <f t="shared" si="5"/>
        <v>1.5314770250871417</v>
      </c>
      <c r="AD47" s="116">
        <f t="shared" si="6"/>
        <v>7.4259386920359356</v>
      </c>
      <c r="AE47" s="116">
        <f t="shared" si="7"/>
        <v>-2.9036196205160891</v>
      </c>
      <c r="AF47" s="116">
        <f t="shared" si="8"/>
        <v>-161.13897645803388</v>
      </c>
      <c r="AG47" s="116">
        <f t="shared" si="9"/>
        <v>-2.7609896617594289</v>
      </c>
      <c r="AH47" s="116">
        <f t="shared" si="10"/>
        <v>-1.1243099091905453</v>
      </c>
      <c r="AI47" s="116">
        <f t="shared" si="11"/>
        <v>-19.550000655790868</v>
      </c>
      <c r="AJ47" s="116">
        <f t="shared" si="12"/>
        <v>-3.5428024605317434</v>
      </c>
      <c r="AK47" s="116">
        <f t="shared" si="13"/>
        <v>-86.68361429411047</v>
      </c>
      <c r="AL47" s="116"/>
      <c r="AM47" s="116"/>
      <c r="AN47" s="116"/>
      <c r="AO47" s="116"/>
      <c r="AP47" s="116"/>
      <c r="AQ47" s="116"/>
      <c r="AR47" s="116"/>
      <c r="AS47" s="116"/>
      <c r="AT47" s="116"/>
      <c r="AU47" s="116"/>
      <c r="AV47" s="116"/>
      <c r="AW47" s="116"/>
      <c r="AX47" s="116"/>
    </row>
    <row r="48" spans="1:108" s="226" customFormat="1">
      <c r="A48" s="225">
        <f>Gas!A48</f>
        <v>94.725694444445253</v>
      </c>
      <c r="B48" s="239">
        <f>IF(HRT!B48="-", "-", 'Influent Concentration'!X48*HRT!B48/1000)</f>
        <v>0</v>
      </c>
      <c r="C48" s="239">
        <f>IF(HRT!B48="-", "-", 'Influent Concentration'!Y48*HRT!B48/1000)</f>
        <v>0</v>
      </c>
      <c r="D48" s="239">
        <f>IF(HRT!B48="-", "-", 'Influent Concentration'!Z48*HRT!B48/1000)</f>
        <v>0</v>
      </c>
      <c r="E48" s="239">
        <f>IF(HRT!B48="-", "-", 'Influent Concentration'!AA48*HRT!B48/1000)</f>
        <v>0</v>
      </c>
      <c r="F48" s="239">
        <f>IF(HRT!B48="-", "-", 'Influent Concentration'!AB48*HRT!B48/1000)</f>
        <v>3.2774336651193763</v>
      </c>
      <c r="G48" s="239">
        <f>IF(HRT!B48="-", "-", 'Influent Concentration'!AC48*HRT!B48/1000)</f>
        <v>0.13159508161810274</v>
      </c>
      <c r="H48" s="239">
        <f>IF(HRT!B48="-", "-", 'Influent Concentration'!AD48*HRT!B48/1000)</f>
        <v>0.13413883168423557</v>
      </c>
      <c r="I48" s="239">
        <f>IF(HRT!B48="-", "-", 'Influent Concentration'!AE48*HRT!B48/1000)</f>
        <v>0</v>
      </c>
      <c r="J48" s="229">
        <f>Gas!W48-Gas!S48</f>
        <v>37.369972210647575</v>
      </c>
      <c r="K48" s="226">
        <f>IF(HRT!D48="-", "-", 'Effluent Concentration'!AK48*HRT!D48/1000)</f>
        <v>0</v>
      </c>
      <c r="L48" s="226">
        <f>IF(HRT!D48="-", "-", 'Effluent Concentration'!AL48*HRT!D48/1000)</f>
        <v>2.3507687071666313E-3</v>
      </c>
      <c r="M48" s="226">
        <f>IF(HRT!D48="-", "-", 'Effluent Concentration'!AM48*HRT!D48/1000)</f>
        <v>0</v>
      </c>
      <c r="N48" s="226">
        <f>IF(HRT!D48="-", "-", 'Effluent Concentration'!AN48*HRT!D48/1000)</f>
        <v>0</v>
      </c>
      <c r="O48" s="226">
        <f>IF(HRT!D48="-", "-", 'Effluent Concentration'!AO48*HRT!D48/1000)</f>
        <v>122.70389472607992</v>
      </c>
      <c r="P48" s="226">
        <f>IF(HRT!D48="-", "-", 'Effluent Concentration'!AP48*HRT!D48/1000)</f>
        <v>0.88922697339351997</v>
      </c>
      <c r="Q48" s="226">
        <f>IF(HRT!D48="-", "-", 'Effluent Concentration'!AQ48*HRT!D48/1000)</f>
        <v>0.22968752468502474</v>
      </c>
      <c r="R48" s="226">
        <f>IF(HRT!D48="-", "-", 'Effluent Concentration'!AR48*HRT!D48/1000)</f>
        <v>123.68673204288581</v>
      </c>
      <c r="S48" s="226">
        <f>IF(HRT!D48="-", "-", 'Effluent Concentration'!AS48*HRT!D48/1000)</f>
        <v>0.24769616909817793</v>
      </c>
      <c r="T48" s="226">
        <f>IF(HRT!D48="-", "-", 'Effluent Concentration'!AT48*HRT!D48/1000)</f>
        <v>1.3375593131301606</v>
      </c>
      <c r="U48" s="226">
        <f>IF(HRT!D48="-", "-", 'Effluent Concentration'!AU48*HRT!D48/1000)</f>
        <v>7.2546543663214287</v>
      </c>
      <c r="V48" s="225" t="str">
        <f>Gas!T48</f>
        <v>-</v>
      </c>
      <c r="W48" s="225">
        <f>Gas!U48+Gas!O48</f>
        <v>38.612584151717272</v>
      </c>
      <c r="X48" s="238">
        <f t="shared" si="0"/>
        <v>122.57229964446182</v>
      </c>
      <c r="Y48" s="238">
        <f t="shared" si="1"/>
        <v>0.7550881417092844</v>
      </c>
      <c r="Z48" s="238">
        <f t="shared" si="2"/>
        <v>0.22968752468502474</v>
      </c>
      <c r="AA48" s="238">
        <f t="shared" si="3"/>
        <v>123.68673204288581</v>
      </c>
      <c r="AB48" s="238">
        <f t="shared" si="4"/>
        <v>0.24769616909817793</v>
      </c>
      <c r="AC48" s="238">
        <f t="shared" si="5"/>
        <v>1.3375593131301606</v>
      </c>
      <c r="AD48" s="238">
        <f t="shared" si="6"/>
        <v>7.2546543663214287</v>
      </c>
      <c r="AE48" s="238">
        <f t="shared" si="7"/>
        <v>1.242611941069697</v>
      </c>
      <c r="AF48" s="238">
        <f t="shared" si="8"/>
        <v>0</v>
      </c>
      <c r="AG48" s="238">
        <f t="shared" si="9"/>
        <v>2.3507687071666313E-3</v>
      </c>
      <c r="AH48" s="238">
        <f t="shared" si="10"/>
        <v>0</v>
      </c>
      <c r="AI48" s="238">
        <f t="shared" si="11"/>
        <v>0</v>
      </c>
      <c r="AJ48" s="238">
        <f t="shared" si="12"/>
        <v>-3.2774336651193763</v>
      </c>
      <c r="AK48" s="116">
        <f t="shared" si="13"/>
        <v>-254.0512462469492</v>
      </c>
      <c r="AL48" s="238"/>
      <c r="AM48" s="238"/>
      <c r="AN48" s="238"/>
      <c r="AO48" s="238"/>
      <c r="AP48" s="238"/>
      <c r="AQ48" s="238"/>
      <c r="AR48" s="238"/>
      <c r="AS48" s="238"/>
      <c r="AT48" s="238"/>
      <c r="AU48" s="238"/>
      <c r="AV48" s="238"/>
      <c r="AW48" s="238"/>
      <c r="AX48" s="238"/>
      <c r="AY48" s="240"/>
      <c r="AZ48" s="240"/>
      <c r="BA48" s="240"/>
      <c r="BB48" s="240"/>
      <c r="BC48" s="240"/>
      <c r="BD48" s="240"/>
      <c r="BE48" s="240"/>
      <c r="BF48" s="240"/>
      <c r="BG48" s="240"/>
      <c r="BH48" s="240"/>
      <c r="BI48" s="240"/>
      <c r="BJ48" s="240"/>
      <c r="BK48" s="240"/>
      <c r="BL48" s="240"/>
      <c r="BM48" s="240"/>
      <c r="BN48" s="240"/>
      <c r="BO48" s="240"/>
      <c r="BP48" s="240"/>
      <c r="BQ48" s="240"/>
      <c r="BR48" s="240"/>
      <c r="BS48" s="240"/>
      <c r="BT48" s="240"/>
      <c r="BU48" s="240"/>
      <c r="BV48" s="240"/>
      <c r="BW48" s="240"/>
      <c r="BX48" s="240"/>
      <c r="BY48" s="240"/>
      <c r="BZ48" s="240"/>
      <c r="CA48" s="240"/>
      <c r="CB48" s="240"/>
      <c r="CC48" s="240"/>
      <c r="CD48" s="240"/>
      <c r="CE48" s="240"/>
      <c r="CF48" s="240"/>
      <c r="CG48" s="240"/>
      <c r="CH48" s="240"/>
      <c r="CI48" s="240"/>
      <c r="CJ48" s="240"/>
      <c r="CK48" s="240"/>
      <c r="CL48" s="240"/>
      <c r="CM48" s="240"/>
      <c r="CN48" s="240"/>
      <c r="CO48" s="240"/>
      <c r="CP48" s="240"/>
      <c r="CQ48" s="240"/>
      <c r="CR48" s="240"/>
      <c r="CS48" s="240"/>
      <c r="CT48" s="240"/>
      <c r="CU48" s="240"/>
      <c r="CV48" s="240"/>
      <c r="CW48" s="240"/>
      <c r="CX48" s="240"/>
      <c r="CY48" s="240"/>
      <c r="CZ48" s="240"/>
      <c r="DA48" s="240"/>
      <c r="DB48" s="240"/>
      <c r="DC48" s="240"/>
      <c r="DD48" s="240"/>
    </row>
    <row r="49" spans="1:108">
      <c r="A49" s="113">
        <f>Gas!A49</f>
        <v>96.754166666665697</v>
      </c>
      <c r="B49" s="181">
        <f>IF(HRT!B49="-", "-", 'Influent Concentration'!X49*HRT!B49/1000)</f>
        <v>0</v>
      </c>
      <c r="C49" s="181">
        <f>IF(HRT!B49="-", "-", 'Influent Concentration'!Y49*HRT!B49/1000)</f>
        <v>0</v>
      </c>
      <c r="D49" s="181">
        <f>IF(HRT!B49="-", "-", 'Influent Concentration'!Z49*HRT!B49/1000)</f>
        <v>0</v>
      </c>
      <c r="E49" s="181">
        <f>IF(HRT!B49="-", "-", 'Influent Concentration'!AA49*HRT!B49/1000)</f>
        <v>0</v>
      </c>
      <c r="F49" s="181">
        <f>IF(HRT!B49="-", "-", 'Influent Concentration'!AB49*HRT!B49/1000)</f>
        <v>4.5293502075445895</v>
      </c>
      <c r="G49" s="181">
        <f>IF(HRT!B49="-", "-", 'Influent Concentration'!AC49*HRT!B49/1000)</f>
        <v>0.18186186850469507</v>
      </c>
      <c r="H49" s="181">
        <f>IF(HRT!B49="-", "-", 'Influent Concentration'!AD49*HRT!B49/1000)</f>
        <v>0.18537728210790547</v>
      </c>
      <c r="I49" s="181">
        <f>IF(HRT!B49="-", "-", 'Influent Concentration'!AE49*HRT!B49/1000)</f>
        <v>0</v>
      </c>
      <c r="J49" s="182">
        <f>Gas!W49-Gas!S49</f>
        <v>36.13751757346256</v>
      </c>
      <c r="K49">
        <f>IF(HRT!D49="-", "-", 'Effluent Concentration'!AK49*HRT!D49/1000)</f>
        <v>0</v>
      </c>
      <c r="L49">
        <f>IF(HRT!D49="-", "-", 'Effluent Concentration'!AL49*HRT!D49/1000)</f>
        <v>1.5530749611769906E-3</v>
      </c>
      <c r="M49">
        <f>IF(HRT!D49="-", "-", 'Effluent Concentration'!AM49*HRT!D49/1000)</f>
        <v>5.0094555284311608E-2</v>
      </c>
      <c r="N49">
        <f>IF(HRT!D49="-", "-", 'Effluent Concentration'!AN49*HRT!D49/1000)</f>
        <v>0</v>
      </c>
      <c r="O49">
        <f>IF(HRT!D49="-", "-", 'Effluent Concentration'!AO49*HRT!D49/1000)</f>
        <v>55.681519050465276</v>
      </c>
      <c r="P49">
        <f>IF(HRT!D49="-", "-", 'Effluent Concentration'!AP49*HRT!D49/1000)</f>
        <v>0.70931101240870353</v>
      </c>
      <c r="Q49">
        <f>IF(HRT!D49="-", "-", 'Effluent Concentration'!AQ49*HRT!D49/1000)</f>
        <v>0.28224929694515088</v>
      </c>
      <c r="R49">
        <f>IF(HRT!D49="-", "-", 'Effluent Concentration'!AR49*HRT!D49/1000)</f>
        <v>47.821528730803671</v>
      </c>
      <c r="S49">
        <f>IF(HRT!D49="-", "-", 'Effluent Concentration'!AS49*HRT!D49/1000)</f>
        <v>0.52366287440605941</v>
      </c>
      <c r="T49">
        <f>IF(HRT!D49="-", "-", 'Effluent Concentration'!AT49*HRT!D49/1000)</f>
        <v>0.57930205481170316</v>
      </c>
      <c r="U49">
        <f>IF(HRT!D49="-", "-", 'Effluent Concentration'!AU49*HRT!D49/1000)</f>
        <v>5.1278608409213531</v>
      </c>
      <c r="V49" s="113" t="str">
        <f>Gas!T49</f>
        <v>-</v>
      </c>
      <c r="W49" s="113">
        <f>Gas!U49+Gas!O49</f>
        <v>36.822935918717924</v>
      </c>
      <c r="X49" s="116">
        <f t="shared" si="0"/>
        <v>55.499657181960579</v>
      </c>
      <c r="Y49" s="116">
        <f t="shared" si="1"/>
        <v>0.52393373030079804</v>
      </c>
      <c r="Z49" s="116">
        <f t="shared" si="2"/>
        <v>0.28224929694515088</v>
      </c>
      <c r="AA49" s="116">
        <f t="shared" si="3"/>
        <v>47.821528730803671</v>
      </c>
      <c r="AB49" s="116">
        <f t="shared" si="4"/>
        <v>0.52366287440605941</v>
      </c>
      <c r="AC49" s="116">
        <f t="shared" si="5"/>
        <v>0.57930205481170316</v>
      </c>
      <c r="AD49" s="116">
        <f t="shared" si="6"/>
        <v>5.1278608409213531</v>
      </c>
      <c r="AE49" s="116">
        <f t="shared" si="7"/>
        <v>0.68541834525536416</v>
      </c>
      <c r="AF49" s="116">
        <f t="shared" si="8"/>
        <v>0</v>
      </c>
      <c r="AG49" s="116">
        <f t="shared" si="9"/>
        <v>1.5530749611769906E-3</v>
      </c>
      <c r="AH49" s="116">
        <f t="shared" si="10"/>
        <v>5.0094555284311608E-2</v>
      </c>
      <c r="AI49" s="116">
        <f t="shared" si="11"/>
        <v>0</v>
      </c>
      <c r="AJ49" s="116">
        <f t="shared" si="12"/>
        <v>-4.5293502075445895</v>
      </c>
      <c r="AK49" s="116">
        <f t="shared" si="13"/>
        <v>-106.56591047810558</v>
      </c>
      <c r="AL49" s="116"/>
      <c r="AM49" s="116"/>
      <c r="AN49" s="116"/>
      <c r="AO49" s="116"/>
      <c r="AP49" s="116"/>
      <c r="AQ49" s="116"/>
      <c r="AR49" s="116"/>
      <c r="AS49" s="116"/>
      <c r="AT49" s="116"/>
      <c r="AU49" s="116"/>
      <c r="AV49" s="116"/>
      <c r="AW49" s="116"/>
      <c r="AX49" s="116"/>
    </row>
    <row r="50" spans="1:108">
      <c r="A50" s="113">
        <f>Gas!A50</f>
        <v>98.71736111111386</v>
      </c>
      <c r="B50" s="181">
        <f>IF(HRT!B50="-", "-", 'Influent Concentration'!X50*HRT!B50/1000)</f>
        <v>0</v>
      </c>
      <c r="C50" s="181">
        <f>IF(HRT!B50="-", "-", 'Influent Concentration'!Y50*HRT!B50/1000)</f>
        <v>0</v>
      </c>
      <c r="D50" s="181">
        <f>IF(HRT!B50="-", "-", 'Influent Concentration'!Z50*HRT!B50/1000)</f>
        <v>0</v>
      </c>
      <c r="E50" s="181">
        <f>IF(HRT!B50="-", "-", 'Influent Concentration'!AA50*HRT!B50/1000)</f>
        <v>0</v>
      </c>
      <c r="F50" s="181">
        <f>IF(HRT!B50="-", "-", 'Influent Concentration'!AB50*HRT!B50/1000)</f>
        <v>3.8483939647247172</v>
      </c>
      <c r="G50" s="181">
        <f>IF(HRT!B50="-", "-", 'Influent Concentration'!AC50*HRT!B50/1000)</f>
        <v>0.15452020380345888</v>
      </c>
      <c r="H50" s="181">
        <f>IF(HRT!B50="-", "-", 'Influent Concentration'!AD50*HRT!B50/1000)</f>
        <v>0.15750709946711747</v>
      </c>
      <c r="I50" s="181">
        <f>IF(HRT!B50="-", "-", 'Influent Concentration'!AE50*HRT!B50/1000)</f>
        <v>0</v>
      </c>
      <c r="J50" s="182">
        <f>Gas!W50-Gas!S50</f>
        <v>36.635624988188169</v>
      </c>
      <c r="K50">
        <f>IF(HRT!D50="-", "-", 'Effluent Concentration'!AK50*HRT!D50/1000)</f>
        <v>0</v>
      </c>
      <c r="L50">
        <f>IF(HRT!D50="-", "-", 'Effluent Concentration'!AL50*HRT!D50/1000)</f>
        <v>0</v>
      </c>
      <c r="M50">
        <f>IF(HRT!D50="-", "-", 'Effluent Concentration'!AM50*HRT!D50/1000)</f>
        <v>0</v>
      </c>
      <c r="N50">
        <f>IF(HRT!D50="-", "-", 'Effluent Concentration'!AN50*HRT!D50/1000)</f>
        <v>0</v>
      </c>
      <c r="O50">
        <f>IF(HRT!D50="-", "-", 'Effluent Concentration'!AO50*HRT!D50/1000)</f>
        <v>27.930104283279029</v>
      </c>
      <c r="P50">
        <f>IF(HRT!D50="-", "-", 'Effluent Concentration'!AP50*HRT!D50/1000)</f>
        <v>0.32761300563032425</v>
      </c>
      <c r="Q50">
        <f>IF(HRT!D50="-", "-", 'Effluent Concentration'!AQ50*HRT!D50/1000)</f>
        <v>0.21445001511062903</v>
      </c>
      <c r="R50">
        <f>IF(HRT!D50="-", "-", 'Effluent Concentration'!AR50*HRT!D50/1000)</f>
        <v>19.50082592497014</v>
      </c>
      <c r="S50">
        <f>IF(HRT!D50="-", "-", 'Effluent Concentration'!AS50*HRT!D50/1000)</f>
        <v>0.39051759018344168</v>
      </c>
      <c r="T50">
        <f>IF(HRT!D50="-", "-", 'Effluent Concentration'!AT50*HRT!D50/1000)</f>
        <v>0.28388690066526789</v>
      </c>
      <c r="U50">
        <f>IF(HRT!D50="-", "-", 'Effluent Concentration'!AU50*HRT!D50/1000)</f>
        <v>2.6065395379086755</v>
      </c>
      <c r="V50" s="113" t="str">
        <f>Gas!T50</f>
        <v>-</v>
      </c>
      <c r="W50" s="113">
        <f>Gas!U50+Gas!O50</f>
        <v>35.069959427895455</v>
      </c>
      <c r="X50" s="116">
        <f t="shared" si="0"/>
        <v>27.775584079475571</v>
      </c>
      <c r="Y50" s="116">
        <f t="shared" si="1"/>
        <v>0.17010590616320678</v>
      </c>
      <c r="Z50" s="116">
        <f t="shared" si="2"/>
        <v>0.21445001511062903</v>
      </c>
      <c r="AA50" s="116">
        <f t="shared" si="3"/>
        <v>19.50082592497014</v>
      </c>
      <c r="AB50" s="116">
        <f t="shared" si="4"/>
        <v>0.39051759018344168</v>
      </c>
      <c r="AC50" s="116">
        <f t="shared" si="5"/>
        <v>0.28388690066526789</v>
      </c>
      <c r="AD50" s="116">
        <f t="shared" si="6"/>
        <v>2.6065395379086755</v>
      </c>
      <c r="AE50" s="116">
        <f t="shared" si="7"/>
        <v>-1.5656655602927145</v>
      </c>
      <c r="AF50" s="116">
        <f t="shared" si="8"/>
        <v>0</v>
      </c>
      <c r="AG50" s="116">
        <f t="shared" si="9"/>
        <v>0</v>
      </c>
      <c r="AH50" s="116">
        <f t="shared" si="10"/>
        <v>0</v>
      </c>
      <c r="AI50" s="116">
        <f t="shared" si="11"/>
        <v>0</v>
      </c>
      <c r="AJ50" s="116">
        <f t="shared" si="12"/>
        <v>-3.8483939647247172</v>
      </c>
      <c r="AK50" s="116">
        <f t="shared" si="13"/>
        <v>-45.527850429459505</v>
      </c>
      <c r="AL50" s="116"/>
      <c r="AM50" s="116"/>
      <c r="AN50" s="116"/>
      <c r="AO50" s="116"/>
      <c r="AP50" s="116"/>
      <c r="AQ50" s="116"/>
      <c r="AR50" s="116"/>
      <c r="AS50" s="116"/>
      <c r="AT50" s="116"/>
      <c r="AU50" s="116"/>
      <c r="AV50" s="116"/>
      <c r="AW50" s="116"/>
      <c r="AX50" s="116"/>
    </row>
    <row r="51" spans="1:108">
      <c r="A51" s="223">
        <f>Gas!A51</f>
        <v>101.71527777778101</v>
      </c>
      <c r="B51" s="181">
        <f>IF(HRT!B51="-", "-", 'Influent Concentration'!X51*HRT!B51/1000)</f>
        <v>0</v>
      </c>
      <c r="C51" s="181">
        <f>IF(HRT!B51="-", "-", 'Influent Concentration'!Y51*HRT!B51/1000)</f>
        <v>0</v>
      </c>
      <c r="D51" s="181">
        <f>IF(HRT!B51="-", "-", 'Influent Concentration'!Z51*HRT!B51/1000)</f>
        <v>0</v>
      </c>
      <c r="E51" s="181">
        <f>IF(HRT!B51="-", "-", 'Influent Concentration'!AA51*HRT!B51/1000)</f>
        <v>0</v>
      </c>
      <c r="F51" s="181">
        <f>IF(HRT!B51="-", "-", 'Influent Concentration'!AB51*HRT!B51/1000)</f>
        <v>3.8395740099994171</v>
      </c>
      <c r="G51" s="181">
        <f>IF(HRT!B51="-", "-", 'Influent Concentration'!AC51*HRT!B51/1000)</f>
        <v>0.15416606615170522</v>
      </c>
      <c r="H51" s="181">
        <f>IF(HRT!B51="-", "-", 'Influent Concentration'!AD51*HRT!B51/1000)</f>
        <v>0.15714611628843383</v>
      </c>
      <c r="I51" s="181">
        <f>IF(HRT!B51="-", "-", 'Influent Concentration'!AE51*HRT!B51/1000)</f>
        <v>0</v>
      </c>
      <c r="J51" s="182">
        <f>Gas!W51-Gas!S51</f>
        <v>35.156961082875341</v>
      </c>
      <c r="K51">
        <f>IF(HRT!D51="-", "-", 'Effluent Concentration'!AK51*HRT!D51/1000)</f>
        <v>0</v>
      </c>
      <c r="L51">
        <f>IF(HRT!D51="-", "-", 'Effluent Concentration'!AL51*HRT!D51/1000)</f>
        <v>1.3193162978870768E-3</v>
      </c>
      <c r="M51">
        <f>IF(HRT!D51="-", "-", 'Effluent Concentration'!AM51*HRT!D51/1000)</f>
        <v>4.4445969005325485E-2</v>
      </c>
      <c r="N51">
        <f>IF(HRT!D51="-", "-", 'Effluent Concentration'!AN51*HRT!D51/1000)</f>
        <v>9.6148260463132532E-2</v>
      </c>
      <c r="O51">
        <f>IF(HRT!D51="-", "-", 'Effluent Concentration'!AO51*HRT!D51/1000)</f>
        <v>23.08859831172018</v>
      </c>
      <c r="P51">
        <f>IF(HRT!D51="-", "-", 'Effluent Concentration'!AP51*HRT!D51/1000)</f>
        <v>0.25182917331233018</v>
      </c>
      <c r="Q51">
        <f>IF(HRT!D51="-", "-", 'Effluent Concentration'!AQ51*HRT!D51/1000)</f>
        <v>0.19207140021200397</v>
      </c>
      <c r="R51">
        <f>IF(HRT!D51="-", "-", 'Effluent Concentration'!AR51*HRT!D51/1000)</f>
        <v>15.13883573214614</v>
      </c>
      <c r="S51">
        <f>IF(HRT!D51="-", "-", 'Effluent Concentration'!AS51*HRT!D51/1000)</f>
        <v>0.3155616175379094</v>
      </c>
      <c r="T51">
        <f>IF(HRT!D51="-", "-", 'Effluent Concentration'!AT51*HRT!D51/1000)</f>
        <v>0.24049409618527898</v>
      </c>
      <c r="U51">
        <f>IF(HRT!D51="-", "-", 'Effluent Concentration'!AU51*HRT!D51/1000)</f>
        <v>1.3478817786441821</v>
      </c>
      <c r="V51" s="113" t="str">
        <f>Gas!T51</f>
        <v>-</v>
      </c>
      <c r="W51" s="113">
        <f>Gas!U51+Gas!O51</f>
        <v>34.856287983440822</v>
      </c>
      <c r="X51" s="116">
        <f>O51-G51</f>
        <v>22.934432245568473</v>
      </c>
      <c r="Y51" s="116">
        <f t="shared" si="1"/>
        <v>9.4683057023896344E-2</v>
      </c>
      <c r="Z51" s="116">
        <f t="shared" si="2"/>
        <v>0.19207140021200397</v>
      </c>
      <c r="AA51" s="116">
        <f t="shared" si="3"/>
        <v>15.13883573214614</v>
      </c>
      <c r="AB51" s="116">
        <f t="shared" si="4"/>
        <v>0.3155616175379094</v>
      </c>
      <c r="AC51" s="116">
        <f t="shared" si="5"/>
        <v>0.24049409618527898</v>
      </c>
      <c r="AD51" s="116">
        <f t="shared" si="6"/>
        <v>1.3478817786441821</v>
      </c>
      <c r="AE51" s="116">
        <f t="shared" si="7"/>
        <v>-0.30067309943451903</v>
      </c>
      <c r="AF51" s="116">
        <f t="shared" si="8"/>
        <v>0</v>
      </c>
      <c r="AG51" s="116">
        <f t="shared" si="9"/>
        <v>1.3193162978870768E-3</v>
      </c>
      <c r="AH51" s="116">
        <f t="shared" si="10"/>
        <v>4.4445969005325485E-2</v>
      </c>
      <c r="AI51" s="116">
        <f t="shared" si="11"/>
        <v>9.6148260463132532E-2</v>
      </c>
      <c r="AJ51" s="116">
        <f t="shared" si="12"/>
        <v>-3.8395740099994171</v>
      </c>
      <c r="AK51" s="116">
        <f t="shared" si="13"/>
        <v>-36.265626363650291</v>
      </c>
      <c r="AL51" s="116"/>
      <c r="AM51" s="116"/>
      <c r="AN51" s="116"/>
      <c r="AO51" s="116"/>
      <c r="AP51" s="116"/>
      <c r="AQ51" s="116"/>
      <c r="AR51" s="116"/>
      <c r="AS51" s="116"/>
      <c r="AT51" s="116"/>
      <c r="AU51" s="116"/>
      <c r="AV51" s="116"/>
      <c r="AW51" s="116"/>
      <c r="AX51" s="116"/>
    </row>
    <row r="52" spans="1:108">
      <c r="A52" s="223">
        <f>Gas!A52</f>
        <v>103.72847222222481</v>
      </c>
      <c r="B52" s="181">
        <f>IF(HRT!B52="-", "-", 'Influent Concentration'!X52*HRT!B52/1000)</f>
        <v>0</v>
      </c>
      <c r="C52" s="181">
        <f>IF(HRT!B52="-", "-", 'Influent Concentration'!Y52*HRT!B52/1000)</f>
        <v>0</v>
      </c>
      <c r="D52" s="181">
        <f>IF(HRT!B52="-", "-", 'Influent Concentration'!Z52*HRT!B52/1000)</f>
        <v>0</v>
      </c>
      <c r="E52" s="181">
        <f>IF(HRT!B52="-", "-", 'Influent Concentration'!AA52*HRT!B52/1000)</f>
        <v>0</v>
      </c>
      <c r="F52" s="181">
        <f>IF(HRT!B52="-", "-", 'Influent Concentration'!AB52*HRT!B52/1000)</f>
        <v>3.8384812350168316</v>
      </c>
      <c r="G52" s="181">
        <f>IF(HRT!B52="-", "-", 'Influent Concentration'!AC52*HRT!B52/1000)</f>
        <v>0</v>
      </c>
      <c r="H52" s="181">
        <f>IF(HRT!B52="-", "-", 'Influent Concentration'!AD52*HRT!B52/1000)</f>
        <v>0.10660451544700819</v>
      </c>
      <c r="I52" s="181">
        <f>IF(HRT!B52="-", "-", 'Influent Concentration'!AE52*HRT!B52/1000)</f>
        <v>0</v>
      </c>
      <c r="J52" s="182">
        <f>Gas!W52-Gas!S52</f>
        <v>32.303149791719306</v>
      </c>
      <c r="K52">
        <f>IF(HRT!D52="-", "-", 'Effluent Concentration'!AK52*HRT!D52/1000)</f>
        <v>0</v>
      </c>
      <c r="L52">
        <f>IF(HRT!D52="-", "-", 'Effluent Concentration'!AL52*HRT!D52/1000)</f>
        <v>1.3205728502144779E-3</v>
      </c>
      <c r="M52">
        <f>IF(HRT!D52="-", "-", 'Effluent Concentration'!AM52*HRT!D52/1000)</f>
        <v>4.0702062197686524E-2</v>
      </c>
      <c r="N52">
        <f>IF(HRT!D52="-", "-", 'Effluent Concentration'!AN52*HRT!D52/1000)</f>
        <v>9.5036836719315468E-2</v>
      </c>
      <c r="O52">
        <f>IF(HRT!D52="-", "-", 'Effluent Concentration'!AO52*HRT!D52/1000)</f>
        <v>22.467838878270442</v>
      </c>
      <c r="P52">
        <f>IF(HRT!D52="-", "-", 'Effluent Concentration'!AP52*HRT!D52/1000)</f>
        <v>0.2693340237102626</v>
      </c>
      <c r="Q52">
        <f>IF(HRT!D52="-", "-", 'Effluent Concentration'!AQ52*HRT!D52/1000)</f>
        <v>0.20257671453829773</v>
      </c>
      <c r="R52">
        <f>IF(HRT!D52="-", "-", 'Effluent Concentration'!AR52*HRT!D52/1000)</f>
        <v>15.106803654868726</v>
      </c>
      <c r="S52">
        <f>IF(HRT!D52="-", "-", 'Effluent Concentration'!AS52*HRT!D52/1000)</f>
        <v>0.31307924032932283</v>
      </c>
      <c r="T52">
        <f>IF(HRT!D52="-", "-", 'Effluent Concentration'!AT52*HRT!D52/1000)</f>
        <v>0.23794022265028539</v>
      </c>
      <c r="U52">
        <f>IF(HRT!D52="-", "-", 'Effluent Concentration'!AU52*HRT!D52/1000)</f>
        <v>0.95718817241834686</v>
      </c>
      <c r="V52" s="113" t="str">
        <f>Gas!T52</f>
        <v>-</v>
      </c>
      <c r="W52" s="113">
        <f>Gas!U52+Gas!O52</f>
        <v>35.691682510214356</v>
      </c>
      <c r="X52" s="116">
        <f t="shared" si="0"/>
        <v>22.467838878270442</v>
      </c>
      <c r="Y52" s="116">
        <f t="shared" si="1"/>
        <v>0.16272950826325441</v>
      </c>
      <c r="Z52" s="116">
        <f t="shared" si="2"/>
        <v>0.20257671453829773</v>
      </c>
      <c r="AA52" s="116">
        <f t="shared" si="3"/>
        <v>15.106803654868726</v>
      </c>
      <c r="AB52" s="116">
        <f t="shared" si="4"/>
        <v>0.31307924032932283</v>
      </c>
      <c r="AC52" s="116">
        <f t="shared" si="5"/>
        <v>0.23794022265028539</v>
      </c>
      <c r="AD52" s="116">
        <f t="shared" si="6"/>
        <v>0.95718817241834686</v>
      </c>
      <c r="AE52" s="116">
        <f t="shared" si="7"/>
        <v>3.3885327184950498</v>
      </c>
      <c r="AF52" s="116">
        <f t="shared" si="8"/>
        <v>0</v>
      </c>
      <c r="AG52" s="116">
        <f t="shared" si="9"/>
        <v>1.3205728502144779E-3</v>
      </c>
      <c r="AH52" s="116">
        <f t="shared" si="10"/>
        <v>4.0702062197686524E-2</v>
      </c>
      <c r="AI52" s="116">
        <f t="shared" si="11"/>
        <v>9.5036836719315468E-2</v>
      </c>
      <c r="AJ52" s="116">
        <f t="shared" si="12"/>
        <v>-3.8384812350168316</v>
      </c>
      <c r="AK52" s="116">
        <f t="shared" si="13"/>
        <v>-39.135267346584115</v>
      </c>
      <c r="AL52" s="116"/>
      <c r="AM52" s="116"/>
      <c r="AN52" s="116"/>
      <c r="AO52" s="116"/>
      <c r="AP52" s="116"/>
      <c r="AQ52" s="116"/>
      <c r="AR52" s="116"/>
      <c r="AS52" s="116"/>
      <c r="AT52" s="116"/>
      <c r="AU52" s="116"/>
      <c r="AV52" s="116"/>
      <c r="AW52" s="116"/>
      <c r="AX52" s="116"/>
    </row>
    <row r="53" spans="1:108">
      <c r="A53" s="223">
        <f>Gas!A53</f>
        <v>105.74375000000146</v>
      </c>
      <c r="B53" s="181">
        <f>IF(HRT!B53="-", "-", 'Influent Concentration'!X53*HRT!B53/1000)</f>
        <v>0</v>
      </c>
      <c r="C53" s="181">
        <f>IF(HRT!B53="-", "-", 'Influent Concentration'!Y53*HRT!B53/1000)</f>
        <v>0</v>
      </c>
      <c r="D53" s="181">
        <f>IF(HRT!B53="-", "-", 'Influent Concentration'!Z53*HRT!B53/1000)</f>
        <v>0</v>
      </c>
      <c r="E53" s="181">
        <f>IF(HRT!B53="-", "-", 'Influent Concentration'!AA53*HRT!B53/1000)</f>
        <v>0</v>
      </c>
      <c r="F53" s="181">
        <f>IF(HRT!B53="-", "-", 'Influent Concentration'!AB53*HRT!B53/1000)</f>
        <v>3.869569178027239</v>
      </c>
      <c r="G53" s="181">
        <f>IF(HRT!B53="-", "-", 'Influent Concentration'!AC53*HRT!B53/1000)</f>
        <v>0</v>
      </c>
      <c r="H53" s="181">
        <f>IF(HRT!B53="-", "-", 'Influent Concentration'!AD53*HRT!B53/1000)</f>
        <v>0.22059202114291224</v>
      </c>
      <c r="I53" s="181">
        <f>IF(HRT!B53="-", "-", 'Influent Concentration'!AE53*HRT!B53/1000)</f>
        <v>0</v>
      </c>
      <c r="J53" s="182">
        <f>Gas!W53-Gas!S53</f>
        <v>31.46728946370763</v>
      </c>
      <c r="K53">
        <f>IF(HRT!D53="-", "-", 'Effluent Concentration'!AK53*HRT!D53/1000)</f>
        <v>0</v>
      </c>
      <c r="L53">
        <f>IF(HRT!D53="-", "-", 'Effluent Concentration'!AL53*HRT!D53/1000)</f>
        <v>1.3278593313574725E-3</v>
      </c>
      <c r="M53">
        <f>IF(HRT!D53="-", "-", 'Effluent Concentration'!AM53*HRT!D53/1000)</f>
        <v>0</v>
      </c>
      <c r="N53">
        <f>IF(HRT!D53="-", "-", 'Effluent Concentration'!AN53*HRT!D53/1000)</f>
        <v>0</v>
      </c>
      <c r="O53">
        <f>IF(HRT!D53="-", "-", 'Effluent Concentration'!AO53*HRT!D53/1000)</f>
        <v>23.086763243845791</v>
      </c>
      <c r="P53">
        <f>IF(HRT!D53="-", "-", 'Effluent Concentration'!AP53*HRT!D53/1000)</f>
        <v>0.32521561316220343</v>
      </c>
      <c r="Q53">
        <f>IF(HRT!D53="-", "-", 'Effluent Concentration'!AQ53*HRT!D53/1000)</f>
        <v>0.20109963142285261</v>
      </c>
      <c r="R53">
        <f>IF(HRT!D53="-", "-", 'Effluent Concentration'!AR53*HRT!D53/1000)</f>
        <v>15.930983059620694</v>
      </c>
      <c r="S53">
        <f>IF(HRT!D53="-", "-", 'Effluent Concentration'!AS53*HRT!D53/1000)</f>
        <v>0.28962217071586355</v>
      </c>
      <c r="T53">
        <f>IF(HRT!D53="-", "-", 'Effluent Concentration'!AT53*HRT!D53/1000)</f>
        <v>0.26863505689587347</v>
      </c>
      <c r="U53">
        <f>IF(HRT!D53="-", "-", 'Effluent Concentration'!AU53*HRT!D53/1000)</f>
        <v>0.7100427702916795</v>
      </c>
      <c r="V53" s="113" t="str">
        <f>Gas!T53</f>
        <v>-</v>
      </c>
      <c r="W53" s="113">
        <f>Gas!U53+Gas!O53</f>
        <v>35.940666057105751</v>
      </c>
      <c r="X53" s="116">
        <f t="shared" si="0"/>
        <v>23.086763243845791</v>
      </c>
      <c r="Y53" s="116">
        <f t="shared" si="1"/>
        <v>0.1046235920192912</v>
      </c>
      <c r="Z53" s="116">
        <f t="shared" si="2"/>
        <v>0.20109963142285261</v>
      </c>
      <c r="AA53" s="116">
        <f t="shared" si="3"/>
        <v>15.930983059620694</v>
      </c>
      <c r="AB53" s="116">
        <f t="shared" si="4"/>
        <v>0.28962217071586355</v>
      </c>
      <c r="AC53" s="116">
        <f t="shared" si="5"/>
        <v>0.26863505689587347</v>
      </c>
      <c r="AD53" s="116">
        <f t="shared" si="6"/>
        <v>0.7100427702916795</v>
      </c>
      <c r="AE53" s="116">
        <f t="shared" si="7"/>
        <v>4.4733765933981218</v>
      </c>
      <c r="AF53" s="116">
        <f t="shared" si="8"/>
        <v>0</v>
      </c>
      <c r="AG53" s="116">
        <f t="shared" si="9"/>
        <v>1.3278593313574725E-3</v>
      </c>
      <c r="AH53" s="116">
        <f t="shared" si="10"/>
        <v>0</v>
      </c>
      <c r="AI53" s="116">
        <f t="shared" si="11"/>
        <v>0</v>
      </c>
      <c r="AJ53" s="116">
        <f t="shared" si="12"/>
        <v>-3.869569178027239</v>
      </c>
      <c r="AK53" s="116">
        <f t="shared" si="13"/>
        <v>-41.196904799514279</v>
      </c>
      <c r="AL53" s="116"/>
      <c r="AM53" s="116"/>
      <c r="AN53" s="116"/>
      <c r="AO53" s="116"/>
      <c r="AP53" s="116"/>
      <c r="AQ53" s="116"/>
      <c r="AR53" s="116"/>
      <c r="AS53" s="116"/>
      <c r="AT53" s="116"/>
      <c r="AU53" s="116"/>
      <c r="AV53" s="116"/>
      <c r="AW53" s="116"/>
      <c r="AX53" s="116"/>
    </row>
    <row r="54" spans="1:108">
      <c r="A54" s="223">
        <f>Gas!A54</f>
        <v>108.73541666667006</v>
      </c>
      <c r="B54" s="181">
        <f>IF(HRT!B54="-", "-", 'Influent Concentration'!X54*HRT!B54/1000)</f>
        <v>0</v>
      </c>
      <c r="C54" s="181">
        <f>IF(HRT!B54="-", "-", 'Influent Concentration'!Y54*HRT!B54/1000)</f>
        <v>0</v>
      </c>
      <c r="D54" s="181">
        <f>IF(HRT!B54="-", "-", 'Influent Concentration'!Z54*HRT!B54/1000)</f>
        <v>0</v>
      </c>
      <c r="E54" s="181">
        <f>IF(HRT!B54="-", "-", 'Influent Concentration'!AA54*HRT!B54/1000)</f>
        <v>0</v>
      </c>
      <c r="F54" s="181">
        <f>IF(HRT!B54="-", "-", 'Influent Concentration'!AB54*HRT!B54/1000)</f>
        <v>3.8686635299152501</v>
      </c>
      <c r="G54" s="181">
        <f>IF(HRT!B54="-", "-", 'Influent Concentration'!AC54*HRT!B54/1000)</f>
        <v>0</v>
      </c>
      <c r="H54" s="181">
        <f>IF(HRT!B54="-", "-", 'Influent Concentration'!AD54*HRT!B54/1000)</f>
        <v>0.33363803040581919</v>
      </c>
      <c r="I54" s="181">
        <f>IF(HRT!B54="-", "-", 'Influent Concentration'!AE54*HRT!B54/1000)</f>
        <v>0</v>
      </c>
      <c r="J54" s="182">
        <f>Gas!W54-Gas!S54</f>
        <v>32.975309911063505</v>
      </c>
      <c r="K54">
        <f>IF(HRT!D54="-", "-", 'Effluent Concentration'!AK54*HRT!D54/1000)</f>
        <v>0</v>
      </c>
      <c r="L54">
        <f>IF(HRT!D54="-", "-", 'Effluent Concentration'!AL54*HRT!D54/1000)</f>
        <v>2.6715816761210326E-3</v>
      </c>
      <c r="M54">
        <f>IF(HRT!D54="-", "-", 'Effluent Concentration'!AM54*HRT!D54/1000)</f>
        <v>0</v>
      </c>
      <c r="N54">
        <f>IF(HRT!D54="-", "-", 'Effluent Concentration'!AN54*HRT!D54/1000)</f>
        <v>0</v>
      </c>
      <c r="O54">
        <f>IF(HRT!D54="-", "-", 'Effluent Concentration'!AO54*HRT!D54/1000)</f>
        <v>23.603842196602617</v>
      </c>
      <c r="P54">
        <f>IF(HRT!D54="-", "-", 'Effluent Concentration'!AP54*HRT!D54/1000)</f>
        <v>0.32599391174692588</v>
      </c>
      <c r="Q54">
        <f>IF(HRT!D54="-", "-", 'Effluent Concentration'!AQ54*HRT!D54/1000)</f>
        <v>0.19055433043127859</v>
      </c>
      <c r="R54">
        <f>IF(HRT!D54="-", "-", 'Effluent Concentration'!AR54*HRT!D54/1000)</f>
        <v>16.687860745851562</v>
      </c>
      <c r="S54">
        <f>IF(HRT!D54="-", "-", 'Effluent Concentration'!AS54*HRT!D54/1000)</f>
        <v>0.27023965514218318</v>
      </c>
      <c r="T54">
        <f>IF(HRT!D54="-", "-", 'Effluent Concentration'!AT54*HRT!D54/1000)</f>
        <v>0.26179466591898992</v>
      </c>
      <c r="U54">
        <f>IF(HRT!D54="-", "-", 'Effluent Concentration'!AU54*HRT!D54/1000)</f>
        <v>0.47519931094475149</v>
      </c>
      <c r="V54" s="113" t="str">
        <f>Gas!T54</f>
        <v>-</v>
      </c>
      <c r="W54" s="113">
        <f>Gas!U54+Gas!O54</f>
        <v>35.325006865562706</v>
      </c>
      <c r="X54" s="116">
        <f t="shared" si="0"/>
        <v>23.603842196602617</v>
      </c>
      <c r="Y54" s="116">
        <f t="shared" si="1"/>
        <v>-7.6441186588933063E-3</v>
      </c>
      <c r="Z54" s="116">
        <f t="shared" si="2"/>
        <v>0.19055433043127859</v>
      </c>
      <c r="AA54" s="116">
        <f t="shared" si="3"/>
        <v>16.687860745851562</v>
      </c>
      <c r="AB54" s="116">
        <f t="shared" si="4"/>
        <v>0.27023965514218318</v>
      </c>
      <c r="AC54" s="116">
        <f t="shared" si="5"/>
        <v>0.26179466591898992</v>
      </c>
      <c r="AD54" s="116">
        <f t="shared" si="6"/>
        <v>0.47519931094475149</v>
      </c>
      <c r="AE54" s="116">
        <f t="shared" si="7"/>
        <v>2.3496969544992012</v>
      </c>
      <c r="AF54" s="116">
        <f t="shared" si="8"/>
        <v>0</v>
      </c>
      <c r="AG54" s="116">
        <f t="shared" si="9"/>
        <v>2.6715816761210326E-3</v>
      </c>
      <c r="AH54" s="116">
        <f t="shared" si="10"/>
        <v>0</v>
      </c>
      <c r="AI54" s="116">
        <f t="shared" si="11"/>
        <v>0</v>
      </c>
      <c r="AJ54" s="116">
        <f t="shared" si="12"/>
        <v>-3.8686635299152501</v>
      </c>
      <c r="AK54" s="116">
        <f t="shared" si="13"/>
        <v>-39.965551792492562</v>
      </c>
      <c r="AL54" s="116"/>
      <c r="AM54" s="116"/>
      <c r="AN54" s="116"/>
      <c r="AO54" s="116"/>
      <c r="AP54" s="116"/>
      <c r="AQ54" s="116"/>
      <c r="AR54" s="116"/>
      <c r="AS54" s="116"/>
      <c r="AT54" s="116"/>
      <c r="AU54" s="116"/>
      <c r="AV54" s="116"/>
      <c r="AW54" s="116"/>
      <c r="AX54" s="116"/>
    </row>
    <row r="55" spans="1:108">
      <c r="A55" s="223">
        <f>Gas!A55</f>
        <v>110.75069444444671</v>
      </c>
      <c r="B55" s="181">
        <f>IF(HRT!B55="-", "-", 'Influent Concentration'!X55*HRT!B55/1000)</f>
        <v>0</v>
      </c>
      <c r="C55" s="181">
        <f>IF(HRT!B55="-", "-", 'Influent Concentration'!Y55*HRT!B55/1000)</f>
        <v>0</v>
      </c>
      <c r="D55" s="181">
        <f>IF(HRT!B55="-", "-", 'Influent Concentration'!Z55*HRT!B55/1000)</f>
        <v>0</v>
      </c>
      <c r="E55" s="181">
        <f>IF(HRT!B55="-", "-", 'Influent Concentration'!AA55*HRT!B55/1000)</f>
        <v>0</v>
      </c>
      <c r="F55" s="181">
        <f>IF(HRT!B55="-", "-", 'Influent Concentration'!AB55*HRT!B55/1000)</f>
        <v>3.8523848402617715</v>
      </c>
      <c r="G55" s="181">
        <f>IF(HRT!B55="-", "-", 'Influent Concentration'!AC55*HRT!B55/1000)</f>
        <v>0.15375421469941505</v>
      </c>
      <c r="H55" s="181">
        <f>IF(HRT!B55="-", "-", 'Influent Concentration'!AD55*HRT!B55/1000)</f>
        <v>0</v>
      </c>
      <c r="I55" s="181">
        <f>IF(HRT!B55="-", "-", 'Influent Concentration'!AE55*HRT!B55/1000)</f>
        <v>0</v>
      </c>
      <c r="J55" s="182">
        <f>Gas!W55-Gas!S55</f>
        <v>34.711610456133485</v>
      </c>
      <c r="K55">
        <f>IF(HRT!D55="-", "-", 'Effluent Concentration'!AK55*HRT!D55/1000)</f>
        <v>0</v>
      </c>
      <c r="L55">
        <f>IF(HRT!D55="-", "-", 'Effluent Concentration'!AL55*HRT!D55/1000)</f>
        <v>1.330083876387106E-3</v>
      </c>
      <c r="M55">
        <f>IF(HRT!D55="-", "-", 'Effluent Concentration'!AM55*HRT!D55/1000)</f>
        <v>0</v>
      </c>
      <c r="N55">
        <f>IF(HRT!D55="-", "-", 'Effluent Concentration'!AN55*HRT!D55/1000)</f>
        <v>0</v>
      </c>
      <c r="O55">
        <f>IF(HRT!D55="-", "-", 'Effluent Concentration'!AO55*HRT!D55/1000)</f>
        <v>24.107472901047679</v>
      </c>
      <c r="P55">
        <f>IF(HRT!D55="-", "-", 'Effluent Concentration'!AP55*HRT!D55/1000)</f>
        <v>0.29330032727081518</v>
      </c>
      <c r="Q55">
        <f>IF(HRT!D55="-", "-", 'Effluent Concentration'!AQ55*HRT!D55/1000)</f>
        <v>0.19233939729756624</v>
      </c>
      <c r="R55">
        <f>IF(HRT!D55="-", "-", 'Effluent Concentration'!AR55*HRT!D55/1000)</f>
        <v>17.057125604936196</v>
      </c>
      <c r="S55">
        <f>IF(HRT!D55="-", "-", 'Effluent Concentration'!AS55*HRT!D55/1000)</f>
        <v>0.24806282437231195</v>
      </c>
      <c r="T55">
        <f>IF(HRT!D55="-", "-", 'Effluent Concentration'!AT55*HRT!D55/1000)</f>
        <v>0.25226727902269008</v>
      </c>
      <c r="U55">
        <f>IF(HRT!D55="-", "-", 'Effluent Concentration'!AU55*HRT!D55/1000)</f>
        <v>0.3785352757625321</v>
      </c>
      <c r="V55" s="113" t="str">
        <f>Gas!T55</f>
        <v>-</v>
      </c>
      <c r="W55" s="113">
        <f>Gas!U55+Gas!O55</f>
        <v>34.808034227464013</v>
      </c>
      <c r="X55" s="116">
        <f t="shared" si="0"/>
        <v>23.953718686348264</v>
      </c>
      <c r="Y55" s="116">
        <f t="shared" si="1"/>
        <v>0.29330032727081518</v>
      </c>
      <c r="Z55" s="116">
        <f t="shared" si="2"/>
        <v>0.19233939729756624</v>
      </c>
      <c r="AA55" s="116">
        <f t="shared" si="3"/>
        <v>17.057125604936196</v>
      </c>
      <c r="AB55" s="116">
        <f t="shared" si="4"/>
        <v>0.24806282437231195</v>
      </c>
      <c r="AC55" s="116">
        <f t="shared" si="5"/>
        <v>0.25226727902269008</v>
      </c>
      <c r="AD55" s="116">
        <f t="shared" si="6"/>
        <v>0.3785352757625321</v>
      </c>
      <c r="AE55" s="116">
        <f t="shared" si="7"/>
        <v>9.6423771330528041E-2</v>
      </c>
      <c r="AF55" s="116">
        <f t="shared" si="8"/>
        <v>0</v>
      </c>
      <c r="AG55" s="116">
        <f t="shared" si="9"/>
        <v>1.330083876387106E-3</v>
      </c>
      <c r="AH55" s="116">
        <f t="shared" si="10"/>
        <v>0</v>
      </c>
      <c r="AI55" s="116">
        <f t="shared" si="11"/>
        <v>0</v>
      </c>
      <c r="AJ55" s="116">
        <f t="shared" si="12"/>
        <v>-3.8523848402617715</v>
      </c>
      <c r="AK55" s="116">
        <f t="shared" si="13"/>
        <v>-38.620718409955522</v>
      </c>
      <c r="AL55" s="116"/>
      <c r="AM55" s="116"/>
      <c r="AN55" s="116"/>
      <c r="AO55" s="116"/>
      <c r="AP55" s="116"/>
      <c r="AQ55" s="116"/>
      <c r="AR55" s="116"/>
      <c r="AS55" s="116"/>
      <c r="AT55" s="116"/>
      <c r="AU55" s="116"/>
      <c r="AV55" s="116"/>
      <c r="AW55" s="116"/>
      <c r="AX55" s="116"/>
    </row>
    <row r="56" spans="1:108">
      <c r="A56" s="113">
        <f>Gas!A56</f>
        <v>112.74791666666715</v>
      </c>
      <c r="B56" s="181">
        <f>IF(HRT!B56="-", "-", 'Influent Concentration'!X56*HRT!B56/1000)</f>
        <v>0</v>
      </c>
      <c r="C56" s="181">
        <f>IF(HRT!B56="-", "-", 'Influent Concentration'!Y56*HRT!B56/1000)</f>
        <v>0</v>
      </c>
      <c r="D56" s="181">
        <f>IF(HRT!B56="-", "-", 'Influent Concentration'!Z56*HRT!B56/1000)</f>
        <v>0</v>
      </c>
      <c r="E56" s="181">
        <f>IF(HRT!B56="-", "-", 'Influent Concentration'!AA56*HRT!B56/1000)</f>
        <v>0</v>
      </c>
      <c r="F56" s="181">
        <f>IF(HRT!B56="-", "-", 'Influent Concentration'!AB56*HRT!B56/1000)</f>
        <v>3.823748420044577</v>
      </c>
      <c r="G56" s="181">
        <f>IF(HRT!B56="-", "-", 'Influent Concentration'!AC56*HRT!B56/1000)</f>
        <v>0.24454580848850824</v>
      </c>
      <c r="H56" s="181">
        <f>IF(HRT!B56="-", "-", 'Influent Concentration'!AD56*HRT!B56/1000)</f>
        <v>0</v>
      </c>
      <c r="I56" s="181">
        <f>IF(HRT!B56="-", "-", 'Influent Concentration'!AE56*HRT!B56/1000)</f>
        <v>0</v>
      </c>
      <c r="J56" s="182">
        <f>Gas!W56-Gas!S56</f>
        <v>36.001555189501687</v>
      </c>
      <c r="K56">
        <f>IF(HRT!D56="-", "-", 'Effluent Concentration'!AK56*HRT!D56/1000)</f>
        <v>0</v>
      </c>
      <c r="L56">
        <f>IF(HRT!D56="-", "-", 'Effluent Concentration'!AL56*HRT!D56/1000)</f>
        <v>1.3183589261099478E-3</v>
      </c>
      <c r="M56">
        <f>IF(HRT!D56="-", "-", 'Effluent Concentration'!AM56*HRT!D56/1000)</f>
        <v>0</v>
      </c>
      <c r="N56">
        <f>IF(HRT!D56="-", "-", 'Effluent Concentration'!AN56*HRT!D56/1000)</f>
        <v>0</v>
      </c>
      <c r="O56">
        <f>IF(HRT!D56="-", "-", 'Effluent Concentration'!AO56*HRT!D56/1000)</f>
        <v>21.395369289266895</v>
      </c>
      <c r="P56">
        <f>IF(HRT!D56="-", "-", 'Effluent Concentration'!AP56*HRT!D56/1000)</f>
        <v>0.14018659658903473</v>
      </c>
      <c r="Q56">
        <f>IF(HRT!D56="-", "-", 'Effluent Concentration'!AQ56*HRT!D56/1000)</f>
        <v>0.18291508152003594</v>
      </c>
      <c r="R56">
        <f>IF(HRT!D56="-", "-", 'Effluent Concentration'!AR56*HRT!D56/1000)</f>
        <v>14.597138759049628</v>
      </c>
      <c r="S56">
        <f>IF(HRT!D56="-", "-", 'Effluent Concentration'!AS56*HRT!D56/1000)</f>
        <v>0.21670436101064386</v>
      </c>
      <c r="T56">
        <f>IF(HRT!D56="-", "-", 'Effluent Concentration'!AT56*HRT!D56/1000)</f>
        <v>0.23059566620363378</v>
      </c>
      <c r="U56">
        <f>IF(HRT!D56="-", "-", 'Effluent Concentration'!AU56*HRT!D56/1000)</f>
        <v>0.23743024576067251</v>
      </c>
      <c r="V56" s="113" t="str">
        <f>Gas!T56</f>
        <v>-</v>
      </c>
      <c r="W56" s="113">
        <f>Gas!U56+Gas!O56</f>
        <v>34.468186052560029</v>
      </c>
      <c r="X56" s="116">
        <f t="shared" si="0"/>
        <v>21.150823480778389</v>
      </c>
      <c r="Y56" s="116">
        <f t="shared" si="1"/>
        <v>0.14018659658903473</v>
      </c>
      <c r="Z56" s="116">
        <f t="shared" si="2"/>
        <v>0.18291508152003594</v>
      </c>
      <c r="AA56" s="116">
        <f t="shared" si="3"/>
        <v>14.597138759049628</v>
      </c>
      <c r="AB56" s="116">
        <f t="shared" si="4"/>
        <v>0.21670436101064386</v>
      </c>
      <c r="AC56" s="116">
        <f t="shared" si="5"/>
        <v>0.23059566620363378</v>
      </c>
      <c r="AD56" s="116">
        <f t="shared" si="6"/>
        <v>0.23743024576067251</v>
      </c>
      <c r="AE56" s="116">
        <f t="shared" si="7"/>
        <v>-1.5333691369416584</v>
      </c>
      <c r="AF56" s="116">
        <f t="shared" si="8"/>
        <v>0</v>
      </c>
      <c r="AG56" s="116">
        <f t="shared" si="9"/>
        <v>1.3183589261099478E-3</v>
      </c>
      <c r="AH56" s="116">
        <f t="shared" si="10"/>
        <v>0</v>
      </c>
      <c r="AI56" s="116">
        <f t="shared" si="11"/>
        <v>0</v>
      </c>
      <c r="AJ56" s="116">
        <f t="shared" si="12"/>
        <v>-3.823748420044577</v>
      </c>
      <c r="AK56" s="116">
        <f t="shared" si="13"/>
        <v>-31.399994992851912</v>
      </c>
      <c r="AL56" s="116"/>
      <c r="AM56" s="116"/>
      <c r="AN56" s="116"/>
      <c r="AO56" s="116"/>
      <c r="AP56" s="116"/>
      <c r="AQ56" s="116"/>
      <c r="AR56" s="116"/>
      <c r="AS56" s="116"/>
      <c r="AT56" s="116"/>
      <c r="AU56" s="116"/>
      <c r="AV56" s="116"/>
      <c r="AW56" s="116"/>
      <c r="AX56" s="116"/>
    </row>
    <row r="57" spans="1:108">
      <c r="A57" s="113">
        <f>Gas!A57</f>
        <v>115.7229166666657</v>
      </c>
      <c r="B57" s="181">
        <f>IF(HRT!B57="-", "-", 'Influent Concentration'!X57*HRT!B57/1000)</f>
        <v>0</v>
      </c>
      <c r="C57" s="181">
        <f>IF(HRT!B57="-", "-", 'Influent Concentration'!Y57*HRT!B57/1000)</f>
        <v>0</v>
      </c>
      <c r="D57" s="181">
        <f>IF(HRT!B57="-", "-", 'Influent Concentration'!Z57*HRT!B57/1000)</f>
        <v>0</v>
      </c>
      <c r="E57" s="181">
        <f>IF(HRT!B57="-", "-", 'Influent Concentration'!AA57*HRT!B57/1000)</f>
        <v>0</v>
      </c>
      <c r="F57" s="181">
        <f>IF(HRT!B57="-", "-", 'Influent Concentration'!AB57*HRT!B57/1000)</f>
        <v>3.8682193009623353</v>
      </c>
      <c r="G57" s="181">
        <f>IF(HRT!B57="-", "-", 'Influent Concentration'!AC57*HRT!B57/1000)</f>
        <v>0.34039364954991141</v>
      </c>
      <c r="H57" s="181">
        <f>IF(HRT!B57="-", "-", 'Influent Concentration'!AD57*HRT!B57/1000)</f>
        <v>0</v>
      </c>
      <c r="I57" s="181">
        <f>IF(HRT!B57="-", "-", 'Influent Concentration'!AE57*HRT!B57/1000)</f>
        <v>0</v>
      </c>
      <c r="J57" s="182">
        <f>Gas!W57-Gas!S57</f>
        <v>36.301081312033375</v>
      </c>
      <c r="K57">
        <f>IF(HRT!D57="-", "-", 'Effluent Concentration'!AK57*HRT!D57/1000)</f>
        <v>0</v>
      </c>
      <c r="L57">
        <f>IF(HRT!D57="-", "-", 'Effluent Concentration'!AL57*HRT!D57/1000)</f>
        <v>1.3244317930200416E-3</v>
      </c>
      <c r="M57">
        <f>IF(HRT!D57="-", "-", 'Effluent Concentration'!AM57*HRT!D57/1000)</f>
        <v>0</v>
      </c>
      <c r="N57">
        <f>IF(HRT!D57="-", "-", 'Effluent Concentration'!AN57*HRT!D57/1000)</f>
        <v>0</v>
      </c>
      <c r="O57">
        <f>IF(HRT!D57="-", "-", 'Effluent Concentration'!AO57*HRT!D57/1000)</f>
        <v>19.812575609092416</v>
      </c>
      <c r="P57">
        <f>IF(HRT!D57="-", "-", 'Effluent Concentration'!AP57*HRT!D57/1000)</f>
        <v>0.12697998754779113</v>
      </c>
      <c r="Q57">
        <f>IF(HRT!D57="-", "-", 'Effluent Concentration'!AQ57*HRT!D57/1000)</f>
        <v>0.1397593459380127</v>
      </c>
      <c r="R57">
        <f>IF(HRT!D57="-", "-", 'Effluent Concentration'!AR57*HRT!D57/1000)</f>
        <v>11.840722364192743</v>
      </c>
      <c r="S57">
        <f>IF(HRT!D57="-", "-", 'Effluent Concentration'!AS57*HRT!D57/1000)</f>
        <v>0.21909811380828326</v>
      </c>
      <c r="T57">
        <f>IF(HRT!D57="-", "-", 'Effluent Concentration'!AT57*HRT!D57/1000)</f>
        <v>0.18281434973812169</v>
      </c>
      <c r="U57">
        <f>IF(HRT!D57="-", "-", 'Effluent Concentration'!AU57*HRT!D57/1000)</f>
        <v>0.17079492039110358</v>
      </c>
      <c r="V57" s="113" t="str">
        <f>Gas!T57</f>
        <v>-</v>
      </c>
      <c r="W57" s="113">
        <f>Gas!U57+Gas!O57</f>
        <v>34.36590911221522</v>
      </c>
      <c r="X57" s="116">
        <f t="shared" si="0"/>
        <v>19.472181959542503</v>
      </c>
      <c r="Y57" s="116">
        <f t="shared" si="1"/>
        <v>0.12697998754779113</v>
      </c>
      <c r="Z57" s="116">
        <f t="shared" si="2"/>
        <v>0.1397593459380127</v>
      </c>
      <c r="AA57" s="116">
        <f t="shared" si="3"/>
        <v>11.840722364192743</v>
      </c>
      <c r="AB57" s="116">
        <f t="shared" si="4"/>
        <v>0.21909811380828326</v>
      </c>
      <c r="AC57" s="116">
        <f t="shared" si="5"/>
        <v>0.18281434973812169</v>
      </c>
      <c r="AD57" s="116">
        <f t="shared" si="6"/>
        <v>0.17079492039110358</v>
      </c>
      <c r="AE57" s="116">
        <f t="shared" si="7"/>
        <v>-1.9351721998181546</v>
      </c>
      <c r="AF57" s="116">
        <f t="shared" si="8"/>
        <v>0</v>
      </c>
      <c r="AG57" s="116">
        <f t="shared" si="9"/>
        <v>1.3244317930200416E-3</v>
      </c>
      <c r="AH57" s="116">
        <f t="shared" si="10"/>
        <v>0</v>
      </c>
      <c r="AI57" s="116">
        <f t="shared" si="11"/>
        <v>0</v>
      </c>
      <c r="AJ57" s="116">
        <f t="shared" si="12"/>
        <v>-3.8682193009623353</v>
      </c>
      <c r="AK57" s="116">
        <f t="shared" si="13"/>
        <v>-26.350283972171091</v>
      </c>
      <c r="AL57" s="116"/>
      <c r="AM57" s="116"/>
      <c r="AN57" s="116"/>
      <c r="AO57" s="116"/>
      <c r="AP57" s="116"/>
      <c r="AQ57" s="116"/>
      <c r="AR57" s="116"/>
      <c r="AS57" s="116"/>
      <c r="AT57" s="116"/>
      <c r="AU57" s="116"/>
      <c r="AV57" s="116"/>
      <c r="AW57" s="116"/>
      <c r="AX57" s="116"/>
    </row>
    <row r="58" spans="1:108">
      <c r="A58" s="113">
        <f>Gas!A58</f>
        <v>117.72152777777956</v>
      </c>
      <c r="B58" s="181">
        <f>IF(HRT!B58="-", "-", 'Influent Concentration'!X58*HRT!B58/1000)</f>
        <v>0</v>
      </c>
      <c r="C58" s="181">
        <f>IF(HRT!B58="-", "-", 'Influent Concentration'!Y58*HRT!B58/1000)</f>
        <v>0</v>
      </c>
      <c r="D58" s="181">
        <f>IF(HRT!B58="-", "-", 'Influent Concentration'!Z58*HRT!B58/1000)</f>
        <v>0</v>
      </c>
      <c r="E58" s="181">
        <f>IF(HRT!B58="-", "-", 'Influent Concentration'!AA58*HRT!B58/1000)</f>
        <v>0</v>
      </c>
      <c r="F58" s="181">
        <f>IF(HRT!B58="-", "-", 'Influent Concentration'!AB58*HRT!B58/1000)</f>
        <v>3.8515878404610766</v>
      </c>
      <c r="G58" s="181">
        <f>IF(HRT!B58="-", "-", 'Influent Concentration'!AC58*HRT!B58/1000)</f>
        <v>0.43153398112123065</v>
      </c>
      <c r="H58" s="181">
        <f>IF(HRT!B58="-", "-", 'Influent Concentration'!AD58*HRT!B58/1000)</f>
        <v>0</v>
      </c>
      <c r="I58" s="181">
        <f>IF(HRT!B58="-", "-", 'Influent Concentration'!AE58*HRT!B58/1000)</f>
        <v>0</v>
      </c>
      <c r="J58" s="182">
        <f>Gas!W58-Gas!S58</f>
        <v>35.708313142434918</v>
      </c>
      <c r="K58">
        <f>IF(HRT!D58="-", "-", 'Effluent Concentration'!AK58*HRT!D58/1000)</f>
        <v>0</v>
      </c>
      <c r="L58">
        <f>IF(HRT!D58="-", "-", 'Effluent Concentration'!AL58*HRT!D58/1000)</f>
        <v>1.3163275918375759E-3</v>
      </c>
      <c r="M58">
        <f>IF(HRT!D58="-", "-", 'Effluent Concentration'!AM58*HRT!D58/1000)</f>
        <v>0</v>
      </c>
      <c r="N58">
        <f>IF(HRT!D58="-", "-", 'Effluent Concentration'!AN58*HRT!D58/1000)</f>
        <v>9.2333059588587368E-2</v>
      </c>
      <c r="O58">
        <f>IF(HRT!D58="-", "-", 'Effluent Concentration'!AO58*HRT!D58/1000)</f>
        <v>19.66114820398904</v>
      </c>
      <c r="P58">
        <f>IF(HRT!D58="-", "-", 'Effluent Concentration'!AP58*HRT!D58/1000)</f>
        <v>0.10669889722051104</v>
      </c>
      <c r="Q58">
        <f>IF(HRT!D58="-", "-", 'Effluent Concentration'!AQ58*HRT!D58/1000)</f>
        <v>0.13633185895377906</v>
      </c>
      <c r="R58">
        <f>IF(HRT!D58="-", "-", 'Effluent Concentration'!AR58*HRT!D58/1000)</f>
        <v>10.907834865915094</v>
      </c>
      <c r="S58">
        <f>IF(HRT!D58="-", "-", 'Effluent Concentration'!AS58*HRT!D58/1000)</f>
        <v>0.1803087181725325</v>
      </c>
      <c r="T58">
        <f>IF(HRT!D58="-", "-", 'Effluent Concentration'!AT58*HRT!D58/1000)</f>
        <v>0.16782580691443413</v>
      </c>
      <c r="U58">
        <f>IF(HRT!D58="-", "-", 'Effluent Concentration'!AU58*HRT!D58/1000)</f>
        <v>0.16974982588107487</v>
      </c>
      <c r="V58" s="113" t="str">
        <f>Gas!T58</f>
        <v>-</v>
      </c>
      <c r="W58" s="113">
        <f>Gas!U58+Gas!O58</f>
        <v>34.88176668449038</v>
      </c>
      <c r="X58" s="116">
        <f t="shared" si="0"/>
        <v>19.229614222867809</v>
      </c>
      <c r="Y58" s="116">
        <f t="shared" si="1"/>
        <v>0.10669889722051104</v>
      </c>
      <c r="Z58" s="116">
        <f t="shared" si="2"/>
        <v>0.13633185895377906</v>
      </c>
      <c r="AA58" s="116">
        <f t="shared" si="3"/>
        <v>10.907834865915094</v>
      </c>
      <c r="AB58" s="116">
        <f t="shared" si="4"/>
        <v>0.1803087181725325</v>
      </c>
      <c r="AC58" s="116">
        <f t="shared" si="5"/>
        <v>0.16782580691443413</v>
      </c>
      <c r="AD58" s="116">
        <f t="shared" si="6"/>
        <v>0.16974982588107487</v>
      </c>
      <c r="AE58" s="116">
        <f t="shared" si="7"/>
        <v>-0.82654645794453785</v>
      </c>
      <c r="AF58" s="116">
        <f t="shared" si="8"/>
        <v>0</v>
      </c>
      <c r="AG58" s="116">
        <f t="shared" si="9"/>
        <v>1.3163275918375759E-3</v>
      </c>
      <c r="AH58" s="116">
        <f t="shared" si="10"/>
        <v>0</v>
      </c>
      <c r="AI58" s="116">
        <f t="shared" si="11"/>
        <v>9.2333059588587368E-2</v>
      </c>
      <c r="AJ58" s="116">
        <f t="shared" si="12"/>
        <v>-3.8515878404610766</v>
      </c>
      <c r="AK58" s="116">
        <f t="shared" si="13"/>
        <v>-26.313879284700043</v>
      </c>
      <c r="AL58" s="116"/>
      <c r="AM58" s="116"/>
      <c r="AN58" s="116"/>
      <c r="AO58" s="116"/>
      <c r="AP58" s="116"/>
      <c r="AQ58" s="116"/>
      <c r="AR58" s="116"/>
      <c r="AS58" s="116"/>
      <c r="AT58" s="116"/>
      <c r="AU58" s="116"/>
      <c r="AV58" s="116"/>
      <c r="AW58" s="116"/>
      <c r="AX58" s="116"/>
    </row>
    <row r="59" spans="1:108">
      <c r="A59" s="113">
        <f>Gas!A59</f>
        <v>119.69305555555911</v>
      </c>
      <c r="B59" s="181">
        <f>IF(HRT!B59="-", "-", 'Influent Concentration'!X59*HRT!B59/1000)</f>
        <v>0</v>
      </c>
      <c r="C59" s="181">
        <f>IF(HRT!B59="-", "-", 'Influent Concentration'!Y59*HRT!B59/1000)</f>
        <v>0</v>
      </c>
      <c r="D59" s="181">
        <f>IF(HRT!B59="-", "-", 'Influent Concentration'!Z59*HRT!B59/1000)</f>
        <v>0</v>
      </c>
      <c r="E59" s="181">
        <f>IF(HRT!B59="-", "-", 'Influent Concentration'!AA59*HRT!B59/1000)</f>
        <v>0</v>
      </c>
      <c r="F59" s="181">
        <f>IF(HRT!B59="-", "-", 'Influent Concentration'!AB59*HRT!B59/1000)</f>
        <v>3.8451260161860139</v>
      </c>
      <c r="G59" s="181">
        <f>IF(HRT!B59="-", "-", 'Influent Concentration'!AC59*HRT!B59/1000)</f>
        <v>0.15993589937219396</v>
      </c>
      <c r="H59" s="181">
        <f>IF(HRT!B59="-", "-", 'Influent Concentration'!AD59*HRT!B59/1000)</f>
        <v>0</v>
      </c>
      <c r="I59" s="181">
        <f>IF(HRT!B59="-", "-", 'Influent Concentration'!AE59*HRT!B59/1000)</f>
        <v>0</v>
      </c>
      <c r="J59" s="182">
        <f>Gas!W59-Gas!S59</f>
        <v>35.891986523658261</v>
      </c>
      <c r="K59">
        <f>IF(HRT!D59="-", "-", 'Effluent Concentration'!AK59*HRT!D59/1000)</f>
        <v>0</v>
      </c>
      <c r="L59">
        <f>IF(HRT!D59="-", "-", 'Effluent Concentration'!AL59*HRT!D59/1000)</f>
        <v>1.3170479388697179E-3</v>
      </c>
      <c r="M59">
        <f>IF(HRT!D59="-", "-", 'Effluent Concentration'!AM59*HRT!D59/1000)</f>
        <v>0</v>
      </c>
      <c r="N59">
        <f>IF(HRT!D59="-", "-", 'Effluent Concentration'!AN59*HRT!D59/1000)</f>
        <v>0</v>
      </c>
      <c r="O59">
        <f>IF(HRT!D59="-", "-", 'Effluent Concentration'!AO59*HRT!D59/1000)</f>
        <v>18.65890393072738</v>
      </c>
      <c r="P59">
        <f>IF(HRT!D59="-", "-", 'Effluent Concentration'!AP59*HRT!D59/1000)</f>
        <v>0.10446143148164573</v>
      </c>
      <c r="Q59">
        <f>IF(HRT!D59="-", "-", 'Effluent Concentration'!AQ59*HRT!D59/1000)</f>
        <v>0.12868534452081942</v>
      </c>
      <c r="R59">
        <f>IF(HRT!D59="-", "-", 'Effluent Concentration'!AR59*HRT!D59/1000)</f>
        <v>9.9139189418839297</v>
      </c>
      <c r="S59">
        <f>IF(HRT!D59="-", "-", 'Effluent Concentration'!AS59*HRT!D59/1000)</f>
        <v>0.15404015633701698</v>
      </c>
      <c r="T59">
        <f>IF(HRT!D59="-", "-", 'Effluent Concentration'!AT59*HRT!D59/1000)</f>
        <v>0.1651421495865317</v>
      </c>
      <c r="U59">
        <f>IF(HRT!D59="-", "-", 'Effluent Concentration'!AU59*HRT!D59/1000)</f>
        <v>0.15227278323810145</v>
      </c>
      <c r="V59" s="113" t="str">
        <f>Gas!T59</f>
        <v>-</v>
      </c>
      <c r="W59" s="113">
        <f>Gas!U59+Gas!O59</f>
        <v>34.910115312664125</v>
      </c>
      <c r="X59" s="116">
        <f t="shared" si="0"/>
        <v>18.498968031355187</v>
      </c>
      <c r="Y59" s="116">
        <f t="shared" si="1"/>
        <v>0.10446143148164573</v>
      </c>
      <c r="Z59" s="116">
        <f t="shared" si="2"/>
        <v>0.12868534452081942</v>
      </c>
      <c r="AA59" s="116">
        <f t="shared" si="3"/>
        <v>9.9139189418839297</v>
      </c>
      <c r="AB59" s="116">
        <f t="shared" si="4"/>
        <v>0.15404015633701698</v>
      </c>
      <c r="AC59" s="116">
        <f t="shared" si="5"/>
        <v>0.1651421495865317</v>
      </c>
      <c r="AD59" s="116">
        <f t="shared" si="6"/>
        <v>0.15227278323810145</v>
      </c>
      <c r="AE59" s="116">
        <f t="shared" si="7"/>
        <v>-0.98187121099413588</v>
      </c>
      <c r="AF59" s="116">
        <f t="shared" si="8"/>
        <v>0</v>
      </c>
      <c r="AG59" s="116">
        <f t="shared" si="9"/>
        <v>1.3170479388697179E-3</v>
      </c>
      <c r="AH59" s="116">
        <f t="shared" si="10"/>
        <v>0</v>
      </c>
      <c r="AI59" s="116">
        <f t="shared" si="11"/>
        <v>0</v>
      </c>
      <c r="AJ59" s="116">
        <f t="shared" si="12"/>
        <v>-3.8451260161860139</v>
      </c>
      <c r="AK59" s="116">
        <f t="shared" si="13"/>
        <v>-24.291808659161951</v>
      </c>
      <c r="AL59" s="116"/>
      <c r="AM59" s="116"/>
      <c r="AN59" s="116"/>
      <c r="AO59" s="116"/>
      <c r="AP59" s="116"/>
      <c r="AQ59" s="116"/>
      <c r="AR59" s="116"/>
      <c r="AS59" s="116"/>
      <c r="AT59" s="116"/>
      <c r="AU59" s="116"/>
      <c r="AV59" s="116"/>
      <c r="AW59" s="116"/>
      <c r="AX59" s="116"/>
    </row>
    <row r="60" spans="1:108" s="226" customFormat="1">
      <c r="A60" s="225">
        <f>Gas!A60</f>
        <v>122.70694444444962</v>
      </c>
      <c r="B60" s="239">
        <f>IF(HRT!B60="-", "-", 'Influent Concentration'!X60*HRT!B60/1000)</f>
        <v>0</v>
      </c>
      <c r="C60" s="239">
        <f>IF(HRT!B60="-", "-", 'Influent Concentration'!Y60*HRT!B60/1000)</f>
        <v>0</v>
      </c>
      <c r="D60" s="239">
        <f>IF(HRT!B60="-", "-", 'Influent Concentration'!Z60*HRT!B60/1000)</f>
        <v>0</v>
      </c>
      <c r="E60" s="239">
        <f>IF(HRT!B60="-", "-", 'Influent Concentration'!AA60*HRT!B60/1000)</f>
        <v>0</v>
      </c>
      <c r="F60" s="239">
        <f>IF(HRT!B60="-", "-", 'Influent Concentration'!AB60*HRT!B60/1000)</f>
        <v>3.8656478230116074</v>
      </c>
      <c r="G60" s="239">
        <f>IF(HRT!B60="-", "-", 'Influent Concentration'!AC60*HRT!B60/1000)</f>
        <v>0.25373139587964144</v>
      </c>
      <c r="H60" s="239">
        <f>IF(HRT!B60="-", "-", 'Influent Concentration'!AD60*HRT!B60/1000)</f>
        <v>0</v>
      </c>
      <c r="I60" s="239">
        <f>IF(HRT!B60="-", "-", 'Influent Concentration'!AE60*HRT!B60/1000)</f>
        <v>0</v>
      </c>
      <c r="J60" s="229">
        <f>Gas!W60-Gas!S60</f>
        <v>35.459724661313658</v>
      </c>
      <c r="K60" s="226">
        <f>IF(HRT!D60="-", "-", 'Effluent Concentration'!AK60*HRT!D60/1000)</f>
        <v>0</v>
      </c>
      <c r="L60" s="226">
        <f>IF(HRT!D60="-", "-", 'Effluent Concentration'!AL60*HRT!D60/1000)</f>
        <v>1.3157874836462115E-3</v>
      </c>
      <c r="M60" s="226">
        <f>IF(HRT!D60="-", "-", 'Effluent Concentration'!AM60*HRT!D60/1000)</f>
        <v>0</v>
      </c>
      <c r="N60" s="226">
        <f>IF(HRT!D60="-", "-", 'Effluent Concentration'!AN60*HRT!D60/1000)</f>
        <v>0</v>
      </c>
      <c r="O60" s="226">
        <f>IF(HRT!D60="-", "-", 'Effluent Concentration'!AO60*HRT!D60/1000)</f>
        <v>18.255285396842343</v>
      </c>
      <c r="P60" s="226">
        <f>IF(HRT!D60="-", "-", 'Effluent Concentration'!AP60*HRT!D60/1000)</f>
        <v>0.13991316439983617</v>
      </c>
      <c r="Q60" s="226">
        <f>IF(HRT!D60="-", "-", 'Effluent Concentration'!AQ60*HRT!D60/1000)</f>
        <v>0.14656089512257026</v>
      </c>
      <c r="R60" s="226">
        <f>IF(HRT!D60="-", "-", 'Effluent Concentration'!AR60*HRT!D60/1000)</f>
        <v>9.7462995256509224</v>
      </c>
      <c r="S60" s="226">
        <f>IF(HRT!D60="-", "-", 'Effluent Concentration'!AS60*HRT!D60/1000)</f>
        <v>0.14280136688670739</v>
      </c>
      <c r="T60" s="226">
        <f>IF(HRT!D60="-", "-", 'Effluent Concentration'!AT60*HRT!D60/1000)</f>
        <v>0.16082484037726269</v>
      </c>
      <c r="U60" s="226">
        <f>IF(HRT!D60="-", "-", 'Effluent Concentration'!AU60*HRT!D60/1000)</f>
        <v>0.13457393195988399</v>
      </c>
      <c r="V60" s="225" t="str">
        <f>Gas!T60</f>
        <v>-</v>
      </c>
      <c r="W60" s="225">
        <f>Gas!U60+Gas!O60</f>
        <v>34.932226770947963</v>
      </c>
      <c r="X60" s="238">
        <f t="shared" si="0"/>
        <v>18.001554000962702</v>
      </c>
      <c r="Y60" s="238">
        <f t="shared" si="1"/>
        <v>0.13991316439983617</v>
      </c>
      <c r="Z60" s="238">
        <f t="shared" si="2"/>
        <v>0.14656089512257026</v>
      </c>
      <c r="AA60" s="238">
        <f t="shared" si="3"/>
        <v>9.7462995256509224</v>
      </c>
      <c r="AB60" s="238">
        <f t="shared" si="4"/>
        <v>0.14280136688670739</v>
      </c>
      <c r="AC60" s="238">
        <f t="shared" si="5"/>
        <v>0.16082484037726269</v>
      </c>
      <c r="AD60" s="238">
        <f t="shared" si="6"/>
        <v>0.13457393195988399</v>
      </c>
      <c r="AE60" s="238">
        <f t="shared" si="7"/>
        <v>-0.52749789036569439</v>
      </c>
      <c r="AF60" s="238">
        <f t="shared" si="8"/>
        <v>0</v>
      </c>
      <c r="AG60" s="238">
        <f t="shared" si="9"/>
        <v>1.3157874836462115E-3</v>
      </c>
      <c r="AH60" s="238">
        <f t="shared" si="10"/>
        <v>0</v>
      </c>
      <c r="AI60" s="238">
        <f t="shared" si="11"/>
        <v>0</v>
      </c>
      <c r="AJ60" s="238">
        <f t="shared" si="12"/>
        <v>-3.8656478230116074</v>
      </c>
      <c r="AK60" s="116">
        <f t="shared" si="13"/>
        <v>-24.080697799466229</v>
      </c>
      <c r="AL60" s="238"/>
      <c r="AM60" s="238"/>
      <c r="AN60" s="238"/>
      <c r="AO60" s="238"/>
      <c r="AP60" s="238"/>
      <c r="AQ60" s="238"/>
      <c r="AR60" s="238"/>
      <c r="AS60" s="238"/>
      <c r="AT60" s="238"/>
      <c r="AU60" s="238"/>
      <c r="AV60" s="238"/>
      <c r="AW60" s="238"/>
      <c r="AX60" s="238"/>
      <c r="AY60" s="240"/>
      <c r="AZ60" s="240"/>
      <c r="BA60" s="240"/>
      <c r="BB60" s="240"/>
      <c r="BC60" s="240"/>
      <c r="BD60" s="240"/>
      <c r="BE60" s="240"/>
      <c r="BF60" s="240"/>
      <c r="BG60" s="240"/>
      <c r="BH60" s="240"/>
      <c r="BI60" s="240"/>
      <c r="BJ60" s="240"/>
      <c r="BK60" s="240"/>
      <c r="BL60" s="240"/>
      <c r="BM60" s="240"/>
      <c r="BN60" s="240"/>
      <c r="BO60" s="240"/>
      <c r="BP60" s="240"/>
      <c r="BQ60" s="240"/>
      <c r="BR60" s="240"/>
      <c r="BS60" s="240"/>
      <c r="BT60" s="240"/>
      <c r="BU60" s="240"/>
      <c r="BV60" s="240"/>
      <c r="BW60" s="240"/>
      <c r="BX60" s="240"/>
      <c r="BY60" s="240"/>
      <c r="BZ60" s="240"/>
      <c r="CA60" s="240"/>
      <c r="CB60" s="240"/>
      <c r="CC60" s="240"/>
      <c r="CD60" s="240"/>
      <c r="CE60" s="240"/>
      <c r="CF60" s="240"/>
      <c r="CG60" s="240"/>
      <c r="CH60" s="240"/>
      <c r="CI60" s="240"/>
      <c r="CJ60" s="240"/>
      <c r="CK60" s="240"/>
      <c r="CL60" s="240"/>
      <c r="CM60" s="240"/>
      <c r="CN60" s="240"/>
      <c r="CO60" s="240"/>
      <c r="CP60" s="240"/>
      <c r="CQ60" s="240"/>
      <c r="CR60" s="240"/>
      <c r="CS60" s="240"/>
      <c r="CT60" s="240"/>
      <c r="CU60" s="240"/>
      <c r="CV60" s="240"/>
      <c r="CW60" s="240"/>
      <c r="CX60" s="240"/>
      <c r="CY60" s="240"/>
      <c r="CZ60" s="240"/>
      <c r="DA60" s="240"/>
      <c r="DB60" s="240"/>
      <c r="DC60" s="240"/>
      <c r="DD60" s="240"/>
    </row>
    <row r="61" spans="1:108">
      <c r="A61" s="113">
        <f>Gas!A61</f>
        <v>124.74305555555475</v>
      </c>
      <c r="B61" s="181">
        <f>IF(HRT!B61="-", "-", 'Influent Concentration'!X61*HRT!B61/1000)</f>
        <v>0</v>
      </c>
      <c r="C61" s="181">
        <f>IF(HRT!B61="-", "-", 'Influent Concentration'!Y61*HRT!B61/1000)</f>
        <v>0</v>
      </c>
      <c r="D61" s="181">
        <f>IF(HRT!B61="-", "-", 'Influent Concentration'!Z61*HRT!B61/1000)</f>
        <v>0</v>
      </c>
      <c r="E61" s="181">
        <f>IF(HRT!B61="-", "-", 'Influent Concentration'!AA61*HRT!B61/1000)</f>
        <v>0</v>
      </c>
      <c r="F61" s="181">
        <f>IF(HRT!B61="-", "-", 'Influent Concentration'!AB61*HRT!B61/1000)</f>
        <v>0.45652161388894108</v>
      </c>
      <c r="G61" s="181">
        <f>IF(HRT!B61="-", "-", 'Influent Concentration'!AC61*HRT!B61/1000)</f>
        <v>4.0941094806914734E-2</v>
      </c>
      <c r="H61" s="181">
        <f>IF(HRT!B61="-", "-", 'Influent Concentration'!AD61*HRT!B61/1000)</f>
        <v>0</v>
      </c>
      <c r="I61" s="181">
        <f>IF(HRT!B61="-", "-", 'Influent Concentration'!AE61*HRT!B61/1000)</f>
        <v>0</v>
      </c>
      <c r="J61" s="182">
        <f>Gas!W61-Gas!S61</f>
        <v>36.87238470910188</v>
      </c>
      <c r="K61">
        <f>IF(HRT!D61="-", "-", 'Effluent Concentration'!AK61*HRT!D61/1000)</f>
        <v>0</v>
      </c>
      <c r="L61">
        <f>IF(HRT!D61="-", "-", 'Effluent Concentration'!AL61*HRT!D61/1000)</f>
        <v>1.6769456072282898E-4</v>
      </c>
      <c r="M61">
        <f>IF(HRT!D61="-", "-", 'Effluent Concentration'!AM61*HRT!D61/1000)</f>
        <v>0</v>
      </c>
      <c r="N61">
        <f>IF(HRT!D61="-", "-", 'Effluent Concentration'!AN61*HRT!D61/1000)</f>
        <v>0</v>
      </c>
      <c r="O61">
        <f>IF(HRT!D61="-", "-", 'Effluent Concentration'!AO61*HRT!D61/1000)</f>
        <v>3.4458452771484116</v>
      </c>
      <c r="P61">
        <f>IF(HRT!D61="-", "-", 'Effluent Concentration'!AP61*HRT!D61/1000)</f>
        <v>3.4347872018436101E-2</v>
      </c>
      <c r="Q61">
        <f>IF(HRT!D61="-", "-", 'Effluent Concentration'!AQ61*HRT!D61/1000)</f>
        <v>2.4085952056479027E-2</v>
      </c>
      <c r="R61">
        <f>IF(HRT!D61="-", "-", 'Effluent Concentration'!AR61*HRT!D61/1000)</f>
        <v>2.1185806808862164</v>
      </c>
      <c r="S61">
        <f>IF(HRT!D61="-", "-", 'Effluent Concentration'!AS61*HRT!D61/1000)</f>
        <v>3.4985940676838502E-2</v>
      </c>
      <c r="T61">
        <f>IF(HRT!D61="-", "-", 'Effluent Concentration'!AT61*HRT!D61/1000)</f>
        <v>3.3218973975988067E-2</v>
      </c>
      <c r="U61">
        <f>IF(HRT!D61="-", "-", 'Effluent Concentration'!AU61*HRT!D61/1000)</f>
        <v>2.5540353672134346E-2</v>
      </c>
      <c r="V61" s="113">
        <f>Gas!T61</f>
        <v>5.6500381996389133E-2</v>
      </c>
      <c r="W61" s="113">
        <f>Gas!U61+Gas!O61</f>
        <v>34.978813116924321</v>
      </c>
      <c r="X61" s="116">
        <f t="shared" si="0"/>
        <v>3.4049041823414967</v>
      </c>
      <c r="Y61" s="116">
        <f t="shared" si="1"/>
        <v>3.4347872018436101E-2</v>
      </c>
      <c r="Z61" s="116">
        <f t="shared" si="2"/>
        <v>2.4085952056479027E-2</v>
      </c>
      <c r="AA61" s="116">
        <f t="shared" si="3"/>
        <v>2.1185806808862164</v>
      </c>
      <c r="AB61" s="116">
        <f t="shared" si="4"/>
        <v>3.4985940676838502E-2</v>
      </c>
      <c r="AC61" s="116">
        <f t="shared" si="5"/>
        <v>3.3218973975988067E-2</v>
      </c>
      <c r="AD61" s="116">
        <f t="shared" si="6"/>
        <v>2.5540353672134346E-2</v>
      </c>
      <c r="AE61" s="116">
        <f t="shared" si="7"/>
        <v>-1.8935715921775582</v>
      </c>
      <c r="AF61" s="116">
        <f t="shared" si="8"/>
        <v>0</v>
      </c>
      <c r="AG61" s="116">
        <f t="shared" si="9"/>
        <v>1.6769456072282898E-4</v>
      </c>
      <c r="AH61" s="116">
        <f t="shared" si="10"/>
        <v>0</v>
      </c>
      <c r="AI61" s="116">
        <f t="shared" si="11"/>
        <v>0</v>
      </c>
      <c r="AJ61" s="116">
        <f t="shared" si="12"/>
        <v>-0.45652161388894108</v>
      </c>
      <c r="AK61" s="116">
        <f t="shared" si="13"/>
        <v>-3.3257384441218134</v>
      </c>
      <c r="AL61" s="116"/>
      <c r="AM61" s="116"/>
      <c r="AN61" s="116"/>
      <c r="AO61" s="116"/>
      <c r="AP61" s="116"/>
      <c r="AQ61" s="116"/>
      <c r="AR61" s="116"/>
      <c r="AS61" s="116"/>
      <c r="AT61" s="116"/>
      <c r="AU61" s="116"/>
      <c r="AV61" s="116"/>
      <c r="AW61" s="116"/>
      <c r="AX61" s="116"/>
    </row>
    <row r="62" spans="1:108">
      <c r="A62" s="232">
        <f>Gas!A62</f>
        <v>126.72083333333285</v>
      </c>
      <c r="B62" s="181">
        <f>IF(HRT!B62="-", "-", 'Influent Concentration'!X62*HRT!B62/1000)</f>
        <v>0</v>
      </c>
      <c r="C62" s="181">
        <f>IF(HRT!B62="-", "-", 'Influent Concentration'!Y62*HRT!B62/1000)</f>
        <v>0</v>
      </c>
      <c r="D62" s="181">
        <f>IF(HRT!B62="-", "-", 'Influent Concentration'!Z62*HRT!B62/1000)</f>
        <v>0</v>
      </c>
      <c r="E62" s="181">
        <f>IF(HRT!B62="-", "-", 'Influent Concentration'!AA62*HRT!B62/1000)</f>
        <v>0</v>
      </c>
      <c r="F62" s="181">
        <f>IF(HRT!B62="-", "-", 'Influent Concentration'!AB62*HRT!B62/1000)</f>
        <v>0.43635329670923551</v>
      </c>
      <c r="G62" s="181">
        <f>IF(HRT!B62="-", "-", 'Influent Concentration'!AC62*HRT!B62/1000)</f>
        <v>4.9623646960857984E-2</v>
      </c>
      <c r="H62" s="181">
        <f>IF(HRT!B62="-", "-", 'Influent Concentration'!AD62*HRT!B62/1000)</f>
        <v>0</v>
      </c>
      <c r="I62" s="181">
        <f>IF(HRT!B62="-", "-", 'Influent Concentration'!AE62*HRT!B62/1000)</f>
        <v>0</v>
      </c>
      <c r="J62" s="182">
        <f>Gas!W62-Gas!S62</f>
        <v>36.4801289765295</v>
      </c>
      <c r="K62">
        <f>IF(HRT!D62="-", "-", 'Effluent Concentration'!AK62*HRT!D62/1000)</f>
        <v>0</v>
      </c>
      <c r="L62">
        <f>IF(HRT!D62="-", "-", 'Effluent Concentration'!AL62*HRT!D62/1000)</f>
        <v>3.3635559879209635E-4</v>
      </c>
      <c r="M62">
        <f>IF(HRT!D62="-", "-", 'Effluent Concentration'!AM62*HRT!D62/1000)</f>
        <v>0</v>
      </c>
      <c r="N62">
        <f>IF(HRT!D62="-", "-", 'Effluent Concentration'!AN62*HRT!D62/1000)</f>
        <v>0</v>
      </c>
      <c r="O62">
        <f>IF(HRT!D62="-", "-", 'Effluent Concentration'!AO62*HRT!D62/1000)</f>
        <v>5.2099431211906753</v>
      </c>
      <c r="P62">
        <f>IF(HRT!D62="-", "-", 'Effluent Concentration'!AP62*HRT!D62/1000)</f>
        <v>4.9691414702874886E-2</v>
      </c>
      <c r="Q62">
        <f>IF(HRT!D62="-", "-", 'Effluent Concentration'!AQ62*HRT!D62/1000)</f>
        <v>3.3686045667361102E-2</v>
      </c>
      <c r="R62">
        <f>IF(HRT!D62="-", "-", 'Effluent Concentration'!AR62*HRT!D62/1000)</f>
        <v>3.6361210659871537</v>
      </c>
      <c r="S62">
        <f>IF(HRT!D62="-", "-", 'Effluent Concentration'!AS62*HRT!D62/1000)</f>
        <v>4.4478668293491778E-2</v>
      </c>
      <c r="T62">
        <f>IF(HRT!D62="-", "-", 'Effluent Concentration'!AT62*HRT!D62/1000)</f>
        <v>5.1035284735161883E-2</v>
      </c>
      <c r="U62">
        <f>IF(HRT!D62="-", "-", 'Effluent Concentration'!AU62*HRT!D62/1000)</f>
        <v>4.0010115244075911E-2</v>
      </c>
      <c r="V62" s="113">
        <f>Gas!T62</f>
        <v>4.3004431413591594E-2</v>
      </c>
      <c r="W62" s="113">
        <f>Gas!U62+Gas!O62</f>
        <v>35.379369833549639</v>
      </c>
      <c r="X62" s="116">
        <f t="shared" si="0"/>
        <v>5.1603194742298175</v>
      </c>
      <c r="Y62" s="116">
        <f t="shared" si="1"/>
        <v>4.9691414702874886E-2</v>
      </c>
      <c r="Z62" s="116">
        <f t="shared" si="2"/>
        <v>3.3686045667361102E-2</v>
      </c>
      <c r="AA62" s="116">
        <f t="shared" si="3"/>
        <v>3.6361210659871537</v>
      </c>
      <c r="AB62" s="116">
        <f t="shared" si="4"/>
        <v>4.4478668293491778E-2</v>
      </c>
      <c r="AC62" s="116">
        <f t="shared" si="5"/>
        <v>5.1035284735161883E-2</v>
      </c>
      <c r="AD62" s="116">
        <f t="shared" si="6"/>
        <v>4.0010115244075911E-2</v>
      </c>
      <c r="AE62" s="116">
        <f t="shared" si="7"/>
        <v>-1.1007591429798609</v>
      </c>
      <c r="AF62" s="116">
        <f t="shared" si="8"/>
        <v>0</v>
      </c>
      <c r="AG62" s="116">
        <f t="shared" si="9"/>
        <v>3.3635559879209635E-4</v>
      </c>
      <c r="AH62" s="116">
        <f t="shared" si="10"/>
        <v>0</v>
      </c>
      <c r="AI62" s="116">
        <f t="shared" si="11"/>
        <v>0</v>
      </c>
      <c r="AJ62" s="116">
        <f t="shared" si="12"/>
        <v>-0.43635329670923551</v>
      </c>
      <c r="AK62" s="116">
        <f t="shared" si="13"/>
        <v>-7.4785659847696326</v>
      </c>
      <c r="AL62" s="116"/>
      <c r="AM62" s="116"/>
      <c r="AN62" s="116"/>
      <c r="AO62" s="116"/>
      <c r="AP62" s="116"/>
      <c r="AQ62" s="116"/>
      <c r="AR62" s="116"/>
      <c r="AS62" s="116"/>
      <c r="AT62" s="116"/>
      <c r="AU62" s="116"/>
      <c r="AV62" s="116"/>
      <c r="AW62" s="116"/>
      <c r="AX62" s="116"/>
    </row>
    <row r="63" spans="1:108">
      <c r="A63" s="232">
        <f>Gas!A63</f>
        <v>129.72638888889196</v>
      </c>
      <c r="B63" s="181">
        <f>IF(HRT!B63="-", "-", 'Influent Concentration'!X63*HRT!B63/1000)</f>
        <v>0</v>
      </c>
      <c r="C63" s="181">
        <f>IF(HRT!B63="-", "-", 'Influent Concentration'!Y63*HRT!B63/1000)</f>
        <v>0</v>
      </c>
      <c r="D63" s="181">
        <f>IF(HRT!B63="-", "-", 'Influent Concentration'!Z63*HRT!B63/1000)</f>
        <v>0</v>
      </c>
      <c r="E63" s="181">
        <f>IF(HRT!B63="-", "-", 'Influent Concentration'!AA63*HRT!B63/1000)</f>
        <v>0</v>
      </c>
      <c r="F63" s="181">
        <f>IF(HRT!B63="-", "-", 'Influent Concentration'!AB63*HRT!B63/1000)</f>
        <v>0.43324224864669847</v>
      </c>
      <c r="G63" s="181">
        <f>IF(HRT!B63="-", "-", 'Influent Concentration'!AC63*HRT!B63/1000)</f>
        <v>5.9686305774076298E-2</v>
      </c>
      <c r="H63" s="181">
        <f>IF(HRT!B63="-", "-", 'Influent Concentration'!AD63*HRT!B63/1000)</f>
        <v>0</v>
      </c>
      <c r="I63" s="181">
        <f>IF(HRT!B63="-", "-", 'Influent Concentration'!AE63*HRT!B63/1000)</f>
        <v>0</v>
      </c>
      <c r="J63" s="182">
        <f>Gas!W63-Gas!S63</f>
        <v>35.957029387277771</v>
      </c>
      <c r="K63">
        <f>IF(HRT!D63="-", "-", 'Effluent Concentration'!AK63*HRT!D63/1000)</f>
        <v>0</v>
      </c>
      <c r="L63">
        <f>IF(HRT!D63="-", "-", 'Effluent Concentration'!AL63*HRT!D63/1000)</f>
        <v>3.2428572725790413E-4</v>
      </c>
      <c r="M63">
        <f>IF(HRT!D63="-", "-", 'Effluent Concentration'!AM63*HRT!D63/1000)</f>
        <v>0</v>
      </c>
      <c r="N63">
        <f>IF(HRT!D63="-", "-", 'Effluent Concentration'!AN63*HRT!D63/1000)</f>
        <v>0</v>
      </c>
      <c r="O63">
        <f>IF(HRT!D63="-", "-", 'Effluent Concentration'!AO63*HRT!D63/1000)</f>
        <v>6.3870298486328476</v>
      </c>
      <c r="P63">
        <f>IF(HRT!D63="-", "-", 'Effluent Concentration'!AP63*HRT!D63/1000)</f>
        <v>7.0519850355478114E-2</v>
      </c>
      <c r="Q63">
        <f>IF(HRT!D63="-", "-", 'Effluent Concentration'!AQ63*HRT!D63/1000)</f>
        <v>4.467601764394788E-2</v>
      </c>
      <c r="R63">
        <f>IF(HRT!D63="-", "-", 'Effluent Concentration'!AR63*HRT!D63/1000)</f>
        <v>4.8002955128071658</v>
      </c>
      <c r="S63">
        <f>IF(HRT!D63="-", "-", 'Effluent Concentration'!AS63*HRT!D63/1000)</f>
        <v>5.6892034052541951E-2</v>
      </c>
      <c r="T63">
        <f>IF(HRT!D63="-", "-", 'Effluent Concentration'!AT63*HRT!D63/1000)</f>
        <v>6.799708574447956E-2</v>
      </c>
      <c r="U63">
        <f>IF(HRT!D63="-", "-", 'Effluent Concentration'!AU63*HRT!D63/1000)</f>
        <v>5.4436744540348365E-2</v>
      </c>
      <c r="V63" s="113">
        <f>Gas!T63</f>
        <v>3.3850605260787696E-2</v>
      </c>
      <c r="W63" s="113">
        <f>Gas!U63+Gas!O63</f>
        <v>35.259646992410268</v>
      </c>
      <c r="X63" s="116">
        <f t="shared" si="0"/>
        <v>6.3273435428587712</v>
      </c>
      <c r="Y63" s="116">
        <f t="shared" si="1"/>
        <v>7.0519850355478114E-2</v>
      </c>
      <c r="Z63" s="116">
        <f t="shared" si="2"/>
        <v>4.467601764394788E-2</v>
      </c>
      <c r="AA63" s="116">
        <f t="shared" si="3"/>
        <v>4.8002955128071658</v>
      </c>
      <c r="AB63" s="116">
        <f t="shared" si="4"/>
        <v>5.6892034052541951E-2</v>
      </c>
      <c r="AC63" s="116">
        <f t="shared" si="5"/>
        <v>6.799708574447956E-2</v>
      </c>
      <c r="AD63" s="116">
        <f t="shared" si="6"/>
        <v>5.4436744540348365E-2</v>
      </c>
      <c r="AE63" s="116">
        <f t="shared" si="7"/>
        <v>-0.69738239486750331</v>
      </c>
      <c r="AF63" s="116">
        <f t="shared" si="8"/>
        <v>0</v>
      </c>
      <c r="AG63" s="116">
        <f t="shared" si="9"/>
        <v>3.2428572725790413E-4</v>
      </c>
      <c r="AH63" s="116">
        <f t="shared" si="10"/>
        <v>0</v>
      </c>
      <c r="AI63" s="116">
        <f t="shared" si="11"/>
        <v>0</v>
      </c>
      <c r="AJ63" s="116">
        <f t="shared" si="12"/>
        <v>-0.43324224864669847</v>
      </c>
      <c r="AK63" s="116">
        <f t="shared" si="13"/>
        <v>-10.29186043021579</v>
      </c>
      <c r="AL63" s="116"/>
      <c r="AM63" s="116"/>
      <c r="AN63" s="116"/>
      <c r="AO63" s="116"/>
      <c r="AP63" s="116"/>
      <c r="AQ63" s="116"/>
      <c r="AR63" s="116"/>
      <c r="AS63" s="116"/>
      <c r="AT63" s="116"/>
      <c r="AU63" s="116"/>
      <c r="AV63" s="116"/>
      <c r="AW63" s="116"/>
      <c r="AX63" s="116"/>
    </row>
    <row r="64" spans="1:108">
      <c r="A64" s="232">
        <f>Gas!A64</f>
        <v>131.7236111111124</v>
      </c>
      <c r="B64" s="181">
        <f>IF(HRT!B64="-", "-", 'Influent Concentration'!X64*HRT!B64/1000)</f>
        <v>0</v>
      </c>
      <c r="C64" s="181">
        <f>IF(HRT!B64="-", "-", 'Influent Concentration'!Y64*HRT!B64/1000)</f>
        <v>0</v>
      </c>
      <c r="D64" s="181">
        <f>IF(HRT!B64="-", "-", 'Influent Concentration'!Z64*HRT!B64/1000)</f>
        <v>0</v>
      </c>
      <c r="E64" s="181">
        <f>IF(HRT!B64="-", "-", 'Influent Concentration'!AA64*HRT!B64/1000)</f>
        <v>0</v>
      </c>
      <c r="F64" s="181">
        <f>IF(HRT!B64="-", "-", 'Influent Concentration'!AB64*HRT!B64/1000)</f>
        <v>0.42759675330264391</v>
      </c>
      <c r="G64" s="181">
        <f>IF(HRT!B64="-", "-", 'Influent Concentration'!AC64*HRT!B64/1000)</f>
        <v>6.9189268562768261E-2</v>
      </c>
      <c r="H64" s="181">
        <f>IF(HRT!B64="-", "-", 'Influent Concentration'!AD64*HRT!B64/1000)</f>
        <v>0</v>
      </c>
      <c r="I64" s="181">
        <f>IF(HRT!B64="-", "-", 'Influent Concentration'!AE64*HRT!B64/1000)</f>
        <v>0</v>
      </c>
      <c r="J64" s="182">
        <f>Gas!W64-Gas!S64</f>
        <v>38.535688095618184</v>
      </c>
      <c r="K64">
        <f>IF(HRT!D64="-", "-", 'Effluent Concentration'!AK64*HRT!D64/1000)</f>
        <v>0</v>
      </c>
      <c r="L64">
        <f>IF(HRT!D64="-", "-", 'Effluent Concentration'!AL64*HRT!D64/1000)</f>
        <v>1.630915303676548E-4</v>
      </c>
      <c r="M64">
        <f>IF(HRT!D64="-", "-", 'Effluent Concentration'!AM64*HRT!D64/1000)</f>
        <v>0</v>
      </c>
      <c r="N64">
        <f>IF(HRT!D64="-", "-", 'Effluent Concentration'!AN64*HRT!D64/1000)</f>
        <v>0</v>
      </c>
      <c r="O64">
        <f>IF(HRT!D64="-", "-", 'Effluent Concentration'!AO64*HRT!D64/1000)</f>
        <v>7.3374440482501422</v>
      </c>
      <c r="P64">
        <f>IF(HRT!D64="-", "-", 'Effluent Concentration'!AP64*HRT!D64/1000)</f>
        <v>6.7805166152881527E-2</v>
      </c>
      <c r="Q64">
        <f>IF(HRT!D64="-", "-", 'Effluent Concentration'!AQ64*HRT!D64/1000)</f>
        <v>5.1311508926241652E-2</v>
      </c>
      <c r="R64">
        <f>IF(HRT!D64="-", "-", 'Effluent Concentration'!AR64*HRT!D64/1000)</f>
        <v>5.7067321666663542</v>
      </c>
      <c r="S64">
        <f>IF(HRT!D64="-", "-", 'Effluent Concentration'!AS64*HRT!D64/1000)</f>
        <v>6.3583220457505377E-2</v>
      </c>
      <c r="T64">
        <f>IF(HRT!D64="-", "-", 'Effluent Concentration'!AT64*HRT!D64/1000)</f>
        <v>8.1627107344094743E-2</v>
      </c>
      <c r="U64">
        <f>IF(HRT!D64="-", "-", 'Effluent Concentration'!AU64*HRT!D64/1000)</f>
        <v>7.0347796249332947E-2</v>
      </c>
      <c r="V64" s="113">
        <f>Gas!T64</f>
        <v>3.2626710350087691E-2</v>
      </c>
      <c r="W64" s="113">
        <f>Gas!U64+Gas!O64</f>
        <v>34.934800900556262</v>
      </c>
      <c r="X64" s="116">
        <f t="shared" si="0"/>
        <v>7.268254779687374</v>
      </c>
      <c r="Y64" s="116">
        <f t="shared" si="1"/>
        <v>6.7805166152881527E-2</v>
      </c>
      <c r="Z64" s="116">
        <f t="shared" si="2"/>
        <v>5.1311508926241652E-2</v>
      </c>
      <c r="AA64" s="116">
        <f t="shared" si="3"/>
        <v>5.7067321666663542</v>
      </c>
      <c r="AB64" s="116">
        <f t="shared" si="4"/>
        <v>6.3583220457505377E-2</v>
      </c>
      <c r="AC64" s="116">
        <f t="shared" si="5"/>
        <v>8.1627107344094743E-2</v>
      </c>
      <c r="AD64" s="116">
        <f t="shared" si="6"/>
        <v>7.0347796249332947E-2</v>
      </c>
      <c r="AE64" s="116">
        <f t="shared" si="7"/>
        <v>-3.6008871950619223</v>
      </c>
      <c r="AF64" s="116">
        <f t="shared" si="8"/>
        <v>0</v>
      </c>
      <c r="AG64" s="116">
        <f t="shared" si="9"/>
        <v>1.630915303676548E-4</v>
      </c>
      <c r="AH64" s="116">
        <f t="shared" si="10"/>
        <v>0</v>
      </c>
      <c r="AI64" s="116">
        <f t="shared" si="11"/>
        <v>0</v>
      </c>
      <c r="AJ64" s="116">
        <f t="shared" si="12"/>
        <v>-0.42759675330264391</v>
      </c>
      <c r="AK64" s="116">
        <f t="shared" si="13"/>
        <v>-9.2813408886495861</v>
      </c>
      <c r="AL64" s="116"/>
      <c r="AM64" s="116"/>
      <c r="AN64" s="116"/>
      <c r="AO64" s="116"/>
      <c r="AP64" s="116"/>
      <c r="AQ64" s="116"/>
      <c r="AR64" s="116"/>
      <c r="AS64" s="116"/>
      <c r="AT64" s="116"/>
      <c r="AU64" s="116"/>
      <c r="AV64" s="116"/>
      <c r="AW64" s="116"/>
      <c r="AX64" s="116"/>
    </row>
    <row r="65" spans="1:50">
      <c r="A65" s="232">
        <f>Gas!A65</f>
        <v>133.7993055555562</v>
      </c>
      <c r="B65" s="181">
        <f>IF(HRT!B65="-", "-", 'Influent Concentration'!X65*HRT!B65/1000)</f>
        <v>0</v>
      </c>
      <c r="C65" s="181">
        <f>IF(HRT!B65="-", "-", 'Influent Concentration'!Y65*HRT!B65/1000)</f>
        <v>0</v>
      </c>
      <c r="D65" s="181">
        <f>IF(HRT!B65="-", "-", 'Influent Concentration'!Z65*HRT!B65/1000)</f>
        <v>0</v>
      </c>
      <c r="E65" s="181">
        <f>IF(HRT!B65="-", "-", 'Influent Concentration'!AA65*HRT!B65/1000)</f>
        <v>0</v>
      </c>
      <c r="F65" s="181">
        <f>IF(HRT!B65="-", "-", 'Influent Concentration'!AB65*HRT!B65/1000)</f>
        <v>0.42544602843151585</v>
      </c>
      <c r="G65" s="181">
        <f>IF(HRT!B65="-", "-", 'Influent Concentration'!AC65*HRT!B65/1000)</f>
        <v>7.9070274046772235E-2</v>
      </c>
      <c r="H65" s="181">
        <f>IF(HRT!B65="-", "-", 'Influent Concentration'!AD65*HRT!B65/1000)</f>
        <v>0</v>
      </c>
      <c r="I65" s="181">
        <f>IF(HRT!B65="-", "-", 'Influent Concentration'!AE65*HRT!B65/1000)</f>
        <v>0</v>
      </c>
      <c r="J65" s="182">
        <f>Gas!W65-Gas!S65</f>
        <v>40.197004785508284</v>
      </c>
      <c r="K65">
        <f>IF(HRT!D65="-", "-", 'Effluent Concentration'!AK65*HRT!D65/1000)</f>
        <v>0</v>
      </c>
      <c r="L65">
        <f>IF(HRT!D65="-", "-", 'Effluent Concentration'!AL65*HRT!D65/1000)</f>
        <v>3.1166230559571126E-4</v>
      </c>
      <c r="M65">
        <f>IF(HRT!D65="-", "-", 'Effluent Concentration'!AM65*HRT!D65/1000)</f>
        <v>5.5848290176929074E-3</v>
      </c>
      <c r="N65">
        <f>IF(HRT!D65="-", "-", 'Effluent Concentration'!AN65*HRT!D65/1000)</f>
        <v>0</v>
      </c>
      <c r="O65">
        <f>IF(HRT!D65="-", "-", 'Effluent Concentration'!AO65*HRT!D65/1000)</f>
        <v>7.5808209049828248</v>
      </c>
      <c r="P65">
        <f>IF(HRT!D65="-", "-", 'Effluent Concentration'!AP65*HRT!D65/1000)</f>
        <v>8.6382227071588075E-2</v>
      </c>
      <c r="Q65">
        <f>IF(HRT!D65="-", "-", 'Effluent Concentration'!AQ65*HRT!D65/1000)</f>
        <v>5.1311143221561807E-2</v>
      </c>
      <c r="R65">
        <f>IF(HRT!D65="-", "-", 'Effluent Concentration'!AR65*HRT!D65/1000)</f>
        <v>5.8569309979341782</v>
      </c>
      <c r="S65">
        <f>IF(HRT!D65="-", "-", 'Effluent Concentration'!AS65*HRT!D65/1000)</f>
        <v>6.4036602103976339E-2</v>
      </c>
      <c r="T65">
        <f>IF(HRT!D65="-", "-", 'Effluent Concentration'!AT65*HRT!D65/1000)</f>
        <v>7.99636544221448E-2</v>
      </c>
      <c r="U65">
        <f>IF(HRT!D65="-", "-", 'Effluent Concentration'!AU65*HRT!D65/1000)</f>
        <v>7.1373807142037268E-2</v>
      </c>
      <c r="V65" s="113">
        <f>Gas!T65</f>
        <v>1.7971725456095291E-2</v>
      </c>
      <c r="W65" s="113">
        <f>Gas!U65+Gas!O65</f>
        <v>34.637877442195105</v>
      </c>
      <c r="X65" s="116">
        <f t="shared" si="0"/>
        <v>7.5017506309360522</v>
      </c>
      <c r="Y65" s="116">
        <f t="shared" si="1"/>
        <v>8.6382227071588075E-2</v>
      </c>
      <c r="Z65" s="116">
        <f t="shared" si="2"/>
        <v>5.1311143221561807E-2</v>
      </c>
      <c r="AA65" s="116">
        <f t="shared" si="3"/>
        <v>5.8569309979341782</v>
      </c>
      <c r="AB65" s="116">
        <f t="shared" si="4"/>
        <v>6.4036602103976339E-2</v>
      </c>
      <c r="AC65" s="116">
        <f t="shared" si="5"/>
        <v>7.99636544221448E-2</v>
      </c>
      <c r="AD65" s="116">
        <f t="shared" si="6"/>
        <v>7.1373807142037268E-2</v>
      </c>
      <c r="AE65" s="116">
        <f t="shared" si="7"/>
        <v>-5.5591273433131789</v>
      </c>
      <c r="AF65" s="116">
        <f t="shared" si="8"/>
        <v>0</v>
      </c>
      <c r="AG65" s="116">
        <f t="shared" si="9"/>
        <v>3.1166230559571126E-4</v>
      </c>
      <c r="AH65" s="116">
        <f t="shared" si="10"/>
        <v>5.5848290176929074E-3</v>
      </c>
      <c r="AI65" s="116">
        <f t="shared" si="11"/>
        <v>0</v>
      </c>
      <c r="AJ65" s="116">
        <f t="shared" si="12"/>
        <v>-0.42544602843151585</v>
      </c>
      <c r="AK65" s="116">
        <f t="shared" si="13"/>
        <v>-7.7330721824101314</v>
      </c>
      <c r="AL65" s="116"/>
      <c r="AM65" s="116"/>
      <c r="AN65" s="116"/>
      <c r="AO65" s="116"/>
      <c r="AP65" s="116"/>
      <c r="AQ65" s="116"/>
      <c r="AR65" s="116"/>
      <c r="AS65" s="116"/>
      <c r="AT65" s="116"/>
      <c r="AU65" s="116"/>
      <c r="AV65" s="116"/>
      <c r="AW65" s="116"/>
      <c r="AX65" s="116"/>
    </row>
    <row r="66" spans="1:50">
      <c r="A66" s="232">
        <f>Gas!A66</f>
        <v>136.7097222222219</v>
      </c>
      <c r="B66" s="181">
        <f>IF(HRT!B66="-", "-", 'Influent Concentration'!X66*HRT!B66/1000)</f>
        <v>0</v>
      </c>
      <c r="C66" s="181">
        <f>IF(HRT!B66="-", "-", 'Influent Concentration'!Y66*HRT!B66/1000)</f>
        <v>0</v>
      </c>
      <c r="D66" s="181">
        <f>IF(HRT!B66="-", "-", 'Influent Concentration'!Z66*HRT!B66/1000)</f>
        <v>0</v>
      </c>
      <c r="E66" s="181">
        <f>IF(HRT!B66="-", "-", 'Influent Concentration'!AA66*HRT!B66/1000)</f>
        <v>0</v>
      </c>
      <c r="F66" s="181">
        <f>IF(HRT!B66="-", "-", 'Influent Concentration'!AB66*HRT!B66/1000)</f>
        <v>0.427890092365869</v>
      </c>
      <c r="G66" s="181">
        <f>IF(HRT!B66="-", "-", 'Influent Concentration'!AC66*HRT!B66/1000)</f>
        <v>8.981228599172035E-2</v>
      </c>
      <c r="H66" s="181">
        <f>IF(HRT!B66="-", "-", 'Influent Concentration'!AD66*HRT!B66/1000)</f>
        <v>0</v>
      </c>
      <c r="I66" s="181">
        <f>IF(HRT!B66="-", "-", 'Influent Concentration'!AE66*HRT!B66/1000)</f>
        <v>0</v>
      </c>
      <c r="J66" s="182">
        <f>Gas!W66-Gas!S66</f>
        <v>38.249833254275927</v>
      </c>
      <c r="K66">
        <f>IF(HRT!D66="-", "-", 'Effluent Concentration'!AK66*HRT!D66/1000)</f>
        <v>0</v>
      </c>
      <c r="L66">
        <f>IF(HRT!D66="-", "-", 'Effluent Concentration'!AL66*HRT!D66/1000)</f>
        <v>3.0437147048957786E-4</v>
      </c>
      <c r="M66">
        <f>IF(HRT!D66="-", "-", 'Effluent Concentration'!AM66*HRT!D66/1000)</f>
        <v>6.9813516592667204E-3</v>
      </c>
      <c r="N66">
        <f>IF(HRT!D66="-", "-", 'Effluent Concentration'!AN66*HRT!D66/1000)</f>
        <v>0</v>
      </c>
      <c r="O66">
        <f>IF(HRT!D66="-", "-", 'Effluent Concentration'!AO66*HRT!D66/1000)</f>
        <v>8.0008549314678898</v>
      </c>
      <c r="P66">
        <f>IF(HRT!D66="-", "-", 'Effluent Concentration'!AP66*HRT!D66/1000)</f>
        <v>8.3300304335076222E-2</v>
      </c>
      <c r="Q66">
        <f>IF(HRT!D66="-", "-", 'Effluent Concentration'!AQ66*HRT!D66/1000)</f>
        <v>7.0779649243883386E-2</v>
      </c>
      <c r="R66">
        <f>IF(HRT!D66="-", "-", 'Effluent Concentration'!AR66*HRT!D66/1000)</f>
        <v>6.3663023166546706</v>
      </c>
      <c r="S66">
        <f>IF(HRT!D66="-", "-", 'Effluent Concentration'!AS66*HRT!D66/1000)</f>
        <v>7.4404862130518432E-2</v>
      </c>
      <c r="T66">
        <f>IF(HRT!D66="-", "-", 'Effluent Concentration'!AT66*HRT!D66/1000)</f>
        <v>9.7496026239989694E-2</v>
      </c>
      <c r="U66">
        <f>IF(HRT!D66="-", "-", 'Effluent Concentration'!AU66*HRT!D66/1000)</f>
        <v>9.000630697214751E-2</v>
      </c>
      <c r="V66" s="113">
        <f>Gas!T66</f>
        <v>3.4436673679467913E-2</v>
      </c>
      <c r="W66" s="113">
        <f>Gas!U66+Gas!O66</f>
        <v>34.844051279365971</v>
      </c>
      <c r="X66" s="116">
        <f t="shared" si="0"/>
        <v>7.9110426454761695</v>
      </c>
      <c r="Y66" s="116">
        <f t="shared" si="1"/>
        <v>8.3300304335076222E-2</v>
      </c>
      <c r="Z66" s="116">
        <f t="shared" si="2"/>
        <v>7.0779649243883386E-2</v>
      </c>
      <c r="AA66" s="116">
        <f t="shared" si="3"/>
        <v>6.3663023166546706</v>
      </c>
      <c r="AB66" s="116">
        <f t="shared" si="4"/>
        <v>7.4404862130518432E-2</v>
      </c>
      <c r="AC66" s="116">
        <f t="shared" si="5"/>
        <v>9.7496026239989694E-2</v>
      </c>
      <c r="AD66" s="116">
        <f t="shared" si="6"/>
        <v>9.000630697214751E-2</v>
      </c>
      <c r="AE66" s="116">
        <f t="shared" si="7"/>
        <v>-3.4057819749099565</v>
      </c>
      <c r="AF66" s="116">
        <f t="shared" si="8"/>
        <v>0</v>
      </c>
      <c r="AG66" s="116">
        <f t="shared" si="9"/>
        <v>3.0437147048957786E-4</v>
      </c>
      <c r="AH66" s="116">
        <f t="shared" si="10"/>
        <v>6.9813516592667204E-3</v>
      </c>
      <c r="AI66" s="116">
        <f t="shared" si="11"/>
        <v>0</v>
      </c>
      <c r="AJ66" s="116">
        <f t="shared" si="12"/>
        <v>-0.427890092365869</v>
      </c>
      <c r="AK66" s="116">
        <f t="shared" si="13"/>
        <v>-10.866945766906387</v>
      </c>
      <c r="AL66" s="116"/>
      <c r="AM66" s="116"/>
      <c r="AN66" s="116"/>
      <c r="AO66" s="116"/>
      <c r="AP66" s="116"/>
      <c r="AQ66" s="116"/>
      <c r="AR66" s="116"/>
      <c r="AS66" s="116"/>
      <c r="AT66" s="116"/>
      <c r="AU66" s="116"/>
      <c r="AV66" s="116"/>
      <c r="AW66" s="116"/>
      <c r="AX66" s="116"/>
    </row>
    <row r="67" spans="1:50">
      <c r="A67" s="232">
        <f>Gas!A67</f>
        <v>138.89444444444962</v>
      </c>
      <c r="B67" s="181">
        <f>IF(HRT!B67="-", "-", 'Influent Concentration'!X67*HRT!B67/1000)</f>
        <v>0</v>
      </c>
      <c r="C67" s="181">
        <f>IF(HRT!B67="-", "-", 'Influent Concentration'!Y67*HRT!B67/1000)</f>
        <v>0</v>
      </c>
      <c r="D67" s="181">
        <f>IF(HRT!B67="-", "-", 'Influent Concentration'!Z67*HRT!B67/1000)</f>
        <v>0</v>
      </c>
      <c r="E67" s="181">
        <f>IF(HRT!B67="-", "-", 'Influent Concentration'!AA67*HRT!B67/1000)</f>
        <v>0</v>
      </c>
      <c r="F67" s="181">
        <f>IF(HRT!B67="-", "-", 'Influent Concentration'!AB67*HRT!B67/1000)</f>
        <v>0.42260208483301387</v>
      </c>
      <c r="G67" s="181">
        <f>IF(HRT!B67="-", "-", 'Influent Concentration'!AC67*HRT!B67/1000)</f>
        <v>9.8862992430830673E-2</v>
      </c>
      <c r="H67" s="181">
        <f>IF(HRT!B67="-", "-", 'Influent Concentration'!AD67*HRT!B67/1000)</f>
        <v>0</v>
      </c>
      <c r="I67" s="181">
        <f>IF(HRT!B67="-", "-", 'Influent Concentration'!AE67*HRT!B67/1000)</f>
        <v>0</v>
      </c>
      <c r="J67" s="182">
        <f>Gas!W67-Gas!S67</f>
        <v>36.045585071665641</v>
      </c>
      <c r="K67">
        <f>IF(HRT!D67="-", "-", 'Effluent Concentration'!AK67*HRT!D67/1000)</f>
        <v>0</v>
      </c>
      <c r="L67">
        <f>IF(HRT!D67="-", "-", 'Effluent Concentration'!AL67*HRT!D67/1000)</f>
        <v>3.2074574463635469E-4</v>
      </c>
      <c r="M67">
        <f>IF(HRT!D67="-", "-", 'Effluent Concentration'!AM67*HRT!D67/1000)</f>
        <v>7.7017834595699631E-3</v>
      </c>
      <c r="N67">
        <f>IF(HRT!D67="-", "-", 'Effluent Concentration'!AN67*HRT!D67/1000)</f>
        <v>0</v>
      </c>
      <c r="O67">
        <f>IF(HRT!D67="-", "-", 'Effluent Concentration'!AO67*HRT!D67/1000)</f>
        <v>8.7264900821503328</v>
      </c>
      <c r="P67">
        <f>IF(HRT!D67="-", "-", 'Effluent Concentration'!AP67*HRT!D67/1000)</f>
        <v>9.0297644843128091E-2</v>
      </c>
      <c r="Q67">
        <f>IF(HRT!D67="-", "-", 'Effluent Concentration'!AQ67*HRT!D67/1000)</f>
        <v>7.3960597806781631E-2</v>
      </c>
      <c r="R67">
        <f>IF(HRT!D67="-", "-", 'Effluent Concentration'!AR67*HRT!D67/1000)</f>
        <v>6.961697964745114</v>
      </c>
      <c r="S67">
        <f>IF(HRT!D67="-", "-", 'Effluent Concentration'!AS67*HRT!D67/1000)</f>
        <v>7.8069657140125495E-2</v>
      </c>
      <c r="T67">
        <f>IF(HRT!D67="-", "-", 'Effluent Concentration'!AT67*HRT!D67/1000)</f>
        <v>9.8009526279811202E-2</v>
      </c>
      <c r="U67">
        <f>IF(HRT!D67="-", "-", 'Effluent Concentration'!AU67*HRT!D67/1000)</f>
        <v>0.10269297950483221</v>
      </c>
      <c r="V67" s="113">
        <f>Gas!T67</f>
        <v>4.0262903830560075E-2</v>
      </c>
      <c r="W67" s="113">
        <f>Gas!U67+Gas!O67</f>
        <v>35.29867362606614</v>
      </c>
      <c r="X67" s="116">
        <f t="shared" si="0"/>
        <v>8.6276270897195015</v>
      </c>
      <c r="Y67" s="116">
        <f t="shared" si="1"/>
        <v>9.0297644843128091E-2</v>
      </c>
      <c r="Z67" s="116">
        <f t="shared" si="2"/>
        <v>7.3960597806781631E-2</v>
      </c>
      <c r="AA67" s="116">
        <f t="shared" si="3"/>
        <v>6.961697964745114</v>
      </c>
      <c r="AB67" s="116">
        <f t="shared" si="4"/>
        <v>7.8069657140125495E-2</v>
      </c>
      <c r="AC67" s="116">
        <f t="shared" si="5"/>
        <v>9.8009526279811202E-2</v>
      </c>
      <c r="AD67" s="116">
        <f t="shared" si="6"/>
        <v>0.10269297950483221</v>
      </c>
      <c r="AE67" s="116">
        <f t="shared" si="7"/>
        <v>-0.74691144559950118</v>
      </c>
      <c r="AF67" s="116">
        <f t="shared" si="8"/>
        <v>0</v>
      </c>
      <c r="AG67" s="116">
        <f t="shared" si="9"/>
        <v>3.2074574463635469E-4</v>
      </c>
      <c r="AH67" s="116">
        <f t="shared" si="10"/>
        <v>7.7017834595699631E-3</v>
      </c>
      <c r="AI67" s="116">
        <f t="shared" si="11"/>
        <v>0</v>
      </c>
      <c r="AJ67" s="116">
        <f t="shared" si="12"/>
        <v>-0.42260208483301387</v>
      </c>
      <c r="AK67" s="116">
        <f t="shared" si="13"/>
        <v>-14.870864458810985</v>
      </c>
      <c r="AL67" s="116"/>
      <c r="AM67" s="116"/>
      <c r="AN67" s="116"/>
      <c r="AO67" s="116"/>
      <c r="AP67" s="116"/>
      <c r="AQ67" s="116"/>
      <c r="AR67" s="116"/>
      <c r="AS67" s="116"/>
      <c r="AT67" s="116"/>
      <c r="AU67" s="116"/>
      <c r="AV67" s="116"/>
      <c r="AW67" s="116"/>
      <c r="AX67" s="116"/>
    </row>
    <row r="68" spans="1:50">
      <c r="A68" s="232">
        <f>Gas!A68</f>
        <v>140.88333333333867</v>
      </c>
      <c r="B68" s="181">
        <f>IF(HRT!B68="-", "-", 'Influent Concentration'!X68*HRT!B68/1000)</f>
        <v>0</v>
      </c>
      <c r="C68" s="181">
        <f>IF(HRT!B68="-", "-", 'Influent Concentration'!Y68*HRT!B68/1000)</f>
        <v>0</v>
      </c>
      <c r="D68" s="181">
        <f>IF(HRT!B68="-", "-", 'Influent Concentration'!Z68*HRT!B68/1000)</f>
        <v>0</v>
      </c>
      <c r="E68" s="181">
        <f>IF(HRT!B68="-", "-", 'Influent Concentration'!AA68*HRT!B68/1000)</f>
        <v>0</v>
      </c>
      <c r="F68" s="181">
        <f>IF(HRT!B68="-", "-", 'Influent Concentration'!AB68*HRT!B68/1000)</f>
        <v>0.4227716697566275</v>
      </c>
      <c r="G68" s="181">
        <f>IF(HRT!B68="-", "-", 'Influent Concentration'!AC68*HRT!B68/1000)</f>
        <v>0.10906737867418731</v>
      </c>
      <c r="H68" s="181">
        <f>IF(HRT!B68="-", "-", 'Influent Concentration'!AD68*HRT!B68/1000)</f>
        <v>0</v>
      </c>
      <c r="I68" s="181">
        <f>IF(HRT!B68="-", "-", 'Influent Concentration'!AE68*HRT!B68/1000)</f>
        <v>0</v>
      </c>
      <c r="J68" s="182">
        <f>Gas!W68-Gas!S68</f>
        <v>35.81545360074449</v>
      </c>
      <c r="K68">
        <f>IF(HRT!D68="-", "-", 'Effluent Concentration'!AK68*HRT!D68/1000)</f>
        <v>0</v>
      </c>
      <c r="L68">
        <f>IF(HRT!D68="-", "-", 'Effluent Concentration'!AL68*HRT!D68/1000)</f>
        <v>3.0946307701550801E-4</v>
      </c>
      <c r="M68">
        <f>IF(HRT!D68="-", "-", 'Effluent Concentration'!AM68*HRT!D68/1000)</f>
        <v>7.6526795544999892E-3</v>
      </c>
      <c r="N68">
        <f>IF(HRT!D68="-", "-", 'Effluent Concentration'!AN68*HRT!D68/1000)</f>
        <v>0</v>
      </c>
      <c r="O68">
        <f>IF(HRT!D68="-", "-", 'Effluent Concentration'!AO68*HRT!D68/1000)</f>
        <v>8.9840790188237811</v>
      </c>
      <c r="P68">
        <f>IF(HRT!D68="-", "-", 'Effluent Concentration'!AP68*HRT!D68/1000)</f>
        <v>9.7910318206630251E-2</v>
      </c>
      <c r="Q68">
        <f>IF(HRT!D68="-", "-", 'Effluent Concentration'!AQ68*HRT!D68/1000)</f>
        <v>8.1034720786188202E-2</v>
      </c>
      <c r="R68">
        <f>IF(HRT!D68="-", "-", 'Effluent Concentration'!AR68*HRT!D68/1000)</f>
        <v>7.1585709500485279</v>
      </c>
      <c r="S68">
        <f>IF(HRT!D68="-", "-", 'Effluent Concentration'!AS68*HRT!D68/1000)</f>
        <v>7.9562432895141977E-2</v>
      </c>
      <c r="T68">
        <f>IF(HRT!D68="-", "-", 'Effluent Concentration'!AT68*HRT!D68/1000)</f>
        <v>9.7822663395666379E-2</v>
      </c>
      <c r="U68">
        <f>IF(HRT!D68="-", "-", 'Effluent Concentration'!AU68*HRT!D68/1000)</f>
        <v>0.12453882774659042</v>
      </c>
      <c r="V68" s="113">
        <f>Gas!T68</f>
        <v>1.2907806392977544E-2</v>
      </c>
      <c r="W68" s="113">
        <f>Gas!U68+Gas!O68</f>
        <v>36.336867222708477</v>
      </c>
      <c r="X68" s="116">
        <f t="shared" si="0"/>
        <v>8.8750116401495944</v>
      </c>
      <c r="Y68" s="116">
        <f t="shared" si="1"/>
        <v>9.7910318206630251E-2</v>
      </c>
      <c r="Z68" s="116">
        <f t="shared" si="2"/>
        <v>8.1034720786188202E-2</v>
      </c>
      <c r="AA68" s="116">
        <f t="shared" si="3"/>
        <v>7.1585709500485279</v>
      </c>
      <c r="AB68" s="116">
        <f t="shared" si="4"/>
        <v>7.9562432895141977E-2</v>
      </c>
      <c r="AC68" s="116">
        <f t="shared" si="5"/>
        <v>9.7822663395666379E-2</v>
      </c>
      <c r="AD68" s="116">
        <f t="shared" si="6"/>
        <v>0.12453882774659042</v>
      </c>
      <c r="AE68" s="116">
        <f t="shared" si="7"/>
        <v>0.52141362196398688</v>
      </c>
      <c r="AF68" s="116">
        <f t="shared" si="8"/>
        <v>0</v>
      </c>
      <c r="AG68" s="116">
        <f t="shared" si="9"/>
        <v>3.0946307701550801E-4</v>
      </c>
      <c r="AH68" s="116">
        <f t="shared" si="10"/>
        <v>7.6526795544999892E-3</v>
      </c>
      <c r="AI68" s="116">
        <f t="shared" si="11"/>
        <v>0</v>
      </c>
      <c r="AJ68" s="116">
        <f t="shared" si="12"/>
        <v>-0.4227716697566275</v>
      </c>
      <c r="AK68" s="116">
        <f t="shared" si="13"/>
        <v>-16.621055648067216</v>
      </c>
      <c r="AL68" s="116"/>
      <c r="AM68" s="116"/>
      <c r="AN68" s="116"/>
      <c r="AO68" s="116"/>
      <c r="AP68" s="116"/>
      <c r="AQ68" s="116"/>
      <c r="AR68" s="116"/>
      <c r="AS68" s="116"/>
      <c r="AT68" s="116"/>
      <c r="AU68" s="116"/>
      <c r="AV68" s="116"/>
      <c r="AW68" s="116"/>
      <c r="AX68" s="116"/>
    </row>
    <row r="69" spans="1:50">
      <c r="A69" s="232">
        <f>Gas!A69</f>
        <v>143.87291666666715</v>
      </c>
      <c r="B69" s="181">
        <f>IF(HRT!B69="-", "-", 'Influent Concentration'!X69*HRT!B69/1000)</f>
        <v>0</v>
      </c>
      <c r="C69" s="181">
        <f>IF(HRT!B69="-", "-", 'Influent Concentration'!Y69*HRT!B69/1000)</f>
        <v>0</v>
      </c>
      <c r="D69" s="181">
        <f>IF(HRT!B69="-", "-", 'Influent Concentration'!Z69*HRT!B69/1000)</f>
        <v>0</v>
      </c>
      <c r="E69" s="181">
        <f>IF(HRT!B69="-", "-", 'Influent Concentration'!AA69*HRT!B69/1000)</f>
        <v>0</v>
      </c>
      <c r="F69" s="181">
        <f>IF(HRT!B69="-", "-", 'Influent Concentration'!AB69*HRT!B69/1000)</f>
        <v>0.4248996561691934</v>
      </c>
      <c r="G69" s="181">
        <f>IF(HRT!B69="-", "-", 'Influent Concentration'!AC69*HRT!B69/1000)</f>
        <v>0.11983223736336747</v>
      </c>
      <c r="H69" s="181">
        <f>IF(HRT!B69="-", "-", 'Influent Concentration'!AD69*HRT!B69/1000)</f>
        <v>0</v>
      </c>
      <c r="I69" s="181">
        <f>IF(HRT!B69="-", "-", 'Influent Concentration'!AE69*HRT!B69/1000)</f>
        <v>0</v>
      </c>
      <c r="J69" s="182">
        <f>Gas!W69-Gas!S69</f>
        <v>34.657852907508072</v>
      </c>
      <c r="K69">
        <f>IF(HRT!D69="-", "-", 'Effluent Concentration'!AK69*HRT!D69/1000)</f>
        <v>0</v>
      </c>
      <c r="L69">
        <f>IF(HRT!D69="-", "-", 'Effluent Concentration'!AL69*HRT!D69/1000)</f>
        <v>3.2108293600309793E-4</v>
      </c>
      <c r="M69">
        <f>IF(HRT!D69="-", "-", 'Effluent Concentration'!AM69*HRT!D69/1000)</f>
        <v>0</v>
      </c>
      <c r="N69">
        <f>IF(HRT!D69="-", "-", 'Effluent Concentration'!AN69*HRT!D69/1000)</f>
        <v>0</v>
      </c>
      <c r="O69">
        <f>IF(HRT!D69="-", "-", 'Effluent Concentration'!AO69*HRT!D69/1000)</f>
        <v>9.2887347639144835</v>
      </c>
      <c r="P69">
        <f>IF(HRT!D69="-", "-", 'Effluent Concentration'!AP69*HRT!D69/1000)</f>
        <v>9.4030663472565987E-2</v>
      </c>
      <c r="Q69">
        <f>IF(HRT!D69="-", "-", 'Effluent Concentration'!AQ69*HRT!D69/1000)</f>
        <v>8.4704892626680392E-2</v>
      </c>
      <c r="R69">
        <f>IF(HRT!D69="-", "-", 'Effluent Concentration'!AR69*HRT!D69/1000)</f>
        <v>7.2450918160020619</v>
      </c>
      <c r="S69">
        <f>IF(HRT!D69="-", "-", 'Effluent Concentration'!AS69*HRT!D69/1000)</f>
        <v>8.5933070718308788E-2</v>
      </c>
      <c r="T69">
        <f>IF(HRT!D69="-", "-", 'Effluent Concentration'!AT69*HRT!D69/1000)</f>
        <v>9.4729369295773483E-2</v>
      </c>
      <c r="U69">
        <f>IF(HRT!D69="-", "-", 'Effluent Concentration'!AU69*HRT!D69/1000)</f>
        <v>0.15777088381384249</v>
      </c>
      <c r="V69" s="113">
        <f>Gas!T69</f>
        <v>4.1631054543553123E-3</v>
      </c>
      <c r="W69" s="113">
        <f>Gas!U69+Gas!O69</f>
        <v>36.924948685543562</v>
      </c>
      <c r="X69" s="116">
        <f t="shared" ref="X69:X93" si="15">O69-G69</f>
        <v>9.1689025265511166</v>
      </c>
      <c r="Y69" s="116">
        <f t="shared" ref="Y69:Y93" si="16">P69-H69</f>
        <v>9.4030663472565987E-2</v>
      </c>
      <c r="Z69" s="116">
        <f t="shared" ref="Z69:Z93" si="17">Q69</f>
        <v>8.4704892626680392E-2</v>
      </c>
      <c r="AA69" s="116">
        <f t="shared" ref="AA69:AA93" si="18">R69-I69</f>
        <v>7.2450918160020619</v>
      </c>
      <c r="AB69" s="116">
        <f t="shared" ref="AB69:AB93" si="19">S69</f>
        <v>8.5933070718308788E-2</v>
      </c>
      <c r="AC69" s="116">
        <f t="shared" ref="AC69:AC93" si="20">T69</f>
        <v>9.4729369295773483E-2</v>
      </c>
      <c r="AD69" s="116">
        <f t="shared" ref="AD69:AD93" si="21">U69</f>
        <v>0.15777088381384249</v>
      </c>
      <c r="AE69" s="116">
        <f t="shared" ref="AE69:AE93" si="22">W69-J69</f>
        <v>2.2670957780354897</v>
      </c>
      <c r="AF69" s="116">
        <f t="shared" ref="AF69:AF93" si="23">K69-B69</f>
        <v>0</v>
      </c>
      <c r="AG69" s="116">
        <f t="shared" ref="AG69:AG93" si="24">L69-C69</f>
        <v>3.2108293600309793E-4</v>
      </c>
      <c r="AH69" s="116">
        <f t="shared" ref="AH69:AH93" si="25">M69-D69</f>
        <v>0</v>
      </c>
      <c r="AI69" s="116">
        <f t="shared" ref="AI69:AI93" si="26">N69-E69</f>
        <v>0</v>
      </c>
      <c r="AJ69" s="116">
        <f t="shared" ref="AJ69:AJ93" si="27">-F69</f>
        <v>-0.4248996561691934</v>
      </c>
      <c r="AK69" s="116">
        <f t="shared" ref="AK69:AK93" si="28">-SUM(X69:AJ69)</f>
        <v>-18.773680427282653</v>
      </c>
      <c r="AL69" s="116"/>
      <c r="AM69" s="116"/>
      <c r="AN69" s="116"/>
      <c r="AO69" s="116"/>
      <c r="AP69" s="116"/>
      <c r="AQ69" s="116"/>
      <c r="AR69" s="116"/>
      <c r="AS69" s="116"/>
      <c r="AT69" s="116"/>
      <c r="AU69" s="116"/>
      <c r="AV69" s="116"/>
      <c r="AW69" s="116"/>
      <c r="AX69" s="116"/>
    </row>
    <row r="70" spans="1:50">
      <c r="A70" s="232">
        <f>Gas!A70</f>
        <v>145.82013888889196</v>
      </c>
      <c r="B70" s="181">
        <f>IF(HRT!B70="-", "-", 'Influent Concentration'!X70*HRT!B70/1000)</f>
        <v>0</v>
      </c>
      <c r="C70" s="181">
        <f>IF(HRT!B70="-", "-", 'Influent Concentration'!Y70*HRT!B70/1000)</f>
        <v>0</v>
      </c>
      <c r="D70" s="181">
        <f>IF(HRT!B70="-", "-", 'Influent Concentration'!Z70*HRT!B70/1000)</f>
        <v>0</v>
      </c>
      <c r="E70" s="181">
        <f>IF(HRT!B70="-", "-", 'Influent Concentration'!AA70*HRT!B70/1000)</f>
        <v>0</v>
      </c>
      <c r="F70" s="181">
        <f>IF(HRT!B70="-", "-", 'Influent Concentration'!AB70*HRT!B70/1000)</f>
        <v>0.41901298840259205</v>
      </c>
      <c r="G70" s="181">
        <f>IF(HRT!B70="-", "-", 'Influent Concentration'!AC70*HRT!B70/1000)</f>
        <v>0.12824639476596031</v>
      </c>
      <c r="H70" s="181">
        <f>IF(HRT!B70="-", "-", 'Influent Concentration'!AD70*HRT!B70/1000)</f>
        <v>0</v>
      </c>
      <c r="I70" s="181">
        <f>IF(HRT!B70="-", "-", 'Influent Concentration'!AE70*HRT!B70/1000)</f>
        <v>0</v>
      </c>
      <c r="J70" s="182">
        <f>Gas!W70-Gas!S70</f>
        <v>32.971316913947703</v>
      </c>
      <c r="K70">
        <f>IF(HRT!D70="-", "-", 'Effluent Concentration'!AK70*HRT!D70/1000)</f>
        <v>0</v>
      </c>
      <c r="L70">
        <f>IF(HRT!D70="-", "-", 'Effluent Concentration'!AL70*HRT!D70/1000)</f>
        <v>3.0795425733023745E-4</v>
      </c>
      <c r="M70">
        <f>IF(HRT!D70="-", "-", 'Effluent Concentration'!AM70*HRT!D70/1000)</f>
        <v>0</v>
      </c>
      <c r="N70">
        <f>IF(HRT!D70="-", "-", 'Effluent Concentration'!AN70*HRT!D70/1000)</f>
        <v>0</v>
      </c>
      <c r="O70">
        <f>IF(HRT!D70="-", "-", 'Effluent Concentration'!AO70*HRT!D70/1000)</f>
        <v>8.9544040432810448</v>
      </c>
      <c r="P70">
        <f>IF(HRT!D70="-", "-", 'Effluent Concentration'!AP70*HRT!D70/1000)</f>
        <v>0.10306956290368952</v>
      </c>
      <c r="Q70">
        <f>IF(HRT!D70="-", "-", 'Effluent Concentration'!AQ70*HRT!D70/1000)</f>
        <v>7.8834262711982267E-2</v>
      </c>
      <c r="R70">
        <f>IF(HRT!D70="-", "-", 'Effluent Concentration'!AR70*HRT!D70/1000)</f>
        <v>6.856775491147526</v>
      </c>
      <c r="S70">
        <f>IF(HRT!D70="-", "-", 'Effluent Concentration'!AS70*HRT!D70/1000)</f>
        <v>9.0207032700598724E-2</v>
      </c>
      <c r="T70">
        <f>IF(HRT!D70="-", "-", 'Effluent Concentration'!AT70*HRT!D70/1000)</f>
        <v>8.8260118325765677E-2</v>
      </c>
      <c r="U70">
        <f>IF(HRT!D70="-", "-", 'Effluent Concentration'!AU70*HRT!D70/1000)</f>
        <v>0.15200453530501942</v>
      </c>
      <c r="V70" s="113">
        <f>Gas!T70</f>
        <v>3.8702223014114674E-3</v>
      </c>
      <c r="W70" s="113">
        <f>Gas!U70+Gas!O70</f>
        <v>37.072034445570687</v>
      </c>
      <c r="X70" s="116">
        <f t="shared" si="15"/>
        <v>8.8261576485150837</v>
      </c>
      <c r="Y70" s="116">
        <f t="shared" si="16"/>
        <v>0.10306956290368952</v>
      </c>
      <c r="Z70" s="116">
        <f t="shared" si="17"/>
        <v>7.8834262711982267E-2</v>
      </c>
      <c r="AA70" s="116">
        <f t="shared" si="18"/>
        <v>6.856775491147526</v>
      </c>
      <c r="AB70" s="116">
        <f t="shared" si="19"/>
        <v>9.0207032700598724E-2</v>
      </c>
      <c r="AC70" s="116">
        <f t="shared" si="20"/>
        <v>8.8260118325765677E-2</v>
      </c>
      <c r="AD70" s="116">
        <f t="shared" si="21"/>
        <v>0.15200453530501942</v>
      </c>
      <c r="AE70" s="116">
        <f t="shared" si="22"/>
        <v>4.1007175316229834</v>
      </c>
      <c r="AF70" s="116">
        <f t="shared" si="23"/>
        <v>0</v>
      </c>
      <c r="AG70" s="116">
        <f t="shared" si="24"/>
        <v>3.0795425733023745E-4</v>
      </c>
      <c r="AH70" s="116">
        <f t="shared" si="25"/>
        <v>0</v>
      </c>
      <c r="AI70" s="116">
        <f t="shared" si="26"/>
        <v>0</v>
      </c>
      <c r="AJ70" s="116">
        <f t="shared" si="27"/>
        <v>-0.41901298840259205</v>
      </c>
      <c r="AK70" s="116">
        <f t="shared" si="28"/>
        <v>-19.877321149087386</v>
      </c>
      <c r="AL70" s="116"/>
      <c r="AM70" s="116"/>
      <c r="AN70" s="116"/>
      <c r="AO70" s="116"/>
      <c r="AP70" s="116"/>
      <c r="AQ70" s="116"/>
      <c r="AR70" s="116"/>
      <c r="AS70" s="116"/>
      <c r="AT70" s="116"/>
      <c r="AU70" s="116"/>
      <c r="AV70" s="116"/>
      <c r="AW70" s="116"/>
      <c r="AX70" s="116"/>
    </row>
    <row r="71" spans="1:50">
      <c r="A71" s="232">
        <f>Gas!A71</f>
        <v>147.87291666666715</v>
      </c>
      <c r="B71" s="181">
        <f>IF(HRT!B71="-", "-", 'Influent Concentration'!X71*HRT!B71/1000)</f>
        <v>0</v>
      </c>
      <c r="C71" s="181">
        <f>IF(HRT!B71="-", "-", 'Influent Concentration'!Y71*HRT!B71/1000)</f>
        <v>0</v>
      </c>
      <c r="D71" s="181">
        <f>IF(HRT!B71="-", "-", 'Influent Concentration'!Z71*HRT!B71/1000)</f>
        <v>0</v>
      </c>
      <c r="E71" s="181">
        <f>IF(HRT!B71="-", "-", 'Influent Concentration'!AA71*HRT!B71/1000)</f>
        <v>0</v>
      </c>
      <c r="F71" s="181">
        <f>IF(HRT!B71="-", "-", 'Influent Concentration'!AB71*HRT!B71/1000)</f>
        <v>0.42311002054835273</v>
      </c>
      <c r="G71" s="181">
        <f>IF(HRT!B71="-", "-", 'Influent Concentration'!AC71*HRT!B71/1000)</f>
        <v>0.13967321323362228</v>
      </c>
      <c r="H71" s="181">
        <f>IF(HRT!B71="-", "-", 'Influent Concentration'!AD71*HRT!B71/1000)</f>
        <v>0</v>
      </c>
      <c r="I71" s="181">
        <f>IF(HRT!B71="-", "-", 'Influent Concentration'!AE71*HRT!B71/1000)</f>
        <v>0</v>
      </c>
      <c r="J71" s="182">
        <f>Gas!W71-Gas!S71</f>
        <v>31.735010832660805</v>
      </c>
      <c r="K71">
        <f>IF(HRT!D71="-", "-", 'Effluent Concentration'!AK71*HRT!D71/1000)</f>
        <v>0</v>
      </c>
      <c r="L71">
        <f>IF(HRT!D71="-", "-", 'Effluent Concentration'!AL71*HRT!D71/1000)</f>
        <v>1.5226418827533688E-4</v>
      </c>
      <c r="M71">
        <f>IF(HRT!D71="-", "-", 'Effluent Concentration'!AM71*HRT!D71/1000)</f>
        <v>6.002691926129327E-3</v>
      </c>
      <c r="N71">
        <f>IF(HRT!D71="-", "-", 'Effluent Concentration'!AN71*HRT!D71/1000)</f>
        <v>0</v>
      </c>
      <c r="O71">
        <f>IF(HRT!D71="-", "-", 'Effluent Concentration'!AO71*HRT!D71/1000)</f>
        <v>8.7128998215428535</v>
      </c>
      <c r="P71">
        <f>IF(HRT!D71="-", "-", 'Effluent Concentration'!AP71*HRT!D71/1000)</f>
        <v>9.3960220401447248E-2</v>
      </c>
      <c r="Q71">
        <f>IF(HRT!D71="-", "-", 'Effluent Concentration'!AQ71*HRT!D71/1000)</f>
        <v>8.450328923139587E-2</v>
      </c>
      <c r="R71">
        <f>IF(HRT!D71="-", "-", 'Effluent Concentration'!AR71*HRT!D71/1000)</f>
        <v>6.6531462930070839</v>
      </c>
      <c r="S71">
        <f>IF(HRT!D71="-", "-", 'Effluent Concentration'!AS71*HRT!D71/1000)</f>
        <v>7.9577233531251595E-2</v>
      </c>
      <c r="T71">
        <f>IF(HRT!D71="-", "-", 'Effluent Concentration'!AT71*HRT!D71/1000)</f>
        <v>9.5621030614165214E-2</v>
      </c>
      <c r="U71">
        <f>IF(HRT!D71="-", "-", 'Effluent Concentration'!AU71*HRT!D71/1000)</f>
        <v>0.17604288387614542</v>
      </c>
      <c r="V71" s="113">
        <f>Gas!T71</f>
        <v>3.6935534023115552E-3</v>
      </c>
      <c r="W71" s="113">
        <f>Gas!U71+Gas!O71</f>
        <v>36.609179103445065</v>
      </c>
      <c r="X71" s="116">
        <f t="shared" si="15"/>
        <v>8.5732266083092306</v>
      </c>
      <c r="Y71" s="116">
        <f t="shared" si="16"/>
        <v>9.3960220401447248E-2</v>
      </c>
      <c r="Z71" s="116">
        <f t="shared" si="17"/>
        <v>8.450328923139587E-2</v>
      </c>
      <c r="AA71" s="116">
        <f t="shared" si="18"/>
        <v>6.6531462930070839</v>
      </c>
      <c r="AB71" s="116">
        <f t="shared" si="19"/>
        <v>7.9577233531251595E-2</v>
      </c>
      <c r="AC71" s="116">
        <f t="shared" si="20"/>
        <v>9.5621030614165214E-2</v>
      </c>
      <c r="AD71" s="116">
        <f t="shared" si="21"/>
        <v>0.17604288387614542</v>
      </c>
      <c r="AE71" s="116">
        <f t="shared" si="22"/>
        <v>4.87416827078426</v>
      </c>
      <c r="AF71" s="116">
        <f t="shared" si="23"/>
        <v>0</v>
      </c>
      <c r="AG71" s="116">
        <f t="shared" si="24"/>
        <v>1.5226418827533688E-4</v>
      </c>
      <c r="AH71" s="116">
        <f t="shared" si="25"/>
        <v>6.002691926129327E-3</v>
      </c>
      <c r="AI71" s="116">
        <f t="shared" si="26"/>
        <v>0</v>
      </c>
      <c r="AJ71" s="116">
        <f t="shared" si="27"/>
        <v>-0.42311002054835273</v>
      </c>
      <c r="AK71" s="116">
        <f t="shared" si="28"/>
        <v>-20.21329076532103</v>
      </c>
      <c r="AL71" s="116"/>
      <c r="AM71" s="116"/>
      <c r="AN71" s="116"/>
      <c r="AO71" s="116"/>
      <c r="AP71" s="116"/>
      <c r="AQ71" s="116"/>
      <c r="AR71" s="116"/>
      <c r="AS71" s="116"/>
      <c r="AT71" s="116"/>
      <c r="AU71" s="116"/>
      <c r="AV71" s="116"/>
      <c r="AW71" s="116"/>
      <c r="AX71" s="116"/>
    </row>
    <row r="72" spans="1:50">
      <c r="A72" s="232">
        <f>Gas!A72</f>
        <v>150.87013888889487</v>
      </c>
      <c r="B72" s="181">
        <f>IF(HRT!B72="-", "-", 'Influent Concentration'!X72*HRT!B72/1000)</f>
        <v>0</v>
      </c>
      <c r="C72" s="181">
        <f>IF(HRT!B72="-", "-", 'Influent Concentration'!Y72*HRT!B72/1000)</f>
        <v>0</v>
      </c>
      <c r="D72" s="181">
        <f>IF(HRT!B72="-", "-", 'Influent Concentration'!Z72*HRT!B72/1000)</f>
        <v>0</v>
      </c>
      <c r="E72" s="181">
        <f>IF(HRT!B72="-", "-", 'Influent Concentration'!AA72*HRT!B72/1000)</f>
        <v>0</v>
      </c>
      <c r="F72" s="181">
        <f>IF(HRT!B72="-", "-", 'Influent Concentration'!AB72*HRT!B72/1000)</f>
        <v>0.41387991759827059</v>
      </c>
      <c r="G72" s="181">
        <f>IF(HRT!B72="-", "-", 'Influent Concentration'!AC72*HRT!B72/1000)</f>
        <v>0.14657718506099104</v>
      </c>
      <c r="H72" s="181">
        <f>IF(HRT!B72="-", "-", 'Influent Concentration'!AD72*HRT!B72/1000)</f>
        <v>0</v>
      </c>
      <c r="I72" s="181">
        <f>IF(HRT!B72="-", "-", 'Influent Concentration'!AE72*HRT!B72/1000)</f>
        <v>0</v>
      </c>
      <c r="J72" s="182">
        <f>Gas!W72-Gas!S72</f>
        <v>33.448014578742004</v>
      </c>
      <c r="K72">
        <f>IF(HRT!D72="-", "-", 'Effluent Concentration'!AK72*HRT!D72/1000)</f>
        <v>0</v>
      </c>
      <c r="L72">
        <f>IF(HRT!D72="-", "-", 'Effluent Concentration'!AL72*HRT!D72/1000)</f>
        <v>4.6278883548272641E-4</v>
      </c>
      <c r="M72">
        <f>IF(HRT!D72="-", "-", 'Effluent Concentration'!AM72*HRT!D72/1000)</f>
        <v>5.9709161459875334E-3</v>
      </c>
      <c r="N72">
        <f>IF(HRT!D72="-", "-", 'Effluent Concentration'!AN72*HRT!D72/1000)</f>
        <v>0</v>
      </c>
      <c r="O72">
        <f>IF(HRT!D72="-", "-", 'Effluent Concentration'!AO72*HRT!D72/1000)</f>
        <v>8.7755223802240927</v>
      </c>
      <c r="P72">
        <f>IF(HRT!D72="-", "-", 'Effluent Concentration'!AP72*HRT!D72/1000)</f>
        <v>0.10648778601036944</v>
      </c>
      <c r="Q72">
        <f>IF(HRT!D72="-", "-", 'Effluent Concentration'!AQ72*HRT!D72/1000)</f>
        <v>8.0789312956665707E-2</v>
      </c>
      <c r="R72">
        <f>IF(HRT!D72="-", "-", 'Effluent Concentration'!AR72*HRT!D72/1000)</f>
        <v>6.5758883314802441</v>
      </c>
      <c r="S72">
        <f>IF(HRT!D72="-", "-", 'Effluent Concentration'!AS72*HRT!D72/1000)</f>
        <v>8.7773773039354575E-2</v>
      </c>
      <c r="T72">
        <f>IF(HRT!D72="-", "-", 'Effluent Concentration'!AT72*HRT!D72/1000)</f>
        <v>9.2975181812057064E-2</v>
      </c>
      <c r="U72">
        <f>IF(HRT!D72="-", "-", 'Effluent Concentration'!AU72*HRT!D72/1000)</f>
        <v>0.20990868111385377</v>
      </c>
      <c r="V72" s="113">
        <f>Gas!T72</f>
        <v>4.6227750866741106E-3</v>
      </c>
      <c r="W72" s="113">
        <f>Gas!U72+Gas!O72</f>
        <v>36.888526353323158</v>
      </c>
      <c r="X72" s="116">
        <f t="shared" si="15"/>
        <v>8.6289451951631015</v>
      </c>
      <c r="Y72" s="116">
        <f t="shared" si="16"/>
        <v>0.10648778601036944</v>
      </c>
      <c r="Z72" s="116">
        <f t="shared" si="17"/>
        <v>8.0789312956665707E-2</v>
      </c>
      <c r="AA72" s="116">
        <f t="shared" si="18"/>
        <v>6.5758883314802441</v>
      </c>
      <c r="AB72" s="116">
        <f t="shared" si="19"/>
        <v>8.7773773039354575E-2</v>
      </c>
      <c r="AC72" s="116">
        <f t="shared" si="20"/>
        <v>9.2975181812057064E-2</v>
      </c>
      <c r="AD72" s="116">
        <f t="shared" si="21"/>
        <v>0.20990868111385377</v>
      </c>
      <c r="AE72" s="116">
        <f t="shared" si="22"/>
        <v>3.4405117745811538</v>
      </c>
      <c r="AF72" s="116">
        <f t="shared" si="23"/>
        <v>0</v>
      </c>
      <c r="AG72" s="116">
        <f t="shared" si="24"/>
        <v>4.6278883548272641E-4</v>
      </c>
      <c r="AH72" s="116">
        <f t="shared" si="25"/>
        <v>5.9709161459875334E-3</v>
      </c>
      <c r="AI72" s="116">
        <f t="shared" si="26"/>
        <v>0</v>
      </c>
      <c r="AJ72" s="116">
        <f t="shared" si="27"/>
        <v>-0.41387991759827059</v>
      </c>
      <c r="AK72" s="116">
        <f t="shared" si="28"/>
        <v>-18.81583382354</v>
      </c>
      <c r="AL72" s="116"/>
      <c r="AM72" s="116"/>
      <c r="AN72" s="116"/>
      <c r="AO72" s="116"/>
      <c r="AP72" s="116"/>
      <c r="AQ72" s="116"/>
      <c r="AR72" s="116"/>
      <c r="AS72" s="116"/>
      <c r="AT72" s="116"/>
      <c r="AU72" s="116"/>
      <c r="AV72" s="116"/>
      <c r="AW72" s="116"/>
      <c r="AX72" s="116"/>
    </row>
    <row r="73" spans="1:50">
      <c r="A73" s="232">
        <f>Gas!A73</f>
        <v>152.88333333333867</v>
      </c>
      <c r="B73" s="181">
        <f>IF(HRT!B73="-", "-", 'Influent Concentration'!X73*HRT!B73/1000)</f>
        <v>0</v>
      </c>
      <c r="C73" s="181">
        <f>IF(HRT!B73="-", "-", 'Influent Concentration'!Y73*HRT!B73/1000)</f>
        <v>0</v>
      </c>
      <c r="D73" s="181">
        <f>IF(HRT!B73="-", "-", 'Influent Concentration'!Z73*HRT!B73/1000)</f>
        <v>0</v>
      </c>
      <c r="E73" s="181">
        <f>IF(HRT!B73="-", "-", 'Influent Concentration'!AA73*HRT!B73/1000)</f>
        <v>0</v>
      </c>
      <c r="F73" s="181">
        <f>IF(HRT!B73="-", "-", 'Influent Concentration'!AB73*HRT!B73/1000)</f>
        <v>0.40906643259254277</v>
      </c>
      <c r="G73" s="181">
        <f>IF(HRT!B73="-", "-", 'Influent Concentration'!AC73*HRT!B73/1000)</f>
        <v>0.15470766887090798</v>
      </c>
      <c r="H73" s="181">
        <f>IF(HRT!B73="-", "-", 'Influent Concentration'!AD73*HRT!B73/1000)</f>
        <v>0</v>
      </c>
      <c r="I73" s="181">
        <f>IF(HRT!B73="-", "-", 'Influent Concentration'!AE73*HRT!B73/1000)</f>
        <v>0</v>
      </c>
      <c r="J73" s="182">
        <f>Gas!W73-Gas!S73</f>
        <v>34.346286654644018</v>
      </c>
      <c r="K73">
        <f>IF(HRT!D73="-", "-", 'Effluent Concentration'!AK73*HRT!D73/1000)</f>
        <v>0</v>
      </c>
      <c r="L73">
        <f>IF(HRT!D73="-", "-", 'Effluent Concentration'!AL73*HRT!D73/1000)</f>
        <v>2.7907691659654114E-4</v>
      </c>
      <c r="M73">
        <f>IF(HRT!D73="-", "-", 'Effluent Concentration'!AM73*HRT!D73/1000)</f>
        <v>4.9008972125056142E-3</v>
      </c>
      <c r="N73">
        <f>IF(HRT!D73="-", "-", 'Effluent Concentration'!AN73*HRT!D73/1000)</f>
        <v>0</v>
      </c>
      <c r="O73">
        <f>IF(HRT!D73="-", "-", 'Effluent Concentration'!AO73*HRT!D73/1000)</f>
        <v>7.7210419868037894</v>
      </c>
      <c r="P73">
        <f>IF(HRT!D73="-", "-", 'Effluent Concentration'!AP73*HRT!D73/1000)</f>
        <v>9.4864019125477816E-2</v>
      </c>
      <c r="Q73">
        <f>IF(HRT!D73="-", "-", 'Effluent Concentration'!AQ73*HRT!D73/1000)</f>
        <v>7.471399953971361E-2</v>
      </c>
      <c r="R73">
        <f>IF(HRT!D73="-", "-", 'Effluent Concentration'!AR73*HRT!D73/1000)</f>
        <v>5.6929886218618284</v>
      </c>
      <c r="S73">
        <f>IF(HRT!D73="-", "-", 'Effluent Concentration'!AS73*HRT!D73/1000)</f>
        <v>6.9985853280763524E-2</v>
      </c>
      <c r="T73">
        <f>IF(HRT!D73="-", "-", 'Effluent Concentration'!AT73*HRT!D73/1000)</f>
        <v>8.998181136098167E-2</v>
      </c>
      <c r="U73">
        <f>IF(HRT!D73="-", "-", 'Effluent Concentration'!AU73*HRT!D73/1000)</f>
        <v>0.20414425996082022</v>
      </c>
      <c r="V73" s="113">
        <f>Gas!T73</f>
        <v>4.9668162121088979E-3</v>
      </c>
      <c r="W73" s="113">
        <f>Gas!U73+Gas!O73</f>
        <v>36.502664753438751</v>
      </c>
      <c r="X73" s="116">
        <f t="shared" si="15"/>
        <v>7.5663343179328812</v>
      </c>
      <c r="Y73" s="116">
        <f t="shared" si="16"/>
        <v>9.4864019125477816E-2</v>
      </c>
      <c r="Z73" s="116">
        <f t="shared" si="17"/>
        <v>7.471399953971361E-2</v>
      </c>
      <c r="AA73" s="116">
        <f t="shared" si="18"/>
        <v>5.6929886218618284</v>
      </c>
      <c r="AB73" s="116">
        <f t="shared" si="19"/>
        <v>6.9985853280763524E-2</v>
      </c>
      <c r="AC73" s="116">
        <f t="shared" si="20"/>
        <v>8.998181136098167E-2</v>
      </c>
      <c r="AD73" s="116">
        <f t="shared" si="21"/>
        <v>0.20414425996082022</v>
      </c>
      <c r="AE73" s="116">
        <f t="shared" si="22"/>
        <v>2.1563780987947325</v>
      </c>
      <c r="AF73" s="116">
        <f t="shared" si="23"/>
        <v>0</v>
      </c>
      <c r="AG73" s="116">
        <f t="shared" si="24"/>
        <v>2.7907691659654114E-4</v>
      </c>
      <c r="AH73" s="116">
        <f t="shared" si="25"/>
        <v>4.9008972125056142E-3</v>
      </c>
      <c r="AI73" s="116">
        <f t="shared" si="26"/>
        <v>0</v>
      </c>
      <c r="AJ73" s="116">
        <f t="shared" si="27"/>
        <v>-0.40906643259254277</v>
      </c>
      <c r="AK73" s="116">
        <f t="shared" si="28"/>
        <v>-15.54550452339376</v>
      </c>
      <c r="AL73" s="116"/>
      <c r="AM73" s="116"/>
      <c r="AN73" s="116"/>
      <c r="AO73" s="116"/>
      <c r="AP73" s="116"/>
      <c r="AQ73" s="116"/>
      <c r="AR73" s="116"/>
      <c r="AS73" s="116"/>
      <c r="AT73" s="116"/>
      <c r="AU73" s="116"/>
      <c r="AV73" s="116"/>
      <c r="AW73" s="116"/>
      <c r="AX73" s="116"/>
    </row>
    <row r="74" spans="1:50">
      <c r="A74" s="232">
        <f>Gas!A74</f>
        <v>155.00763888889196</v>
      </c>
      <c r="B74" s="181">
        <f>IF(HRT!B74="-", "-", 'Influent Concentration'!X74*HRT!B74/1000)</f>
        <v>0</v>
      </c>
      <c r="C74" s="181">
        <f>IF(HRT!B74="-", "-", 'Influent Concentration'!Y74*HRT!B74/1000)</f>
        <v>0</v>
      </c>
      <c r="D74" s="181">
        <f>IF(HRT!B74="-", "-", 'Influent Concentration'!Z74*HRT!B74/1000)</f>
        <v>0</v>
      </c>
      <c r="E74" s="181">
        <f>IF(HRT!B74="-", "-", 'Influent Concentration'!AA74*HRT!B74/1000)</f>
        <v>0</v>
      </c>
      <c r="F74" s="181">
        <f>IF(HRT!B74="-", "-", 'Influent Concentration'!AB74*HRT!B74/1000)</f>
        <v>0.40853737880901753</v>
      </c>
      <c r="G74" s="181">
        <f>IF(HRT!B74="-", "-", 'Influent Concentration'!AC74*HRT!B74/1000)</f>
        <v>0.16433006057136224</v>
      </c>
      <c r="H74" s="181">
        <f>IF(HRT!B74="-", "-", 'Influent Concentration'!AD74*HRT!B74/1000)</f>
        <v>0</v>
      </c>
      <c r="I74" s="181">
        <f>IF(HRT!B74="-", "-", 'Influent Concentration'!AE74*HRT!B74/1000)</f>
        <v>0</v>
      </c>
      <c r="J74" s="182">
        <f>Gas!W74-Gas!S74</f>
        <v>33.290426451716257</v>
      </c>
      <c r="K74">
        <f>IF(HRT!D74="-", "-", 'Effluent Concentration'!AK74*HRT!D74/1000)</f>
        <v>0</v>
      </c>
      <c r="L74">
        <f>IF(HRT!D74="-", "-", 'Effluent Concentration'!AL74*HRT!D74/1000)</f>
        <v>3.0458138871292172E-4</v>
      </c>
      <c r="M74">
        <f>IF(HRT!D74="-", "-", 'Effluent Concentration'!AM74*HRT!D74/1000)</f>
        <v>5.7854191675912716E-3</v>
      </c>
      <c r="N74">
        <f>IF(HRT!D74="-", "-", 'Effluent Concentration'!AN74*HRT!D74/1000)</f>
        <v>0</v>
      </c>
      <c r="O74">
        <f>IF(HRT!D74="-", "-", 'Effluent Concentration'!AO74*HRT!D74/1000)</f>
        <v>8.1423924226868749</v>
      </c>
      <c r="P74">
        <f>IF(HRT!D74="-", "-", 'Effluent Concentration'!AP74*HRT!D74/1000)</f>
        <v>9.6631282517854369E-2</v>
      </c>
      <c r="Q74">
        <f>IF(HRT!D74="-", "-", 'Effluent Concentration'!AQ74*HRT!D74/1000)</f>
        <v>8.332760516630032E-2</v>
      </c>
      <c r="R74">
        <f>IF(HRT!D74="-", "-", 'Effluent Concentration'!AR74*HRT!D74/1000)</f>
        <v>5.8966184598752651</v>
      </c>
      <c r="S74">
        <f>IF(HRT!D74="-", "-", 'Effluent Concentration'!AS74*HRT!D74/1000)</f>
        <v>7.766549550253958E-2</v>
      </c>
      <c r="T74">
        <f>IF(HRT!D74="-", "-", 'Effluent Concentration'!AT74*HRT!D74/1000)</f>
        <v>7.5739904704955952E-2</v>
      </c>
      <c r="U74">
        <f>IF(HRT!D74="-", "-", 'Effluent Concentration'!AU74*HRT!D74/1000)</f>
        <v>0.25598382342778081</v>
      </c>
      <c r="V74" s="113">
        <f>Gas!T74</f>
        <v>3.8744453345775352E-3</v>
      </c>
      <c r="W74" s="113">
        <f>Gas!U74+Gas!O74</f>
        <v>36.215363261618293</v>
      </c>
      <c r="X74" s="116">
        <f t="shared" si="15"/>
        <v>7.9780623621155122</v>
      </c>
      <c r="Y74" s="116">
        <f t="shared" si="16"/>
        <v>9.6631282517854369E-2</v>
      </c>
      <c r="Z74" s="116">
        <f t="shared" si="17"/>
        <v>8.332760516630032E-2</v>
      </c>
      <c r="AA74" s="116">
        <f t="shared" si="18"/>
        <v>5.8966184598752651</v>
      </c>
      <c r="AB74" s="116">
        <f t="shared" si="19"/>
        <v>7.766549550253958E-2</v>
      </c>
      <c r="AC74" s="116">
        <f t="shared" si="20"/>
        <v>7.5739904704955952E-2</v>
      </c>
      <c r="AD74" s="116">
        <f t="shared" si="21"/>
        <v>0.25598382342778081</v>
      </c>
      <c r="AE74" s="116">
        <f t="shared" si="22"/>
        <v>2.9249368099020359</v>
      </c>
      <c r="AF74" s="116">
        <f t="shared" si="23"/>
        <v>0</v>
      </c>
      <c r="AG74" s="116">
        <f t="shared" si="24"/>
        <v>3.0458138871292172E-4</v>
      </c>
      <c r="AH74" s="116">
        <f t="shared" si="25"/>
        <v>5.7854191675912716E-3</v>
      </c>
      <c r="AI74" s="116">
        <f t="shared" si="26"/>
        <v>0</v>
      </c>
      <c r="AJ74" s="116">
        <f t="shared" si="27"/>
        <v>-0.40853737880901753</v>
      </c>
      <c r="AK74" s="116">
        <f t="shared" si="28"/>
        <v>-16.986518364959529</v>
      </c>
      <c r="AL74" s="116"/>
      <c r="AM74" s="116"/>
      <c r="AN74" s="116"/>
      <c r="AO74" s="116"/>
      <c r="AP74" s="116"/>
      <c r="AQ74" s="116"/>
      <c r="AR74" s="116"/>
      <c r="AS74" s="116"/>
      <c r="AT74" s="116"/>
      <c r="AU74" s="116"/>
      <c r="AV74" s="116"/>
      <c r="AW74" s="116"/>
      <c r="AX74" s="116"/>
    </row>
    <row r="75" spans="1:50">
      <c r="A75" s="232">
        <f>Gas!A75</f>
        <v>157.87638888889342</v>
      </c>
      <c r="B75" s="181">
        <f>IF(HRT!B75="-", "-", 'Influent Concentration'!X75*HRT!B75/1000)</f>
        <v>0</v>
      </c>
      <c r="C75" s="181">
        <f>IF(HRT!B75="-", "-", 'Influent Concentration'!Y75*HRT!B75/1000)</f>
        <v>0</v>
      </c>
      <c r="D75" s="181">
        <f>IF(HRT!B75="-", "-", 'Influent Concentration'!Z75*HRT!B75/1000)</f>
        <v>0</v>
      </c>
      <c r="E75" s="181">
        <f>IF(HRT!B75="-", "-", 'Influent Concentration'!AA75*HRT!B75/1000)</f>
        <v>0</v>
      </c>
      <c r="F75" s="181">
        <f>IF(HRT!B75="-", "-", 'Influent Concentration'!AB75*HRT!B75/1000)</f>
        <v>0.41044401806850955</v>
      </c>
      <c r="G75" s="181">
        <f>IF(HRT!B75="-", "-", 'Influent Concentration'!AC75*HRT!B75/1000)</f>
        <v>0.17496530668878166</v>
      </c>
      <c r="H75" s="181">
        <f>IF(HRT!B75="-", "-", 'Influent Concentration'!AD75*HRT!B75/1000)</f>
        <v>0</v>
      </c>
      <c r="I75" s="181">
        <f>IF(HRT!B75="-", "-", 'Influent Concentration'!AE75*HRT!B75/1000)</f>
        <v>0</v>
      </c>
      <c r="J75" s="182">
        <f>Gas!W75-Gas!S75</f>
        <v>32.910172970059762</v>
      </c>
      <c r="K75">
        <f>IF(HRT!D75="-", "-", 'Effluent Concentration'!AK75*HRT!D75/1000)</f>
        <v>0</v>
      </c>
      <c r="L75">
        <f>IF(HRT!D75="-", "-", 'Effluent Concentration'!AL75*HRT!D75/1000)</f>
        <v>5.7997866076760815E-4</v>
      </c>
      <c r="M75">
        <f>IF(HRT!D75="-", "-", 'Effluent Concentration'!AM75*HRT!D75/1000)</f>
        <v>4.5728851462060165E-3</v>
      </c>
      <c r="N75">
        <f>IF(HRT!D75="-", "-", 'Effluent Concentration'!AN75*HRT!D75/1000)</f>
        <v>0</v>
      </c>
      <c r="O75">
        <f>IF(HRT!D75="-", "-", 'Effluent Concentration'!AO75*HRT!D75/1000)</f>
        <v>7.6957614300033557</v>
      </c>
      <c r="P75">
        <f>IF(HRT!D75="-", "-", 'Effluent Concentration'!AP75*HRT!D75/1000)</f>
        <v>7.178163673641981E-2</v>
      </c>
      <c r="Q75">
        <f>IF(HRT!D75="-", "-", 'Effluent Concentration'!AQ75*HRT!D75/1000)</f>
        <v>8.1035545289798241E-2</v>
      </c>
      <c r="R75">
        <f>IF(HRT!D75="-", "-", 'Effluent Concentration'!AR75*HRT!D75/1000)</f>
        <v>5.3523127640709403</v>
      </c>
      <c r="S75">
        <f>IF(HRT!D75="-", "-", 'Effluent Concentration'!AS75*HRT!D75/1000)</f>
        <v>8.0666893952851856E-2</v>
      </c>
      <c r="T75">
        <f>IF(HRT!D75="-", "-", 'Effluent Concentration'!AT75*HRT!D75/1000)</f>
        <v>7.0277975792257294E-2</v>
      </c>
      <c r="U75">
        <f>IF(HRT!D75="-", "-", 'Effluent Concentration'!AU75*HRT!D75/1000)</f>
        <v>0.29981429172326668</v>
      </c>
      <c r="V75" s="113">
        <f>Gas!T75</f>
        <v>3.8929230992791296E-3</v>
      </c>
      <c r="W75" s="113">
        <f>Gas!U75+Gas!O75</f>
        <v>36.758411189170531</v>
      </c>
      <c r="X75" s="116">
        <f t="shared" si="15"/>
        <v>7.5207961233145744</v>
      </c>
      <c r="Y75" s="116">
        <f t="shared" si="16"/>
        <v>7.178163673641981E-2</v>
      </c>
      <c r="Z75" s="116">
        <f t="shared" si="17"/>
        <v>8.1035545289798241E-2</v>
      </c>
      <c r="AA75" s="116">
        <f t="shared" si="18"/>
        <v>5.3523127640709403</v>
      </c>
      <c r="AB75" s="116">
        <f t="shared" si="19"/>
        <v>8.0666893952851856E-2</v>
      </c>
      <c r="AC75" s="116">
        <f t="shared" si="20"/>
        <v>7.0277975792257294E-2</v>
      </c>
      <c r="AD75" s="116">
        <f t="shared" si="21"/>
        <v>0.29981429172326668</v>
      </c>
      <c r="AE75" s="116">
        <f t="shared" si="22"/>
        <v>3.8482382191107689</v>
      </c>
      <c r="AF75" s="116">
        <f t="shared" si="23"/>
        <v>0</v>
      </c>
      <c r="AG75" s="116">
        <f t="shared" si="24"/>
        <v>5.7997866076760815E-4</v>
      </c>
      <c r="AH75" s="116">
        <f t="shared" si="25"/>
        <v>4.5728851462060165E-3</v>
      </c>
      <c r="AI75" s="116">
        <f t="shared" si="26"/>
        <v>0</v>
      </c>
      <c r="AJ75" s="116">
        <f t="shared" si="27"/>
        <v>-0.41044401806850955</v>
      </c>
      <c r="AK75" s="116">
        <f t="shared" si="28"/>
        <v>-16.91963229572934</v>
      </c>
      <c r="AL75" s="116"/>
      <c r="AM75" s="116"/>
      <c r="AN75" s="116"/>
      <c r="AO75" s="116"/>
      <c r="AP75" s="116"/>
      <c r="AQ75" s="116"/>
      <c r="AR75" s="116"/>
      <c r="AS75" s="116"/>
      <c r="AT75" s="116"/>
      <c r="AU75" s="116"/>
      <c r="AV75" s="116"/>
      <c r="AW75" s="116"/>
      <c r="AX75" s="116"/>
    </row>
    <row r="76" spans="1:50">
      <c r="A76" s="232">
        <f>Gas!A76</f>
        <v>159.9152777777781</v>
      </c>
      <c r="B76" s="181">
        <f>IF(HRT!B76="-", "-", 'Influent Concentration'!X76*HRT!B76/1000)</f>
        <v>0</v>
      </c>
      <c r="C76" s="181">
        <f>IF(HRT!B76="-", "-", 'Influent Concentration'!Y76*HRT!B76/1000)</f>
        <v>0</v>
      </c>
      <c r="D76" s="181">
        <f>IF(HRT!B76="-", "-", 'Influent Concentration'!Z76*HRT!B76/1000)</f>
        <v>0</v>
      </c>
      <c r="E76" s="181">
        <f>IF(HRT!B76="-", "-", 'Influent Concentration'!AA76*HRT!B76/1000)</f>
        <v>0</v>
      </c>
      <c r="F76" s="181">
        <f>IF(HRT!B76="-", "-", 'Influent Concentration'!AB76*HRT!B76/1000)</f>
        <v>0.40832749135513113</v>
      </c>
      <c r="G76" s="181">
        <f>IF(HRT!B76="-", "-", 'Influent Concentration'!AC76*HRT!B76/1000)</f>
        <v>0.18388049922105557</v>
      </c>
      <c r="H76" s="181">
        <f>IF(HRT!B76="-", "-", 'Influent Concentration'!AD76*HRT!B76/1000)</f>
        <v>0</v>
      </c>
      <c r="I76" s="181">
        <f>IF(HRT!B76="-", "-", 'Influent Concentration'!AE76*HRT!B76/1000)</f>
        <v>0</v>
      </c>
      <c r="J76" s="182">
        <f>Gas!W76-Gas!S76</f>
        <v>34.903391823308198</v>
      </c>
      <c r="K76">
        <f>IF(HRT!D76="-", "-", 'Effluent Concentration'!AK76*HRT!D76/1000)</f>
        <v>0</v>
      </c>
      <c r="L76">
        <f>IF(HRT!D76="-", "-", 'Effluent Concentration'!AL76*HRT!D76/1000)</f>
        <v>6.0310417537172715E-4</v>
      </c>
      <c r="M76">
        <f>IF(HRT!D76="-", "-", 'Effluent Concentration'!AM76*HRT!D76/1000)</f>
        <v>4.8632931781447866E-3</v>
      </c>
      <c r="N76">
        <f>IF(HRT!D76="-", "-", 'Effluent Concentration'!AN76*HRT!D76/1000)</f>
        <v>0</v>
      </c>
      <c r="O76">
        <f>IF(HRT!D76="-", "-", 'Effluent Concentration'!AO76*HRT!D76/1000)</f>
        <v>7.8672997290105799</v>
      </c>
      <c r="P76">
        <f>IF(HRT!D76="-", "-", 'Effluent Concentration'!AP76*HRT!D76/1000)</f>
        <v>7.0964165683685049E-2</v>
      </c>
      <c r="Q76">
        <f>IF(HRT!D76="-", "-", 'Effluent Concentration'!AQ76*HRT!D76/1000)</f>
        <v>7.837390437953709E-2</v>
      </c>
      <c r="R76">
        <f>IF(HRT!D76="-", "-", 'Effluent Concentration'!AR76*HRT!D76/1000)</f>
        <v>5.4808698092787571</v>
      </c>
      <c r="S76">
        <f>IF(HRT!D76="-", "-", 'Effluent Concentration'!AS76*HRT!D76/1000)</f>
        <v>7.4986611891886976E-2</v>
      </c>
      <c r="T76">
        <f>IF(HRT!D76="-", "-", 'Effluent Concentration'!AT76*HRT!D76/1000)</f>
        <v>8.1976889271639167E-2</v>
      </c>
      <c r="U76">
        <f>IF(HRT!D76="-", "-", 'Effluent Concentration'!AU76*HRT!D76/1000)</f>
        <v>0.35467891456806305</v>
      </c>
      <c r="V76" s="113">
        <f>Gas!T76</f>
        <v>4.5017272343045858E-3</v>
      </c>
      <c r="W76" s="113">
        <f>Gas!U76+Gas!O76</f>
        <v>36.575579773847707</v>
      </c>
      <c r="X76" s="116">
        <f t="shared" si="15"/>
        <v>7.6834192297895241</v>
      </c>
      <c r="Y76" s="116">
        <f t="shared" si="16"/>
        <v>7.0964165683685049E-2</v>
      </c>
      <c r="Z76" s="116">
        <f t="shared" si="17"/>
        <v>7.837390437953709E-2</v>
      </c>
      <c r="AA76" s="116">
        <f t="shared" si="18"/>
        <v>5.4808698092787571</v>
      </c>
      <c r="AB76" s="116">
        <f t="shared" si="19"/>
        <v>7.4986611891886976E-2</v>
      </c>
      <c r="AC76" s="116">
        <f t="shared" si="20"/>
        <v>8.1976889271639167E-2</v>
      </c>
      <c r="AD76" s="116">
        <f t="shared" si="21"/>
        <v>0.35467891456806305</v>
      </c>
      <c r="AE76" s="116">
        <f t="shared" si="22"/>
        <v>1.6721879505395094</v>
      </c>
      <c r="AF76" s="116">
        <f t="shared" si="23"/>
        <v>0</v>
      </c>
      <c r="AG76" s="116">
        <f t="shared" si="24"/>
        <v>6.0310417537172715E-4</v>
      </c>
      <c r="AH76" s="116">
        <f t="shared" si="25"/>
        <v>4.8632931781447866E-3</v>
      </c>
      <c r="AI76" s="116">
        <f t="shared" si="26"/>
        <v>0</v>
      </c>
      <c r="AJ76" s="116">
        <f t="shared" si="27"/>
        <v>-0.40832749135513113</v>
      </c>
      <c r="AK76" s="116">
        <f t="shared" si="28"/>
        <v>-15.09459638140099</v>
      </c>
      <c r="AL76" s="116"/>
      <c r="AM76" s="116"/>
      <c r="AN76" s="116"/>
      <c r="AO76" s="116"/>
      <c r="AP76" s="116"/>
      <c r="AQ76" s="116"/>
      <c r="AR76" s="116"/>
      <c r="AS76" s="116"/>
      <c r="AT76" s="116"/>
      <c r="AU76" s="116"/>
      <c r="AV76" s="116"/>
      <c r="AW76" s="116"/>
      <c r="AX76" s="116"/>
    </row>
    <row r="77" spans="1:50">
      <c r="A77" s="232">
        <f>Gas!A77</f>
        <v>161.89444444444962</v>
      </c>
      <c r="B77" s="181">
        <f>IF(HRT!B77="-", "-", 'Influent Concentration'!X77*HRT!B77/1000)</f>
        <v>0</v>
      </c>
      <c r="C77" s="181">
        <f>IF(HRT!B77="-", "-", 'Influent Concentration'!Y77*HRT!B77/1000)</f>
        <v>0</v>
      </c>
      <c r="D77" s="181">
        <f>IF(HRT!B77="-", "-", 'Influent Concentration'!Z77*HRT!B77/1000)</f>
        <v>0</v>
      </c>
      <c r="E77" s="181">
        <f>IF(HRT!B77="-", "-", 'Influent Concentration'!AA77*HRT!B77/1000)</f>
        <v>0</v>
      </c>
      <c r="F77" s="181">
        <f>IF(HRT!B77="-", "-", 'Influent Concentration'!AB77*HRT!B77/1000)</f>
        <v>0.40490086359212463</v>
      </c>
      <c r="G77" s="181">
        <f>IF(HRT!B77="-", "-", 'Influent Concentration'!AC77*HRT!B77/1000)</f>
        <v>0.19207244489194394</v>
      </c>
      <c r="H77" s="181">
        <f>IF(HRT!B77="-", "-", 'Influent Concentration'!AD77*HRT!B77/1000)</f>
        <v>0</v>
      </c>
      <c r="I77" s="181">
        <f>IF(HRT!B77="-", "-", 'Influent Concentration'!AE77*HRT!B77/1000)</f>
        <v>0</v>
      </c>
      <c r="J77" s="182">
        <f>Gas!W77-Gas!S77</f>
        <v>33.233496218985124</v>
      </c>
      <c r="K77">
        <f>IF(HRT!D77="-", "-", 'Effluent Concentration'!AK77*HRT!D77/1000)</f>
        <v>0</v>
      </c>
      <c r="L77">
        <f>IF(HRT!D77="-", "-", 'Effluent Concentration'!AL77*HRT!D77/1000)</f>
        <v>5.8255068957706454E-4</v>
      </c>
      <c r="M77">
        <f>IF(HRT!D77="-", "-", 'Effluent Concentration'!AM77*HRT!D77/1000)</f>
        <v>4.2799941929949816E-3</v>
      </c>
      <c r="N77">
        <f>IF(HRT!D77="-", "-", 'Effluent Concentration'!AN77*HRT!D77/1000)</f>
        <v>0</v>
      </c>
      <c r="O77">
        <f>IF(HRT!D77="-", "-", 'Effluent Concentration'!AO77*HRT!D77/1000)</f>
        <v>7.3377788005653262</v>
      </c>
      <c r="P77">
        <f>IF(HRT!D77="-", "-", 'Effluent Concentration'!AP77*HRT!D77/1000)</f>
        <v>8.3778130023340641E-2</v>
      </c>
      <c r="Q77">
        <f>IF(HRT!D77="-", "-", 'Effluent Concentration'!AQ77*HRT!D77/1000)</f>
        <v>6.8872618916677203E-2</v>
      </c>
      <c r="R77">
        <f>IF(HRT!D77="-", "-", 'Effluent Concentration'!AR77*HRT!D77/1000)</f>
        <v>5.0111945201853398</v>
      </c>
      <c r="S77">
        <f>IF(HRT!D77="-", "-", 'Effluent Concentration'!AS77*HRT!D77/1000)</f>
        <v>7.4272574815779271E-2</v>
      </c>
      <c r="T77">
        <f>IF(HRT!D77="-", "-", 'Effluent Concentration'!AT77*HRT!D77/1000)</f>
        <v>6.3223762033266642E-2</v>
      </c>
      <c r="U77">
        <f>IF(HRT!D77="-", "-", 'Effluent Concentration'!AU77*HRT!D77/1000)</f>
        <v>0.35424881856317336</v>
      </c>
      <c r="V77" s="113">
        <f>Gas!T77</f>
        <v>4.7753564391896028E-3</v>
      </c>
      <c r="W77" s="113">
        <f>Gas!U77+Gas!O77</f>
        <v>36.610102116985274</v>
      </c>
      <c r="X77" s="116">
        <f t="shared" si="15"/>
        <v>7.145706355673382</v>
      </c>
      <c r="Y77" s="116">
        <f t="shared" si="16"/>
        <v>8.3778130023340641E-2</v>
      </c>
      <c r="Z77" s="116">
        <f t="shared" si="17"/>
        <v>6.8872618916677203E-2</v>
      </c>
      <c r="AA77" s="116">
        <f t="shared" si="18"/>
        <v>5.0111945201853398</v>
      </c>
      <c r="AB77" s="116">
        <f t="shared" si="19"/>
        <v>7.4272574815779271E-2</v>
      </c>
      <c r="AC77" s="116">
        <f t="shared" si="20"/>
        <v>6.3223762033266642E-2</v>
      </c>
      <c r="AD77" s="116">
        <f t="shared" si="21"/>
        <v>0.35424881856317336</v>
      </c>
      <c r="AE77" s="116">
        <f t="shared" si="22"/>
        <v>3.3766058980001503</v>
      </c>
      <c r="AF77" s="116">
        <f t="shared" si="23"/>
        <v>0</v>
      </c>
      <c r="AG77" s="116">
        <f t="shared" si="24"/>
        <v>5.8255068957706454E-4</v>
      </c>
      <c r="AH77" s="116">
        <f t="shared" si="25"/>
        <v>4.2799941929949816E-3</v>
      </c>
      <c r="AI77" s="116">
        <f t="shared" si="26"/>
        <v>0</v>
      </c>
      <c r="AJ77" s="116">
        <f t="shared" si="27"/>
        <v>-0.40490086359212463</v>
      </c>
      <c r="AK77" s="116">
        <f t="shared" si="28"/>
        <v>-15.777864359501557</v>
      </c>
      <c r="AL77" s="116"/>
      <c r="AM77" s="116"/>
      <c r="AN77" s="116"/>
      <c r="AO77" s="116"/>
      <c r="AP77" s="116"/>
      <c r="AQ77" s="116"/>
      <c r="AR77" s="116"/>
      <c r="AS77" s="116"/>
      <c r="AT77" s="116"/>
      <c r="AU77" s="116"/>
      <c r="AV77" s="116"/>
      <c r="AW77" s="116"/>
      <c r="AX77" s="116"/>
    </row>
    <row r="78" spans="1:50">
      <c r="A78" s="232">
        <f>Gas!A78</f>
        <v>164.87708333333285</v>
      </c>
      <c r="B78" s="181">
        <f>IF(HRT!B78="-", "-", 'Influent Concentration'!X78*HRT!B78/1000)</f>
        <v>0</v>
      </c>
      <c r="C78" s="181">
        <f>IF(HRT!B78="-", "-", 'Influent Concentration'!Y78*HRT!B78/1000)</f>
        <v>0</v>
      </c>
      <c r="D78" s="181">
        <f>IF(HRT!B78="-", "-", 'Influent Concentration'!Z78*HRT!B78/1000)</f>
        <v>0</v>
      </c>
      <c r="E78" s="181">
        <f>IF(HRT!B78="-", "-", 'Influent Concentration'!AA78*HRT!B78/1000)</f>
        <v>0</v>
      </c>
      <c r="F78" s="181">
        <f>IF(HRT!B78="-", "-", 'Influent Concentration'!AB78*HRT!B78/1000)</f>
        <v>0.40963364198725422</v>
      </c>
      <c r="G78" s="181">
        <f>IF(HRT!B78="-", "-", 'Influent Concentration'!AC78*HRT!B78/1000)</f>
        <v>0.20416636427385357</v>
      </c>
      <c r="H78" s="181">
        <f>IF(HRT!B78="-", "-", 'Influent Concentration'!AD78*HRT!B78/1000)</f>
        <v>0</v>
      </c>
      <c r="I78" s="181">
        <f>IF(HRT!B78="-", "-", 'Influent Concentration'!AE78*HRT!B78/1000)</f>
        <v>0</v>
      </c>
      <c r="J78" s="182">
        <f>Gas!W78-Gas!S78</f>
        <v>32.432528932632295</v>
      </c>
      <c r="K78">
        <f>IF(HRT!D78="-", "-", 'Effluent Concentration'!AK78*HRT!D78/1000)</f>
        <v>0</v>
      </c>
      <c r="L78">
        <f>IF(HRT!D78="-", "-", 'Effluent Concentration'!AL78*HRT!D78/1000)</f>
        <v>5.8706811351929167E-4</v>
      </c>
      <c r="M78">
        <f>IF(HRT!D78="-", "-", 'Effluent Concentration'!AM78*HRT!D78/1000)</f>
        <v>0</v>
      </c>
      <c r="N78">
        <f>IF(HRT!D78="-", "-", 'Effluent Concentration'!AN78*HRT!D78/1000)</f>
        <v>0</v>
      </c>
      <c r="O78">
        <f>IF(HRT!D78="-", "-", 'Effluent Concentration'!AO78*HRT!D78/1000)</f>
        <v>7.5137726016427777</v>
      </c>
      <c r="P78">
        <f>IF(HRT!D78="-", "-", 'Effluent Concentration'!AP78*HRT!D78/1000)</f>
        <v>6.3960448872261169E-2</v>
      </c>
      <c r="Q78">
        <f>IF(HRT!D78="-", "-", 'Effluent Concentration'!AQ78*HRT!D78/1000)</f>
        <v>7.6863613456422189E-2</v>
      </c>
      <c r="R78">
        <f>IF(HRT!D78="-", "-", 'Effluent Concentration'!AR78*HRT!D78/1000)</f>
        <v>4.8670728371473295</v>
      </c>
      <c r="S78">
        <f>IF(HRT!D78="-", "-", 'Effluent Concentration'!AS78*HRT!D78/1000)</f>
        <v>6.7425531605838918E-2</v>
      </c>
      <c r="T78">
        <f>IF(HRT!D78="-", "-", 'Effluent Concentration'!AT78*HRT!D78/1000)</f>
        <v>7.0518445899684729E-2</v>
      </c>
      <c r="U78">
        <f>IF(HRT!D78="-", "-", 'Effluent Concentration'!AU78*HRT!D78/1000)</f>
        <v>0.40659674968054793</v>
      </c>
      <c r="V78" s="113">
        <f>Gas!T78</f>
        <v>3.9202498942279762E-3</v>
      </c>
      <c r="W78" s="113">
        <f>Gas!U78+Gas!O78</f>
        <v>37.018430745257696</v>
      </c>
      <c r="X78" s="116">
        <f t="shared" si="15"/>
        <v>7.3096062373689241</v>
      </c>
      <c r="Y78" s="116">
        <f t="shared" si="16"/>
        <v>6.3960448872261169E-2</v>
      </c>
      <c r="Z78" s="116">
        <f t="shared" si="17"/>
        <v>7.6863613456422189E-2</v>
      </c>
      <c r="AA78" s="116">
        <f t="shared" si="18"/>
        <v>4.8670728371473295</v>
      </c>
      <c r="AB78" s="116">
        <f t="shared" si="19"/>
        <v>6.7425531605838918E-2</v>
      </c>
      <c r="AC78" s="116">
        <f t="shared" si="20"/>
        <v>7.0518445899684729E-2</v>
      </c>
      <c r="AD78" s="116">
        <f t="shared" si="21"/>
        <v>0.40659674968054793</v>
      </c>
      <c r="AE78" s="116">
        <f t="shared" si="22"/>
        <v>4.5859018126254014</v>
      </c>
      <c r="AF78" s="116">
        <f t="shared" si="23"/>
        <v>0</v>
      </c>
      <c r="AG78" s="116">
        <f t="shared" si="24"/>
        <v>5.8706811351929167E-4</v>
      </c>
      <c r="AH78" s="116">
        <f t="shared" si="25"/>
        <v>0</v>
      </c>
      <c r="AI78" s="116">
        <f t="shared" si="26"/>
        <v>0</v>
      </c>
      <c r="AJ78" s="116">
        <f t="shared" si="27"/>
        <v>-0.40963364198725422</v>
      </c>
      <c r="AK78" s="116">
        <f t="shared" si="28"/>
        <v>-17.038899102782672</v>
      </c>
      <c r="AL78" s="116"/>
      <c r="AM78" s="116"/>
      <c r="AN78" s="116"/>
      <c r="AO78" s="116"/>
      <c r="AP78" s="116"/>
      <c r="AQ78" s="116"/>
      <c r="AR78" s="116"/>
      <c r="AS78" s="116"/>
      <c r="AT78" s="116"/>
      <c r="AU78" s="116"/>
      <c r="AV78" s="116"/>
      <c r="AW78" s="116"/>
      <c r="AX78" s="116"/>
    </row>
    <row r="79" spans="1:50">
      <c r="A79" s="232">
        <f>Gas!A79</f>
        <v>166.88680555555766</v>
      </c>
      <c r="B79" s="181">
        <f>IF(HRT!B79="-", "-", 'Influent Concentration'!X79*HRT!B79/1000)</f>
        <v>0</v>
      </c>
      <c r="C79" s="181">
        <f>IF(HRT!B79="-", "-", 'Influent Concentration'!Y79*HRT!B79/1000)</f>
        <v>0</v>
      </c>
      <c r="D79" s="181">
        <f>IF(HRT!B79="-", "-", 'Influent Concentration'!Z79*HRT!B79/1000)</f>
        <v>0</v>
      </c>
      <c r="E79" s="181">
        <f>IF(HRT!B79="-", "-", 'Influent Concentration'!AA79*HRT!B79/1000)</f>
        <v>0</v>
      </c>
      <c r="F79" s="181">
        <f>IF(HRT!B79="-", "-", 'Influent Concentration'!AB79*HRT!B79/1000)</f>
        <v>0.40253580851480986</v>
      </c>
      <c r="G79" s="181">
        <f>IF(HRT!B79="-", "-", 'Influent Concentration'!AC79*HRT!B79/1000)</f>
        <v>2.5840746624957351E-2</v>
      </c>
      <c r="H79" s="181">
        <f>IF(HRT!B79="-", "-", 'Influent Concentration'!AD79*HRT!B79/1000)</f>
        <v>0</v>
      </c>
      <c r="I79" s="181">
        <f>IF(HRT!B79="-", "-", 'Influent Concentration'!AE79*HRT!B79/1000)</f>
        <v>0</v>
      </c>
      <c r="J79" s="182">
        <f>Gas!W79-Gas!S79</f>
        <v>34.277719016128572</v>
      </c>
      <c r="K79">
        <f>IF(HRT!D79="-", "-", 'Effluent Concentration'!AK79*HRT!D79/1000)</f>
        <v>0</v>
      </c>
      <c r="L79">
        <f>IF(HRT!D79="-", "-", 'Effluent Concentration'!AL79*HRT!D79/1000)</f>
        <v>5.7477463351172865E-4</v>
      </c>
      <c r="M79">
        <f>IF(HRT!D79="-", "-", 'Effluent Concentration'!AM79*HRT!D79/1000)</f>
        <v>0</v>
      </c>
      <c r="N79">
        <f>IF(HRT!D79="-", "-", 'Effluent Concentration'!AN79*HRT!D79/1000)</f>
        <v>0</v>
      </c>
      <c r="O79">
        <f>IF(HRT!D79="-", "-", 'Effluent Concentration'!AO79*HRT!D79/1000)</f>
        <v>7.2909211800994287</v>
      </c>
      <c r="P79">
        <f>IF(HRT!D79="-", "-", 'Effluent Concentration'!AP79*HRT!D79/1000)</f>
        <v>6.6628836836564731E-2</v>
      </c>
      <c r="Q79">
        <f>IF(HRT!D79="-", "-", 'Effluent Concentration'!AQ79*HRT!D79/1000)</f>
        <v>6.233731301885987E-2</v>
      </c>
      <c r="R79">
        <f>IF(HRT!D79="-", "-", 'Effluent Concentration'!AR79*HRT!D79/1000)</f>
        <v>4.6404794367102618</v>
      </c>
      <c r="S79">
        <f>IF(HRT!D79="-", "-", 'Effluent Concentration'!AS79*HRT!D79/1000)</f>
        <v>7.3886792326948683E-2</v>
      </c>
      <c r="T79">
        <f>IF(HRT!D79="-", "-", 'Effluent Concentration'!AT79*HRT!D79/1000)</f>
        <v>6.0562944530285809E-2</v>
      </c>
      <c r="U79">
        <f>IF(HRT!D79="-", "-", 'Effluent Concentration'!AU79*HRT!D79/1000)</f>
        <v>0.422363535118225</v>
      </c>
      <c r="V79" s="113">
        <f>Gas!T79</f>
        <v>3.9226262958597736E-3</v>
      </c>
      <c r="W79" s="113">
        <f>Gas!U79+Gas!O79</f>
        <v>36.70547157412021</v>
      </c>
      <c r="X79" s="116">
        <f t="shared" si="15"/>
        <v>7.2650804334744716</v>
      </c>
      <c r="Y79" s="116">
        <f t="shared" si="16"/>
        <v>6.6628836836564731E-2</v>
      </c>
      <c r="Z79" s="116">
        <f t="shared" si="17"/>
        <v>6.233731301885987E-2</v>
      </c>
      <c r="AA79" s="116">
        <f t="shared" si="18"/>
        <v>4.6404794367102618</v>
      </c>
      <c r="AB79" s="116">
        <f t="shared" si="19"/>
        <v>7.3886792326948683E-2</v>
      </c>
      <c r="AC79" s="116">
        <f t="shared" si="20"/>
        <v>6.0562944530285809E-2</v>
      </c>
      <c r="AD79" s="116">
        <f t="shared" si="21"/>
        <v>0.422363535118225</v>
      </c>
      <c r="AE79" s="116">
        <f t="shared" si="22"/>
        <v>2.4277525579916386</v>
      </c>
      <c r="AF79" s="116">
        <f t="shared" si="23"/>
        <v>0</v>
      </c>
      <c r="AG79" s="116">
        <f t="shared" si="24"/>
        <v>5.7477463351172865E-4</v>
      </c>
      <c r="AH79" s="116">
        <f t="shared" si="25"/>
        <v>0</v>
      </c>
      <c r="AI79" s="116">
        <f t="shared" si="26"/>
        <v>0</v>
      </c>
      <c r="AJ79" s="116">
        <f t="shared" si="27"/>
        <v>-0.40253580851480986</v>
      </c>
      <c r="AK79" s="116">
        <f t="shared" si="28"/>
        <v>-14.617130816125957</v>
      </c>
      <c r="AL79" s="116"/>
      <c r="AM79" s="116"/>
      <c r="AN79" s="116"/>
      <c r="AO79" s="116"/>
      <c r="AP79" s="116"/>
      <c r="AQ79" s="116"/>
      <c r="AR79" s="116"/>
      <c r="AS79" s="116"/>
      <c r="AT79" s="116"/>
      <c r="AU79" s="116"/>
      <c r="AV79" s="116"/>
      <c r="AW79" s="116"/>
      <c r="AX79" s="116"/>
    </row>
    <row r="80" spans="1:50">
      <c r="A80" s="232">
        <f>Gas!A80</f>
        <v>168.87638888889342</v>
      </c>
      <c r="B80" s="181">
        <f>IF(HRT!B80="-", "-", 'Influent Concentration'!X80*HRT!B80/1000)</f>
        <v>0</v>
      </c>
      <c r="C80" s="181">
        <f>IF(HRT!B80="-", "-", 'Influent Concentration'!Y80*HRT!B80/1000)</f>
        <v>0</v>
      </c>
      <c r="D80" s="181">
        <f>IF(HRT!B80="-", "-", 'Influent Concentration'!Z80*HRT!B80/1000)</f>
        <v>0</v>
      </c>
      <c r="E80" s="181">
        <f>IF(HRT!B80="-", "-", 'Influent Concentration'!AA80*HRT!B80/1000)</f>
        <v>0</v>
      </c>
      <c r="F80" s="181">
        <f>IF(HRT!B80="-", "-", 'Influent Concentration'!AB80*HRT!B80/1000)</f>
        <v>0.41426909844602589</v>
      </c>
      <c r="G80" s="181">
        <f>IF(HRT!B80="-", "-", 'Influent Concentration'!AC80*HRT!B80/1000)</f>
        <v>3.6554250166701302E-2</v>
      </c>
      <c r="H80" s="181">
        <f>IF(HRT!B80="-", "-", 'Influent Concentration'!AD80*HRT!B80/1000)</f>
        <v>0</v>
      </c>
      <c r="I80" s="181">
        <f>IF(HRT!B80="-", "-", 'Influent Concentration'!AE80*HRT!B80/1000)</f>
        <v>0</v>
      </c>
      <c r="J80" s="182">
        <f>Gas!W80-Gas!S80</f>
        <v>34.438222955800711</v>
      </c>
      <c r="K80">
        <f>IF(HRT!D80="-", "-", 'Effluent Concentration'!AK80*HRT!D80/1000)</f>
        <v>0</v>
      </c>
      <c r="L80">
        <f>IF(HRT!D80="-", "-", 'Effluent Concentration'!AL80*HRT!D80/1000)</f>
        <v>5.9086797508262946E-4</v>
      </c>
      <c r="M80">
        <f>IF(HRT!D80="-", "-", 'Effluent Concentration'!AM80*HRT!D80/1000)</f>
        <v>0</v>
      </c>
      <c r="N80">
        <f>IF(HRT!D80="-", "-", 'Effluent Concentration'!AN80*HRT!D80/1000)</f>
        <v>0</v>
      </c>
      <c r="O80">
        <f>IF(HRT!D80="-", "-", 'Effluent Concentration'!AO80*HRT!D80/1000)</f>
        <v>7.1430961809831306</v>
      </c>
      <c r="P80">
        <f>IF(HRT!D80="-", "-", 'Effluent Concentration'!AP80*HRT!D80/1000)</f>
        <v>6.0769471136277335E-2</v>
      </c>
      <c r="Q80">
        <f>IF(HRT!D80="-", "-", 'Effluent Concentration'!AQ80*HRT!D80/1000)</f>
        <v>6.8701294438869187E-2</v>
      </c>
      <c r="R80">
        <f>IF(HRT!D80="-", "-", 'Effluent Concentration'!AR80*HRT!D80/1000)</f>
        <v>4.5614195576597094</v>
      </c>
      <c r="S80">
        <f>IF(HRT!D80="-", "-", 'Effluent Concentration'!AS80*HRT!D80/1000)</f>
        <v>7.2220057537992918E-2</v>
      </c>
      <c r="T80">
        <f>IF(HRT!D80="-", "-", 'Effluent Concentration'!AT80*HRT!D80/1000)</f>
        <v>5.4165043153494685E-2</v>
      </c>
      <c r="U80">
        <f>IF(HRT!D80="-", "-", 'Effluent Concentration'!AU80*HRT!D80/1000)</f>
        <v>0.4532386175446263</v>
      </c>
      <c r="V80" s="113">
        <f>Gas!T80</f>
        <v>4.3611723393808775E-3</v>
      </c>
      <c r="W80" s="113">
        <f>Gas!U80+Gas!O80</f>
        <v>36.662755809457977</v>
      </c>
      <c r="X80" s="116">
        <f t="shared" si="15"/>
        <v>7.1065419308164293</v>
      </c>
      <c r="Y80" s="116">
        <f t="shared" si="16"/>
        <v>6.0769471136277335E-2</v>
      </c>
      <c r="Z80" s="116">
        <f t="shared" si="17"/>
        <v>6.8701294438869187E-2</v>
      </c>
      <c r="AA80" s="116">
        <f t="shared" si="18"/>
        <v>4.5614195576597094</v>
      </c>
      <c r="AB80" s="116">
        <f t="shared" si="19"/>
        <v>7.2220057537992918E-2</v>
      </c>
      <c r="AC80" s="116">
        <f t="shared" si="20"/>
        <v>5.4165043153494685E-2</v>
      </c>
      <c r="AD80" s="116">
        <f t="shared" si="21"/>
        <v>0.4532386175446263</v>
      </c>
      <c r="AE80" s="116">
        <f t="shared" si="22"/>
        <v>2.2245328536572657</v>
      </c>
      <c r="AF80" s="116">
        <f t="shared" si="23"/>
        <v>0</v>
      </c>
      <c r="AG80" s="116">
        <f t="shared" si="24"/>
        <v>5.9086797508262946E-4</v>
      </c>
      <c r="AH80" s="116">
        <f t="shared" si="25"/>
        <v>0</v>
      </c>
      <c r="AI80" s="116">
        <f t="shared" si="26"/>
        <v>0</v>
      </c>
      <c r="AJ80" s="116">
        <f t="shared" si="27"/>
        <v>-0.41426909844602589</v>
      </c>
      <c r="AK80" s="116">
        <f t="shared" si="28"/>
        <v>-14.187910595473722</v>
      </c>
      <c r="AL80" s="116"/>
      <c r="AM80" s="116"/>
      <c r="AN80" s="116"/>
      <c r="AO80" s="116"/>
      <c r="AP80" s="116"/>
      <c r="AQ80" s="116"/>
      <c r="AR80" s="116"/>
      <c r="AS80" s="116"/>
      <c r="AT80" s="116"/>
      <c r="AU80" s="116"/>
      <c r="AV80" s="116"/>
      <c r="AW80" s="116"/>
      <c r="AX80" s="116"/>
    </row>
    <row r="81" spans="1:50">
      <c r="A81" s="232">
        <f>Gas!A81</f>
        <v>171.86458333333576</v>
      </c>
      <c r="B81" s="181">
        <f>IF(HRT!B81="-", "-", 'Influent Concentration'!X81*HRT!B81/1000)</f>
        <v>0</v>
      </c>
      <c r="C81" s="181">
        <f>IF(HRT!B81="-", "-", 'Influent Concentration'!Y81*HRT!B81/1000)</f>
        <v>0</v>
      </c>
      <c r="D81" s="181">
        <f>IF(HRT!B81="-", "-", 'Influent Concentration'!Z81*HRT!B81/1000)</f>
        <v>0</v>
      </c>
      <c r="E81" s="181">
        <f>IF(HRT!B81="-", "-", 'Influent Concentration'!AA81*HRT!B81/1000)</f>
        <v>0</v>
      </c>
      <c r="F81" s="181">
        <f>IF(HRT!B81="-", "-", 'Influent Concentration'!AB81*HRT!B81/1000)</f>
        <v>0.41234886748588856</v>
      </c>
      <c r="G81" s="181">
        <f>IF(HRT!B81="-", "-", 'Influent Concentration'!AC81*HRT!B81/1000)</f>
        <v>4.6298930920369255E-2</v>
      </c>
      <c r="H81" s="181">
        <f>IF(HRT!B81="-", "-", 'Influent Concentration'!AD81*HRT!B81/1000)</f>
        <v>0</v>
      </c>
      <c r="I81" s="181">
        <f>IF(HRT!B81="-", "-", 'Influent Concentration'!AE81*HRT!B81/1000)</f>
        <v>0</v>
      </c>
      <c r="J81" s="182">
        <f>Gas!W81-Gas!S81</f>
        <v>34.310182091162119</v>
      </c>
      <c r="K81">
        <f>IF(HRT!D81="-", "-", 'Effluent Concentration'!AK81*HRT!D81/1000)</f>
        <v>0</v>
      </c>
      <c r="L81">
        <f>IF(HRT!D81="-", "-", 'Effluent Concentration'!AL81*HRT!D81/1000)</f>
        <v>5.8285940153477605E-4</v>
      </c>
      <c r="M81">
        <f>IF(HRT!D81="-", "-", 'Effluent Concentration'!AM81*HRT!D81/1000)</f>
        <v>3.6555897654886845E-3</v>
      </c>
      <c r="N81">
        <f>IF(HRT!D81="-", "-", 'Effluent Concentration'!AN81*HRT!D81/1000)</f>
        <v>0</v>
      </c>
      <c r="O81">
        <f>IF(HRT!D81="-", "-", 'Effluent Concentration'!AO81*HRT!D81/1000)</f>
        <v>6.8482397594372202</v>
      </c>
      <c r="P81">
        <f>IF(HRT!D81="-", "-", 'Effluent Concentration'!AP81*HRT!D81/1000)</f>
        <v>6.3501914161373949E-2</v>
      </c>
      <c r="Q81">
        <f>IF(HRT!D81="-", "-", 'Effluent Concentration'!AQ81*HRT!D81/1000)</f>
        <v>6.0366664204762915E-2</v>
      </c>
      <c r="R81">
        <f>IF(HRT!D81="-", "-", 'Effluent Concentration'!AR81*HRT!D81/1000)</f>
        <v>4.2723652345672765</v>
      </c>
      <c r="S81">
        <f>IF(HRT!D81="-", "-", 'Effluent Concentration'!AS81*HRT!D81/1000)</f>
        <v>6.0800673430122854E-2</v>
      </c>
      <c r="T81">
        <f>IF(HRT!D81="-", "-", 'Effluent Concentration'!AT81*HRT!D81/1000)</f>
        <v>7.062704489357706E-2</v>
      </c>
      <c r="U81">
        <f>IF(HRT!D81="-", "-", 'Effluent Concentration'!AU81*HRT!D81/1000)</f>
        <v>0.43413617172451363</v>
      </c>
      <c r="V81" s="113">
        <f>Gas!T81</f>
        <v>4.8388092856641194E-3</v>
      </c>
      <c r="W81" s="113">
        <f>Gas!U81+Gas!O81</f>
        <v>37.011229505820083</v>
      </c>
      <c r="X81" s="116">
        <f t="shared" si="15"/>
        <v>6.8019408285168508</v>
      </c>
      <c r="Y81" s="116">
        <f t="shared" si="16"/>
        <v>6.3501914161373949E-2</v>
      </c>
      <c r="Z81" s="116">
        <f t="shared" si="17"/>
        <v>6.0366664204762915E-2</v>
      </c>
      <c r="AA81" s="116">
        <f t="shared" si="18"/>
        <v>4.2723652345672765</v>
      </c>
      <c r="AB81" s="116">
        <f t="shared" si="19"/>
        <v>6.0800673430122854E-2</v>
      </c>
      <c r="AC81" s="116">
        <f t="shared" si="20"/>
        <v>7.062704489357706E-2</v>
      </c>
      <c r="AD81" s="116">
        <f t="shared" si="21"/>
        <v>0.43413617172451363</v>
      </c>
      <c r="AE81" s="116">
        <f t="shared" si="22"/>
        <v>2.7010474146579639</v>
      </c>
      <c r="AF81" s="116">
        <f t="shared" si="23"/>
        <v>0</v>
      </c>
      <c r="AG81" s="116">
        <f t="shared" si="24"/>
        <v>5.8285940153477605E-4</v>
      </c>
      <c r="AH81" s="116">
        <f t="shared" si="25"/>
        <v>3.6555897654886845E-3</v>
      </c>
      <c r="AI81" s="116">
        <f t="shared" si="26"/>
        <v>0</v>
      </c>
      <c r="AJ81" s="116">
        <f t="shared" si="27"/>
        <v>-0.41234886748588856</v>
      </c>
      <c r="AK81" s="116">
        <f t="shared" si="28"/>
        <v>-14.056675527837577</v>
      </c>
      <c r="AL81" s="116"/>
      <c r="AM81" s="116"/>
      <c r="AN81" s="116"/>
      <c r="AO81" s="116"/>
      <c r="AP81" s="116"/>
      <c r="AQ81" s="116"/>
      <c r="AR81" s="116"/>
      <c r="AS81" s="116"/>
      <c r="AT81" s="116"/>
      <c r="AU81" s="116"/>
      <c r="AV81" s="116"/>
      <c r="AW81" s="116"/>
      <c r="AX81" s="116"/>
    </row>
    <row r="82" spans="1:50">
      <c r="A82" s="232">
        <f>Gas!A82</f>
        <v>173.86805555555475</v>
      </c>
      <c r="B82" s="181">
        <f>IF(HRT!B82="-", "-", 'Influent Concentration'!X82*HRT!B82/1000)</f>
        <v>0</v>
      </c>
      <c r="C82" s="181">
        <f>IF(HRT!B82="-", "-", 'Influent Concentration'!Y82*HRT!B82/1000)</f>
        <v>0</v>
      </c>
      <c r="D82" s="181">
        <f>IF(HRT!B82="-", "-", 'Influent Concentration'!Z82*HRT!B82/1000)</f>
        <v>0</v>
      </c>
      <c r="E82" s="181">
        <f>IF(HRT!B82="-", "-", 'Influent Concentration'!AA82*HRT!B82/1000)</f>
        <v>0</v>
      </c>
      <c r="F82" s="181">
        <f>IF(HRT!B82="-", "-", 'Influent Concentration'!AB82*HRT!B82/1000)</f>
        <v>0.41001436783209255</v>
      </c>
      <c r="G82" s="181">
        <f>IF(HRT!B82="-", "-", 'Influent Concentration'!AC82*HRT!B82/1000)</f>
        <v>5.5894800549025937E-2</v>
      </c>
      <c r="H82" s="181">
        <f>IF(HRT!B82="-", "-", 'Influent Concentration'!AD82*HRT!B82/1000)</f>
        <v>0</v>
      </c>
      <c r="I82" s="181">
        <f>IF(HRT!B82="-", "-", 'Influent Concentration'!AE82*HRT!B82/1000)</f>
        <v>0</v>
      </c>
      <c r="J82" s="182">
        <f>Gas!W82-Gas!S82</f>
        <v>32.884277538219749</v>
      </c>
      <c r="K82">
        <f>IF(HRT!D82="-", "-", 'Effluent Concentration'!AK82*HRT!D82/1000)</f>
        <v>0</v>
      </c>
      <c r="L82">
        <f>IF(HRT!D82="-", "-", 'Effluent Concentration'!AL82*HRT!D82/1000)</f>
        <v>5.9250558594840081E-4</v>
      </c>
      <c r="M82">
        <f>IF(HRT!D82="-", "-", 'Effluent Concentration'!AM82*HRT!D82/1000)</f>
        <v>0</v>
      </c>
      <c r="N82">
        <f>IF(HRT!D82="-", "-", 'Effluent Concentration'!AN82*HRT!D82/1000)</f>
        <v>0</v>
      </c>
      <c r="O82">
        <f>IF(HRT!D82="-", "-", 'Effluent Concentration'!AO82*HRT!D82/1000)</f>
        <v>6.5687110071707746</v>
      </c>
      <c r="P82">
        <f>IF(HRT!D82="-", "-", 'Effluent Concentration'!AP82*HRT!D82/1000)</f>
        <v>5.8355781581286993E-2</v>
      </c>
      <c r="Q82">
        <f>IF(HRT!D82="-", "-", 'Effluent Concentration'!AQ82*HRT!D82/1000)</f>
        <v>6.483924934923796E-2</v>
      </c>
      <c r="R82">
        <f>IF(HRT!D82="-", "-", 'Effluent Concentration'!AR82*HRT!D82/1000)</f>
        <v>4.1161344899382311</v>
      </c>
      <c r="S82">
        <f>IF(HRT!D82="-", "-", 'Effluent Concentration'!AS82*HRT!D82/1000)</f>
        <v>5.5563787875654885E-2</v>
      </c>
      <c r="T82">
        <f>IF(HRT!D82="-", "-", 'Effluent Concentration'!AT82*HRT!D82/1000)</f>
        <v>4.9944977865757197E-2</v>
      </c>
      <c r="U82">
        <f>IF(HRT!D82="-", "-", 'Effluent Concentration'!AU82*HRT!D82/1000)</f>
        <v>0.42221906738436082</v>
      </c>
      <c r="V82" s="113">
        <f>Gas!T82</f>
        <v>6.9420686863612214E-3</v>
      </c>
      <c r="W82" s="113">
        <f>Gas!U82+Gas!O82</f>
        <v>36.9894038846993</v>
      </c>
      <c r="X82" s="116">
        <f t="shared" si="15"/>
        <v>6.512816206621749</v>
      </c>
      <c r="Y82" s="116">
        <f t="shared" si="16"/>
        <v>5.8355781581286993E-2</v>
      </c>
      <c r="Z82" s="116">
        <f t="shared" si="17"/>
        <v>6.483924934923796E-2</v>
      </c>
      <c r="AA82" s="116">
        <f t="shared" si="18"/>
        <v>4.1161344899382311</v>
      </c>
      <c r="AB82" s="116">
        <f t="shared" si="19"/>
        <v>5.5563787875654885E-2</v>
      </c>
      <c r="AC82" s="116">
        <f t="shared" si="20"/>
        <v>4.9944977865757197E-2</v>
      </c>
      <c r="AD82" s="116">
        <f t="shared" si="21"/>
        <v>0.42221906738436082</v>
      </c>
      <c r="AE82" s="116">
        <f t="shared" si="22"/>
        <v>4.1051263464795511</v>
      </c>
      <c r="AF82" s="116">
        <f t="shared" si="23"/>
        <v>0</v>
      </c>
      <c r="AG82" s="116">
        <f t="shared" si="24"/>
        <v>5.9250558594840081E-4</v>
      </c>
      <c r="AH82" s="116">
        <f t="shared" si="25"/>
        <v>0</v>
      </c>
      <c r="AI82" s="116">
        <f t="shared" si="26"/>
        <v>0</v>
      </c>
      <c r="AJ82" s="116">
        <f t="shared" si="27"/>
        <v>-0.41001436783209255</v>
      </c>
      <c r="AK82" s="116">
        <f t="shared" si="28"/>
        <v>-14.975578044849687</v>
      </c>
      <c r="AL82" s="116"/>
      <c r="AM82" s="116"/>
      <c r="AN82" s="116"/>
      <c r="AO82" s="116"/>
      <c r="AP82" s="116"/>
      <c r="AQ82" s="116"/>
      <c r="AR82" s="116"/>
      <c r="AS82" s="116"/>
      <c r="AT82" s="116"/>
      <c r="AU82" s="116"/>
      <c r="AV82" s="116"/>
      <c r="AW82" s="116"/>
      <c r="AX82" s="116"/>
    </row>
    <row r="83" spans="1:50">
      <c r="A83" s="232">
        <f>Gas!A83</f>
        <v>175.80694444444816</v>
      </c>
      <c r="B83" s="181">
        <f>IF(HRT!B83="-", "-", 'Influent Concentration'!X83*HRT!B83/1000)</f>
        <v>0</v>
      </c>
      <c r="C83" s="181">
        <f>IF(HRT!B83="-", "-", 'Influent Concentration'!Y83*HRT!B83/1000)</f>
        <v>0</v>
      </c>
      <c r="D83" s="181">
        <f>IF(HRT!B83="-", "-", 'Influent Concentration'!Z83*HRT!B83/1000)</f>
        <v>0</v>
      </c>
      <c r="E83" s="181">
        <f>IF(HRT!B83="-", "-", 'Influent Concentration'!AA83*HRT!B83/1000)</f>
        <v>0</v>
      </c>
      <c r="F83" s="181">
        <f>IF(HRT!B83="-", "-", 'Influent Concentration'!AB83*HRT!B83/1000)</f>
        <v>0.4083109440340339</v>
      </c>
      <c r="G83" s="181">
        <f>IF(HRT!B83="-", "-", 'Influent Concentration'!AC83*HRT!B83/1000)</f>
        <v>6.5479617033408072E-2</v>
      </c>
      <c r="H83" s="181">
        <f>IF(HRT!B83="-", "-", 'Influent Concentration'!AD83*HRT!B83/1000)</f>
        <v>0</v>
      </c>
      <c r="I83" s="181">
        <f>IF(HRT!B83="-", "-", 'Influent Concentration'!AE83*HRT!B83/1000)</f>
        <v>0</v>
      </c>
      <c r="J83" s="182">
        <f>Gas!W83-Gas!S83</f>
        <v>33.565352716305824</v>
      </c>
      <c r="K83">
        <f>IF(HRT!D83="-", "-", 'Effluent Concentration'!AK83*HRT!D83/1000)</f>
        <v>0</v>
      </c>
      <c r="L83">
        <f>IF(HRT!D83="-", "-", 'Effluent Concentration'!AL83*HRT!D83/1000)</f>
        <v>5.6856859706980818E-4</v>
      </c>
      <c r="M83">
        <f>IF(HRT!D83="-", "-", 'Effluent Concentration'!AM83*HRT!D83/1000)</f>
        <v>0</v>
      </c>
      <c r="N83">
        <f>IF(HRT!D83="-", "-", 'Effluent Concentration'!AN83*HRT!D83/1000)</f>
        <v>0</v>
      </c>
      <c r="O83">
        <f>IF(HRT!D83="-", "-", 'Effluent Concentration'!AO83*HRT!D83/1000)</f>
        <v>6.2870352695117226</v>
      </c>
      <c r="P83">
        <f>IF(HRT!D83="-", "-", 'Effluent Concentration'!AP83*HRT!D83/1000)</f>
        <v>4.6087039941837875E-2</v>
      </c>
      <c r="Q83">
        <f>IF(HRT!D83="-", "-", 'Effluent Concentration'!AQ83*HRT!D83/1000)</f>
        <v>4.6664827191307934E-2</v>
      </c>
      <c r="R83">
        <f>IF(HRT!D83="-", "-", 'Effluent Concentration'!AR83*HRT!D83/1000)</f>
        <v>3.8609589164236917</v>
      </c>
      <c r="S83">
        <f>IF(HRT!D83="-", "-", 'Effluent Concentration'!AS83*HRT!D83/1000)</f>
        <v>5.5116303828454678E-2</v>
      </c>
      <c r="T83">
        <f>IF(HRT!D83="-", "-", 'Effluent Concentration'!AT83*HRT!D83/1000)</f>
        <v>4.9724491497410185E-2</v>
      </c>
      <c r="U83">
        <f>IF(HRT!D83="-", "-", 'Effluent Concentration'!AU83*HRT!D83/1000)</f>
        <v>0.40642574051496227</v>
      </c>
      <c r="V83" s="113">
        <f>Gas!T83</f>
        <v>5.722222535754256E-3</v>
      </c>
      <c r="W83" s="113">
        <f>Gas!U83+Gas!O83</f>
        <v>36.854560079342093</v>
      </c>
      <c r="X83" s="116">
        <f t="shared" si="15"/>
        <v>6.2215556524783144</v>
      </c>
      <c r="Y83" s="116">
        <f t="shared" si="16"/>
        <v>4.6087039941837875E-2</v>
      </c>
      <c r="Z83" s="116">
        <f t="shared" si="17"/>
        <v>4.6664827191307934E-2</v>
      </c>
      <c r="AA83" s="116">
        <f t="shared" si="18"/>
        <v>3.8609589164236917</v>
      </c>
      <c r="AB83" s="116">
        <f t="shared" si="19"/>
        <v>5.5116303828454678E-2</v>
      </c>
      <c r="AC83" s="116">
        <f t="shared" si="20"/>
        <v>4.9724491497410185E-2</v>
      </c>
      <c r="AD83" s="116">
        <f t="shared" si="21"/>
        <v>0.40642574051496227</v>
      </c>
      <c r="AE83" s="116">
        <f t="shared" si="22"/>
        <v>3.2892073630362688</v>
      </c>
      <c r="AF83" s="116">
        <f t="shared" si="23"/>
        <v>0</v>
      </c>
      <c r="AG83" s="116">
        <f t="shared" si="24"/>
        <v>5.6856859706980818E-4</v>
      </c>
      <c r="AH83" s="116">
        <f t="shared" si="25"/>
        <v>0</v>
      </c>
      <c r="AI83" s="116">
        <f t="shared" si="26"/>
        <v>0</v>
      </c>
      <c r="AJ83" s="116">
        <f t="shared" si="27"/>
        <v>-0.4083109440340339</v>
      </c>
      <c r="AK83" s="116">
        <f t="shared" si="28"/>
        <v>-13.567997959475282</v>
      </c>
      <c r="AL83" s="116"/>
      <c r="AM83" s="116"/>
      <c r="AN83" s="116"/>
      <c r="AO83" s="116"/>
      <c r="AP83" s="116"/>
      <c r="AQ83" s="116"/>
      <c r="AR83" s="116"/>
      <c r="AS83" s="116"/>
      <c r="AT83" s="116"/>
      <c r="AU83" s="116"/>
      <c r="AV83" s="116"/>
      <c r="AW83" s="116"/>
      <c r="AX83" s="116"/>
    </row>
    <row r="84" spans="1:50">
      <c r="A84" s="232">
        <f>Gas!A84</f>
        <v>179.02430555555475</v>
      </c>
      <c r="B84" s="181">
        <f>IF(HRT!B84="-", "-", 'Influent Concentration'!X84*HRT!B84/1000)</f>
        <v>0</v>
      </c>
      <c r="C84" s="181">
        <f>IF(HRT!B84="-", "-", 'Influent Concentration'!Y84*HRT!B84/1000)</f>
        <v>0</v>
      </c>
      <c r="D84" s="181">
        <f>IF(HRT!B84="-", "-", 'Influent Concentration'!Z84*HRT!B84/1000)</f>
        <v>0</v>
      </c>
      <c r="E84" s="181">
        <f>IF(HRT!B84="-", "-", 'Influent Concentration'!AA84*HRT!B84/1000)</f>
        <v>0</v>
      </c>
      <c r="F84" s="181">
        <f>IF(HRT!B84="-", "-", 'Influent Concentration'!AB84*HRT!B84/1000)</f>
        <v>0.41139460393458499</v>
      </c>
      <c r="G84" s="181">
        <f>IF(HRT!B84="-", "-", 'Influent Concentration'!AC84*HRT!B84/1000)</f>
        <v>7.5865309019337399E-2</v>
      </c>
      <c r="H84" s="181">
        <f>IF(HRT!B84="-", "-", 'Influent Concentration'!AD84*HRT!B84/1000)</f>
        <v>0</v>
      </c>
      <c r="I84" s="181">
        <f>IF(HRT!B84="-", "-", 'Influent Concentration'!AE84*HRT!B84/1000)</f>
        <v>0</v>
      </c>
      <c r="J84" s="182">
        <f>Gas!W84-Gas!S84</f>
        <v>34.173485426077718</v>
      </c>
      <c r="K84">
        <f>IF(HRT!D84="-", "-", 'Effluent Concentration'!AK84*HRT!D84/1000)</f>
        <v>0</v>
      </c>
      <c r="L84">
        <f>IF(HRT!D84="-", "-", 'Effluent Concentration'!AL84*HRT!D84/1000)</f>
        <v>5.8530623564509985E-4</v>
      </c>
      <c r="M84">
        <f>IF(HRT!D84="-", "-", 'Effluent Concentration'!AM84*HRT!D84/1000)</f>
        <v>0</v>
      </c>
      <c r="N84">
        <f>IF(HRT!D84="-", "-", 'Effluent Concentration'!AN84*HRT!D84/1000)</f>
        <v>0</v>
      </c>
      <c r="O84">
        <f>IF(HRT!D84="-", "-", 'Effluent Concentration'!AO84*HRT!D84/1000)</f>
        <v>6.4190401085877795</v>
      </c>
      <c r="P84">
        <f>IF(HRT!D84="-", "-", 'Effluent Concentration'!AP84*HRT!D84/1000)</f>
        <v>5.2290165198792329E-2</v>
      </c>
      <c r="Q84">
        <f>IF(HRT!D84="-", "-", 'Effluent Concentration'!AQ84*HRT!D84/1000)</f>
        <v>5.6616869468187246E-2</v>
      </c>
      <c r="R84">
        <f>IF(HRT!D84="-", "-", 'Effluent Concentration'!AR84*HRT!D84/1000)</f>
        <v>3.8791133899264043</v>
      </c>
      <c r="S84">
        <f>IF(HRT!D84="-", "-", 'Effluent Concentration'!AS84*HRT!D84/1000)</f>
        <v>6.5372998453304423E-2</v>
      </c>
      <c r="T84">
        <f>IF(HRT!D84="-", "-", 'Effluent Concentration'!AT84*HRT!D84/1000)</f>
        <v>5.1188291241738362E-2</v>
      </c>
      <c r="U84">
        <f>IF(HRT!D84="-", "-", 'Effluent Concentration'!AU84*HRT!D84/1000)</f>
        <v>0.44246551397400458</v>
      </c>
      <c r="V84" s="113">
        <f>Gas!T84</f>
        <v>6.9618260832576412E-3</v>
      </c>
      <c r="W84" s="113">
        <f>Gas!U84+Gas!O84</f>
        <v>37.090214058804158</v>
      </c>
      <c r="X84" s="116">
        <f t="shared" si="15"/>
        <v>6.343174799568442</v>
      </c>
      <c r="Y84" s="116">
        <f t="shared" si="16"/>
        <v>5.2290165198792329E-2</v>
      </c>
      <c r="Z84" s="116">
        <f t="shared" si="17"/>
        <v>5.6616869468187246E-2</v>
      </c>
      <c r="AA84" s="116">
        <f t="shared" si="18"/>
        <v>3.8791133899264043</v>
      </c>
      <c r="AB84" s="116">
        <f t="shared" si="19"/>
        <v>6.5372998453304423E-2</v>
      </c>
      <c r="AC84" s="116">
        <f t="shared" si="20"/>
        <v>5.1188291241738362E-2</v>
      </c>
      <c r="AD84" s="116">
        <f t="shared" si="21"/>
        <v>0.44246551397400458</v>
      </c>
      <c r="AE84" s="116">
        <f t="shared" si="22"/>
        <v>2.9167286327264392</v>
      </c>
      <c r="AF84" s="116">
        <f t="shared" si="23"/>
        <v>0</v>
      </c>
      <c r="AG84" s="116">
        <f t="shared" si="24"/>
        <v>5.8530623564509985E-4</v>
      </c>
      <c r="AH84" s="116">
        <f t="shared" si="25"/>
        <v>0</v>
      </c>
      <c r="AI84" s="116">
        <f t="shared" si="26"/>
        <v>0</v>
      </c>
      <c r="AJ84" s="116">
        <f t="shared" si="27"/>
        <v>-0.41139460393458499</v>
      </c>
      <c r="AK84" s="116">
        <f t="shared" si="28"/>
        <v>-13.396141362858373</v>
      </c>
      <c r="AL84" s="116"/>
      <c r="AM84" s="116"/>
      <c r="AN84" s="116"/>
      <c r="AO84" s="116"/>
      <c r="AP84" s="116"/>
      <c r="AQ84" s="116"/>
      <c r="AR84" s="116"/>
      <c r="AS84" s="116"/>
      <c r="AT84" s="116"/>
      <c r="AU84" s="116"/>
      <c r="AV84" s="116"/>
      <c r="AW84" s="116"/>
      <c r="AX84" s="116"/>
    </row>
    <row r="85" spans="1:50">
      <c r="A85" s="232">
        <f>Gas!A85</f>
        <v>180.88125000000582</v>
      </c>
      <c r="B85" s="181">
        <f>IF(HRT!B85="-", "-", 'Influent Concentration'!X85*HRT!B85/1000)</f>
        <v>0</v>
      </c>
      <c r="C85" s="181">
        <f>IF(HRT!B85="-", "-", 'Influent Concentration'!Y85*HRT!B85/1000)</f>
        <v>0</v>
      </c>
      <c r="D85" s="181">
        <f>IF(HRT!B85="-", "-", 'Influent Concentration'!Z85*HRT!B85/1000)</f>
        <v>0</v>
      </c>
      <c r="E85" s="181">
        <f>IF(HRT!B85="-", "-", 'Influent Concentration'!AA85*HRT!B85/1000)</f>
        <v>0</v>
      </c>
      <c r="F85" s="181">
        <f>IF(HRT!B85="-", "-", 'Influent Concentration'!AB85*HRT!B85/1000)</f>
        <v>0.40618761843336743</v>
      </c>
      <c r="G85" s="181">
        <f>IF(HRT!B85="-", "-", 'Influent Concentration'!AC85*HRT!B85/1000)</f>
        <v>8.467107128970322E-2</v>
      </c>
      <c r="H85" s="181">
        <f>IF(HRT!B85="-", "-", 'Influent Concentration'!AD85*HRT!B85/1000)</f>
        <v>0</v>
      </c>
      <c r="I85" s="181">
        <f>IF(HRT!B85="-", "-", 'Influent Concentration'!AE85*HRT!B85/1000)</f>
        <v>0</v>
      </c>
      <c r="J85" s="182">
        <f>Gas!W85-Gas!S85</f>
        <v>33.71679797487991</v>
      </c>
      <c r="K85">
        <f>IF(HRT!D85="-", "-", 'Effluent Concentration'!AK85*HRT!D85/1000)</f>
        <v>0</v>
      </c>
      <c r="L85">
        <f>IF(HRT!D85="-", "-", 'Effluent Concentration'!AL85*HRT!D85/1000)</f>
        <v>5.825299787053941E-4</v>
      </c>
      <c r="M85">
        <f>IF(HRT!D85="-", "-", 'Effluent Concentration'!AM85*HRT!D85/1000)</f>
        <v>0</v>
      </c>
      <c r="N85">
        <f>IF(HRT!D85="-", "-", 'Effluent Concentration'!AN85*HRT!D85/1000)</f>
        <v>0</v>
      </c>
      <c r="O85">
        <f>IF(HRT!D85="-", "-", 'Effluent Concentration'!AO85*HRT!D85/1000)</f>
        <v>6.2299168403741678</v>
      </c>
      <c r="P85">
        <f>IF(HRT!D85="-", "-", 'Effluent Concentration'!AP85*HRT!D85/1000)</f>
        <v>4.874190634997045E-2</v>
      </c>
      <c r="Q85">
        <f>IF(HRT!D85="-", "-", 'Effluent Concentration'!AQ85*HRT!D85/1000)</f>
        <v>5.2933271428980903E-2</v>
      </c>
      <c r="R85">
        <f>IF(HRT!D85="-", "-", 'Effluent Concentration'!AR85*HRT!D85/1000)</f>
        <v>3.7887131319033474</v>
      </c>
      <c r="S85">
        <f>IF(HRT!D85="-", "-", 'Effluent Concentration'!AS85*HRT!D85/1000)</f>
        <v>6.2300812634324625E-2</v>
      </c>
      <c r="T85">
        <f>IF(HRT!D85="-", "-", 'Effluent Concentration'!AT85*HRT!D85/1000)</f>
        <v>5.3400696543706813E-2</v>
      </c>
      <c r="U85">
        <f>IF(HRT!D85="-", "-", 'Effluent Concentration'!AU85*HRT!D85/1000)</f>
        <v>0.42158643878167024</v>
      </c>
      <c r="V85" s="113">
        <f>Gas!T85</f>
        <v>7.8236211275937387E-3</v>
      </c>
      <c r="W85" s="113">
        <f>Gas!U85+Gas!O85</f>
        <v>36.852811481786873</v>
      </c>
      <c r="X85" s="116">
        <f t="shared" si="15"/>
        <v>6.1452457690844646</v>
      </c>
      <c r="Y85" s="116">
        <f t="shared" si="16"/>
        <v>4.874190634997045E-2</v>
      </c>
      <c r="Z85" s="116">
        <f t="shared" si="17"/>
        <v>5.2933271428980903E-2</v>
      </c>
      <c r="AA85" s="116">
        <f t="shared" si="18"/>
        <v>3.7887131319033474</v>
      </c>
      <c r="AB85" s="116">
        <f t="shared" si="19"/>
        <v>6.2300812634324625E-2</v>
      </c>
      <c r="AC85" s="116">
        <f t="shared" si="20"/>
        <v>5.3400696543706813E-2</v>
      </c>
      <c r="AD85" s="116">
        <f t="shared" si="21"/>
        <v>0.42158643878167024</v>
      </c>
      <c r="AE85" s="116">
        <f t="shared" si="22"/>
        <v>3.1360135069069628</v>
      </c>
      <c r="AF85" s="116">
        <f t="shared" si="23"/>
        <v>0</v>
      </c>
      <c r="AG85" s="116">
        <f t="shared" si="24"/>
        <v>5.825299787053941E-4</v>
      </c>
      <c r="AH85" s="116">
        <f t="shared" si="25"/>
        <v>0</v>
      </c>
      <c r="AI85" s="116">
        <f t="shared" si="26"/>
        <v>0</v>
      </c>
      <c r="AJ85" s="116">
        <f t="shared" si="27"/>
        <v>-0.40618761843336743</v>
      </c>
      <c r="AK85" s="116">
        <f t="shared" si="28"/>
        <v>-13.303330445178766</v>
      </c>
      <c r="AL85" s="116"/>
      <c r="AM85" s="116"/>
      <c r="AN85" s="116"/>
      <c r="AO85" s="116"/>
      <c r="AP85" s="116"/>
      <c r="AQ85" s="116"/>
      <c r="AR85" s="116"/>
      <c r="AS85" s="116"/>
      <c r="AT85" s="116"/>
      <c r="AU85" s="116"/>
      <c r="AV85" s="116"/>
      <c r="AW85" s="116"/>
      <c r="AX85" s="116"/>
    </row>
    <row r="86" spans="1:50">
      <c r="A86" s="232">
        <f>Gas!A86</f>
        <v>183.0048611111124</v>
      </c>
      <c r="B86" s="181">
        <f>IF(HRT!B86="-", "-", 'Influent Concentration'!X86*HRT!B86/1000)</f>
        <v>0</v>
      </c>
      <c r="C86" s="181">
        <f>IF(HRT!B86="-", "-", 'Influent Concentration'!Y86*HRT!B86/1000)</f>
        <v>0</v>
      </c>
      <c r="D86" s="181">
        <f>IF(HRT!B86="-", "-", 'Influent Concentration'!Z86*HRT!B86/1000)</f>
        <v>0</v>
      </c>
      <c r="E86" s="181">
        <f>IF(HRT!B86="-", "-", 'Influent Concentration'!AA86*HRT!B86/1000)</f>
        <v>0</v>
      </c>
      <c r="F86" s="181">
        <f>IF(HRT!B86="-", "-", 'Influent Concentration'!AB86*HRT!B86/1000)</f>
        <v>0.40899712908502972</v>
      </c>
      <c r="G86" s="181">
        <f>IF(HRT!B86="-", "-", 'Influent Concentration'!AC86*HRT!B86/1000)</f>
        <v>9.5090254524310067E-2</v>
      </c>
      <c r="H86" s="181">
        <f>IF(HRT!B86="-", "-", 'Influent Concentration'!AD86*HRT!B86/1000)</f>
        <v>0</v>
      </c>
      <c r="I86" s="181">
        <f>IF(HRT!B86="-", "-", 'Influent Concentration'!AE86*HRT!B86/1000)</f>
        <v>0</v>
      </c>
      <c r="J86" s="182">
        <f>Gas!W86-Gas!S86</f>
        <v>34.33962019005196</v>
      </c>
      <c r="K86">
        <f>IF(HRT!D86="-", "-", 'Effluent Concentration'!AK86*HRT!D86/1000)</f>
        <v>0</v>
      </c>
      <c r="L86">
        <f>IF(HRT!D86="-", "-", 'Effluent Concentration'!AL86*HRT!D86/1000)</f>
        <v>5.8158186961508628E-4</v>
      </c>
      <c r="M86">
        <f>IF(HRT!D86="-", "-", 'Effluent Concentration'!AM86*HRT!D86/1000)</f>
        <v>4.58552576631986E-3</v>
      </c>
      <c r="N86">
        <f>IF(HRT!D86="-", "-", 'Effluent Concentration'!AN86*HRT!D86/1000)</f>
        <v>0</v>
      </c>
      <c r="O86">
        <f>IF(HRT!D86="-", "-", 'Effluent Concentration'!AO86*HRT!D86/1000)</f>
        <v>6.0855389101372914</v>
      </c>
      <c r="P86">
        <f>IF(HRT!D86="-", "-", 'Effluent Concentration'!AP86*HRT!D86/1000)</f>
        <v>5.5252299175682466E-2</v>
      </c>
      <c r="Q86">
        <f>IF(HRT!D86="-", "-", 'Effluent Concentration'!AQ86*HRT!D86/1000)</f>
        <v>5.3415367342927025E-2</v>
      </c>
      <c r="R86">
        <f>IF(HRT!D86="-", "-", 'Effluent Concentration'!AR86*HRT!D86/1000)</f>
        <v>3.6541225499860888</v>
      </c>
      <c r="S86">
        <f>IF(HRT!D86="-", "-", 'Effluent Concentration'!AS86*HRT!D86/1000)</f>
        <v>6.1280210461131385E-2</v>
      </c>
      <c r="T86">
        <f>IF(HRT!D86="-", "-", 'Effluent Concentration'!AT86*HRT!D86/1000)</f>
        <v>4.9943371525822067E-2</v>
      </c>
      <c r="U86">
        <f>IF(HRT!D86="-", "-", 'Effluent Concentration'!AU86*HRT!D86/1000)</f>
        <v>0.41314174633456896</v>
      </c>
      <c r="V86" s="113">
        <f>Gas!T86</f>
        <v>7.0571147745187709E-3</v>
      </c>
      <c r="W86" s="113">
        <f>Gas!U86+Gas!O86</f>
        <v>36.630547671419187</v>
      </c>
      <c r="X86" s="116">
        <f t="shared" si="15"/>
        <v>5.9904486556129815</v>
      </c>
      <c r="Y86" s="116">
        <f t="shared" si="16"/>
        <v>5.5252299175682466E-2</v>
      </c>
      <c r="Z86" s="116">
        <f t="shared" si="17"/>
        <v>5.3415367342927025E-2</v>
      </c>
      <c r="AA86" s="116">
        <f t="shared" si="18"/>
        <v>3.6541225499860888</v>
      </c>
      <c r="AB86" s="116">
        <f t="shared" si="19"/>
        <v>6.1280210461131385E-2</v>
      </c>
      <c r="AC86" s="116">
        <f t="shared" si="20"/>
        <v>4.9943371525822067E-2</v>
      </c>
      <c r="AD86" s="116">
        <f t="shared" si="21"/>
        <v>0.41314174633456896</v>
      </c>
      <c r="AE86" s="116">
        <f t="shared" si="22"/>
        <v>2.2909274813672269</v>
      </c>
      <c r="AF86" s="116">
        <f t="shared" si="23"/>
        <v>0</v>
      </c>
      <c r="AG86" s="116">
        <f t="shared" si="24"/>
        <v>5.8158186961508628E-4</v>
      </c>
      <c r="AH86" s="116">
        <f t="shared" si="25"/>
        <v>4.58552576631986E-3</v>
      </c>
      <c r="AI86" s="116">
        <f t="shared" si="26"/>
        <v>0</v>
      </c>
      <c r="AJ86" s="116">
        <f t="shared" si="27"/>
        <v>-0.40899712908502972</v>
      </c>
      <c r="AK86" s="116">
        <f t="shared" si="28"/>
        <v>-12.164701660357334</v>
      </c>
      <c r="AL86" s="116"/>
      <c r="AM86" s="116"/>
      <c r="AN86" s="116"/>
      <c r="AO86" s="116"/>
      <c r="AP86" s="116"/>
      <c r="AQ86" s="116"/>
      <c r="AR86" s="116"/>
      <c r="AS86" s="116"/>
      <c r="AT86" s="116"/>
      <c r="AU86" s="116"/>
      <c r="AV86" s="116"/>
      <c r="AW86" s="116"/>
      <c r="AX86" s="116"/>
    </row>
    <row r="87" spans="1:50">
      <c r="A87" s="232">
        <f>Gas!A87</f>
        <v>186.01666666667006</v>
      </c>
      <c r="B87" s="181">
        <f>IF(HRT!B87="-", "-", 'Influent Concentration'!X87*HRT!B87/1000)</f>
        <v>0</v>
      </c>
      <c r="C87" s="181">
        <f>IF(HRT!B87="-", "-", 'Influent Concentration'!Y87*HRT!B87/1000)</f>
        <v>0</v>
      </c>
      <c r="D87" s="181">
        <f>IF(HRT!B87="-", "-", 'Influent Concentration'!Z87*HRT!B87/1000)</f>
        <v>0</v>
      </c>
      <c r="E87" s="181">
        <f>IF(HRT!B87="-", "-", 'Influent Concentration'!AA87*HRT!B87/1000)</f>
        <v>0</v>
      </c>
      <c r="F87" s="181">
        <f>IF(HRT!B87="-", "-", 'Influent Concentration'!AB87*HRT!B87/1000)</f>
        <v>0.40865631055141372</v>
      </c>
      <c r="G87" s="181">
        <f>IF(HRT!B87="-", "-", 'Influent Concentration'!AC87*HRT!B87/1000)</f>
        <v>0.10483635322720675</v>
      </c>
      <c r="H87" s="181">
        <f>IF(HRT!B87="-", "-", 'Influent Concentration'!AD87*HRT!B87/1000)</f>
        <v>0</v>
      </c>
      <c r="I87" s="181">
        <f>IF(HRT!B87="-", "-", 'Influent Concentration'!AE87*HRT!B87/1000)</f>
        <v>0</v>
      </c>
      <c r="J87" s="182">
        <f>Gas!W87-Gas!S87</f>
        <v>34.196847624678412</v>
      </c>
      <c r="K87">
        <f>IF(HRT!D87="-", "-", 'Effluent Concentration'!AK87*HRT!D87/1000)</f>
        <v>0</v>
      </c>
      <c r="L87">
        <f>IF(HRT!D87="-", "-", 'Effluent Concentration'!AL87*HRT!D87/1000)</f>
        <v>5.7440644867704047E-4</v>
      </c>
      <c r="M87">
        <f>IF(HRT!D87="-", "-", 'Effluent Concentration'!AM87*HRT!D87/1000)</f>
        <v>0</v>
      </c>
      <c r="N87">
        <f>IF(HRT!D87="-", "-", 'Effluent Concentration'!AN87*HRT!D87/1000)</f>
        <v>0</v>
      </c>
      <c r="O87">
        <f>IF(HRT!D87="-", "-", 'Effluent Concentration'!AO87*HRT!D87/1000)</f>
        <v>5.9579593870174419</v>
      </c>
      <c r="P87">
        <f>IF(HRT!D87="-", "-", 'Effluent Concentration'!AP87*HRT!D87/1000)</f>
        <v>4.3055710046518814E-2</v>
      </c>
      <c r="Q87">
        <f>IF(HRT!D87="-", "-", 'Effluent Concentration'!AQ87*HRT!D87/1000)</f>
        <v>4.9950152693541833E-2</v>
      </c>
      <c r="R87">
        <f>IF(HRT!D87="-", "-", 'Effluent Concentration'!AR87*HRT!D87/1000)</f>
        <v>3.5214857648946984</v>
      </c>
      <c r="S87">
        <f>IF(HRT!D87="-", "-", 'Effluent Concentration'!AS87*HRT!D87/1000)</f>
        <v>5.5379596858715442E-2</v>
      </c>
      <c r="T87">
        <f>IF(HRT!D87="-", "-", 'Effluent Concentration'!AT87*HRT!D87/1000)</f>
        <v>4.297214619638029E-2</v>
      </c>
      <c r="U87">
        <f>IF(HRT!D87="-", "-", 'Effluent Concentration'!AU87*HRT!D87/1000)</f>
        <v>0.38761034682502704</v>
      </c>
      <c r="V87" s="113">
        <f>Gas!T87</f>
        <v>7.3687138681145211E-3</v>
      </c>
      <c r="W87" s="113">
        <f>Gas!U87+Gas!O87</f>
        <v>36.744089771549653</v>
      </c>
      <c r="X87" s="116">
        <f t="shared" si="15"/>
        <v>5.8531230337902347</v>
      </c>
      <c r="Y87" s="116">
        <f t="shared" si="16"/>
        <v>4.3055710046518814E-2</v>
      </c>
      <c r="Z87" s="116">
        <f t="shared" si="17"/>
        <v>4.9950152693541833E-2</v>
      </c>
      <c r="AA87" s="116">
        <f t="shared" si="18"/>
        <v>3.5214857648946984</v>
      </c>
      <c r="AB87" s="116">
        <f t="shared" si="19"/>
        <v>5.5379596858715442E-2</v>
      </c>
      <c r="AC87" s="116">
        <f t="shared" si="20"/>
        <v>4.297214619638029E-2</v>
      </c>
      <c r="AD87" s="116">
        <f t="shared" si="21"/>
        <v>0.38761034682502704</v>
      </c>
      <c r="AE87" s="116">
        <f t="shared" si="22"/>
        <v>2.5472421468712412</v>
      </c>
      <c r="AF87" s="116">
        <f t="shared" si="23"/>
        <v>0</v>
      </c>
      <c r="AG87" s="116">
        <f t="shared" si="24"/>
        <v>5.7440644867704047E-4</v>
      </c>
      <c r="AH87" s="116">
        <f t="shared" si="25"/>
        <v>0</v>
      </c>
      <c r="AI87" s="116">
        <f t="shared" si="26"/>
        <v>0</v>
      </c>
      <c r="AJ87" s="116">
        <f t="shared" si="27"/>
        <v>-0.40865631055141372</v>
      </c>
      <c r="AK87" s="116">
        <f t="shared" si="28"/>
        <v>-12.092736994073622</v>
      </c>
      <c r="AL87" s="116"/>
      <c r="AM87" s="116"/>
      <c r="AN87" s="116"/>
      <c r="AO87" s="116"/>
      <c r="AP87" s="116"/>
      <c r="AQ87" s="116"/>
      <c r="AR87" s="116"/>
      <c r="AS87" s="116"/>
      <c r="AT87" s="116"/>
      <c r="AU87" s="116"/>
      <c r="AV87" s="116"/>
      <c r="AW87" s="116"/>
      <c r="AX87" s="116"/>
    </row>
    <row r="88" spans="1:50">
      <c r="A88" s="232">
        <f>Gas!A88</f>
        <v>187.90763888889342</v>
      </c>
      <c r="B88" s="181">
        <f>IF(HRT!B88="-", "-", 'Influent Concentration'!X88*HRT!B88/1000)</f>
        <v>0</v>
      </c>
      <c r="C88" s="181">
        <f>IF(HRT!B88="-", "-", 'Influent Concentration'!Y88*HRT!B88/1000)</f>
        <v>0</v>
      </c>
      <c r="D88" s="181">
        <f>IF(HRT!B88="-", "-", 'Influent Concentration'!Z88*HRT!B88/1000)</f>
        <v>0</v>
      </c>
      <c r="E88" s="181">
        <f>IF(HRT!B88="-", "-", 'Influent Concentration'!AA88*HRT!B88/1000)</f>
        <v>0</v>
      </c>
      <c r="F88" s="181">
        <f>IF(HRT!B88="-", "-", 'Influent Concentration'!AB88*HRT!B88/1000)</f>
        <v>0.4036399626238843</v>
      </c>
      <c r="G88" s="181">
        <f>IF(HRT!B88="-", "-", 'Influent Concentration'!AC88*HRT!B88/1000)</f>
        <v>0.11325419293439141</v>
      </c>
      <c r="H88" s="181">
        <f>IF(HRT!B88="-", "-", 'Influent Concentration'!AD88*HRT!B88/1000)</f>
        <v>0</v>
      </c>
      <c r="I88" s="181">
        <f>IF(HRT!B88="-", "-", 'Influent Concentration'!AE88*HRT!B88/1000)</f>
        <v>0</v>
      </c>
      <c r="J88" s="182">
        <f>Gas!W88-Gas!S88</f>
        <v>34.568322644732689</v>
      </c>
      <c r="K88">
        <f>IF(HRT!D88="-", "-", 'Effluent Concentration'!AK88*HRT!D88/1000)</f>
        <v>0</v>
      </c>
      <c r="L88">
        <f>IF(HRT!D88="-", "-", 'Effluent Concentration'!AL88*HRT!D88/1000)</f>
        <v>5.8363858963110884E-4</v>
      </c>
      <c r="M88">
        <f>IF(HRT!D88="-", "-", 'Effluent Concentration'!AM88*HRT!D88/1000)</f>
        <v>0</v>
      </c>
      <c r="N88">
        <f>IF(HRT!D88="-", "-", 'Effluent Concentration'!AN88*HRT!D88/1000)</f>
        <v>0</v>
      </c>
      <c r="O88">
        <f>IF(HRT!D88="-", "-", 'Effluent Concentration'!AO88*HRT!D88/1000)</f>
        <v>6.0627134332799315</v>
      </c>
      <c r="P88">
        <f>IF(HRT!D88="-", "-", 'Effluent Concentration'!AP88*HRT!D88/1000)</f>
        <v>4.4510764115153596E-2</v>
      </c>
      <c r="Q88">
        <f>IF(HRT!D88="-", "-", 'Effluent Concentration'!AQ88*HRT!D88/1000)</f>
        <v>5.3604266723937824E-2</v>
      </c>
      <c r="R88">
        <f>IF(HRT!D88="-", "-", 'Effluent Concentration'!AR88*HRT!D88/1000)</f>
        <v>3.5378816037798964</v>
      </c>
      <c r="S88">
        <f>IF(HRT!D88="-", "-", 'Effluent Concentration'!AS88*HRT!D88/1000)</f>
        <v>5.9652015563377417E-2</v>
      </c>
      <c r="T88">
        <f>IF(HRT!D88="-", "-", 'Effluent Concentration'!AT88*HRT!D88/1000)</f>
        <v>5.2579869388337842E-2</v>
      </c>
      <c r="U88">
        <f>IF(HRT!D88="-", "-", 'Effluent Concentration'!AU88*HRT!D88/1000)</f>
        <v>0.39805760888756986</v>
      </c>
      <c r="V88" s="113">
        <f>Gas!T88</f>
        <v>5.2972473404800354E-3</v>
      </c>
      <c r="W88" s="113">
        <f>Gas!U88+Gas!O88</f>
        <v>36.997987831075086</v>
      </c>
      <c r="X88" s="116">
        <f t="shared" si="15"/>
        <v>5.94945924034554</v>
      </c>
      <c r="Y88" s="116">
        <f t="shared" si="16"/>
        <v>4.4510764115153596E-2</v>
      </c>
      <c r="Z88" s="116">
        <f t="shared" si="17"/>
        <v>5.3604266723937824E-2</v>
      </c>
      <c r="AA88" s="116">
        <f t="shared" si="18"/>
        <v>3.5378816037798964</v>
      </c>
      <c r="AB88" s="116">
        <f t="shared" si="19"/>
        <v>5.9652015563377417E-2</v>
      </c>
      <c r="AC88" s="116">
        <f t="shared" si="20"/>
        <v>5.2579869388337842E-2</v>
      </c>
      <c r="AD88" s="116">
        <f t="shared" si="21"/>
        <v>0.39805760888756986</v>
      </c>
      <c r="AE88" s="116">
        <f t="shared" si="22"/>
        <v>2.4296651863423975</v>
      </c>
      <c r="AF88" s="116">
        <f t="shared" si="23"/>
        <v>0</v>
      </c>
      <c r="AG88" s="116">
        <f t="shared" si="24"/>
        <v>5.8363858963110884E-4</v>
      </c>
      <c r="AH88" s="116">
        <f t="shared" si="25"/>
        <v>0</v>
      </c>
      <c r="AI88" s="116">
        <f t="shared" si="26"/>
        <v>0</v>
      </c>
      <c r="AJ88" s="116">
        <f t="shared" si="27"/>
        <v>-0.4036399626238843</v>
      </c>
      <c r="AK88" s="116">
        <f t="shared" si="28"/>
        <v>-12.122354231111956</v>
      </c>
      <c r="AL88" s="116"/>
      <c r="AM88" s="116"/>
      <c r="AN88" s="116"/>
      <c r="AO88" s="116"/>
      <c r="AP88" s="116"/>
      <c r="AQ88" s="116"/>
      <c r="AR88" s="116"/>
      <c r="AS88" s="116"/>
      <c r="AT88" s="116"/>
      <c r="AU88" s="116"/>
      <c r="AV88" s="116"/>
      <c r="AW88" s="116"/>
      <c r="AX88" s="116"/>
    </row>
    <row r="89" spans="1:50">
      <c r="A89" s="232">
        <f>Gas!A89</f>
        <v>189.92916666666861</v>
      </c>
      <c r="B89" s="181">
        <f>IF(HRT!B89="-", "-", 'Influent Concentration'!X89*HRT!B89/1000)</f>
        <v>0</v>
      </c>
      <c r="C89" s="181">
        <f>IF(HRT!B89="-", "-", 'Influent Concentration'!Y89*HRT!B89/1000)</f>
        <v>0</v>
      </c>
      <c r="D89" s="181">
        <f>IF(HRT!B89="-", "-", 'Influent Concentration'!Z89*HRT!B89/1000)</f>
        <v>0</v>
      </c>
      <c r="E89" s="181">
        <f>IF(HRT!B89="-", "-", 'Influent Concentration'!AA89*HRT!B89/1000)</f>
        <v>0</v>
      </c>
      <c r="F89" s="181">
        <f>IF(HRT!B89="-", "-", 'Influent Concentration'!AB89*HRT!B89/1000)</f>
        <v>0.4036112742988433</v>
      </c>
      <c r="G89" s="181">
        <f>IF(HRT!B89="-", "-", 'Influent Concentration'!AC89*HRT!B89/1000)</f>
        <v>0.12295018321802449</v>
      </c>
      <c r="H89" s="181">
        <f>IF(HRT!B89="-", "-", 'Influent Concentration'!AD89*HRT!B89/1000)</f>
        <v>0</v>
      </c>
      <c r="I89" s="181">
        <f>IF(HRT!B89="-", "-", 'Influent Concentration'!AE89*HRT!B89/1000)</f>
        <v>0</v>
      </c>
      <c r="J89" s="182">
        <f>Gas!W89-Gas!S89</f>
        <v>35.322260864075247</v>
      </c>
      <c r="K89">
        <f>IF(HRT!D89="-", "-", 'Effluent Concentration'!AK89*HRT!D89/1000)</f>
        <v>0</v>
      </c>
      <c r="L89">
        <f>IF(HRT!D89="-", "-", 'Effluent Concentration'!AL89*HRT!D89/1000)</f>
        <v>5.7866938217445948E-4</v>
      </c>
      <c r="M89">
        <f>IF(HRT!D89="-", "-", 'Effluent Concentration'!AM89*HRT!D89/1000)</f>
        <v>0</v>
      </c>
      <c r="N89">
        <f>IF(HRT!D89="-", "-", 'Effluent Concentration'!AN89*HRT!D89/1000)</f>
        <v>0</v>
      </c>
      <c r="O89">
        <f>IF(HRT!D89="-", "-", 'Effluent Concentration'!AO89*HRT!D89/1000)</f>
        <v>5.9374671170072295</v>
      </c>
      <c r="P89">
        <f>IF(HRT!D89="-", "-", 'Effluent Concentration'!AP89*HRT!D89/1000)</f>
        <v>4.7662334490016452E-2</v>
      </c>
      <c r="Q89">
        <f>IF(HRT!D89="-", "-", 'Effluent Concentration'!AQ89*HRT!D89/1000)</f>
        <v>5.1451661413430126E-2</v>
      </c>
      <c r="R89">
        <f>IF(HRT!D89="-", "-", 'Effluent Concentration'!AR89*HRT!D89/1000)</f>
        <v>3.4240797969201413</v>
      </c>
      <c r="S89">
        <f>IF(HRT!D89="-", "-", 'Effluent Concentration'!AS89*HRT!D89/1000)</f>
        <v>5.4266261051044387E-2</v>
      </c>
      <c r="T89">
        <f>IF(HRT!D89="-", "-", 'Effluent Concentration'!AT89*HRT!D89/1000)</f>
        <v>4.7559195078443403E-2</v>
      </c>
      <c r="U89">
        <f>IF(HRT!D89="-", "-", 'Effluent Concentration'!AU89*HRT!D89/1000)</f>
        <v>0.39338185961545219</v>
      </c>
      <c r="V89" s="113">
        <f>Gas!T89</f>
        <v>5.1344885394551433E-3</v>
      </c>
      <c r="W89" s="113">
        <f>Gas!U89+Gas!O89</f>
        <v>36.733389264331961</v>
      </c>
      <c r="X89" s="116">
        <f t="shared" si="15"/>
        <v>5.8145169337892053</v>
      </c>
      <c r="Y89" s="116">
        <f t="shared" si="16"/>
        <v>4.7662334490016452E-2</v>
      </c>
      <c r="Z89" s="116">
        <f t="shared" si="17"/>
        <v>5.1451661413430126E-2</v>
      </c>
      <c r="AA89" s="116">
        <f t="shared" si="18"/>
        <v>3.4240797969201413</v>
      </c>
      <c r="AB89" s="116">
        <f t="shared" si="19"/>
        <v>5.4266261051044387E-2</v>
      </c>
      <c r="AC89" s="116">
        <f t="shared" si="20"/>
        <v>4.7559195078443403E-2</v>
      </c>
      <c r="AD89" s="116">
        <f t="shared" si="21"/>
        <v>0.39338185961545219</v>
      </c>
      <c r="AE89" s="116">
        <f t="shared" si="22"/>
        <v>1.4111284002567146</v>
      </c>
      <c r="AF89" s="116">
        <f t="shared" si="23"/>
        <v>0</v>
      </c>
      <c r="AG89" s="116">
        <f t="shared" si="24"/>
        <v>5.7866938217445948E-4</v>
      </c>
      <c r="AH89" s="116">
        <f t="shared" si="25"/>
        <v>0</v>
      </c>
      <c r="AI89" s="116">
        <f t="shared" si="26"/>
        <v>0</v>
      </c>
      <c r="AJ89" s="116">
        <f t="shared" si="27"/>
        <v>-0.4036112742988433</v>
      </c>
      <c r="AK89" s="116">
        <f t="shared" si="28"/>
        <v>-10.84101383769778</v>
      </c>
      <c r="AL89" s="116"/>
      <c r="AM89" s="116"/>
      <c r="AN89" s="116"/>
      <c r="AO89" s="116"/>
      <c r="AP89" s="116"/>
      <c r="AQ89" s="116"/>
      <c r="AR89" s="116"/>
      <c r="AS89" s="116"/>
      <c r="AT89" s="116"/>
      <c r="AU89" s="116"/>
      <c r="AV89" s="116"/>
      <c r="AW89" s="116"/>
      <c r="AX89" s="116"/>
    </row>
    <row r="90" spans="1:50">
      <c r="A90" s="232">
        <f>Gas!A90</f>
        <v>192.90347222222772</v>
      </c>
      <c r="B90" s="181">
        <f>IF(HRT!B90="-", "-", 'Influent Concentration'!X90*HRT!B90/1000)</f>
        <v>0</v>
      </c>
      <c r="C90" s="181">
        <f>IF(HRT!B90="-", "-", 'Influent Concentration'!Y90*HRT!B90/1000)</f>
        <v>0</v>
      </c>
      <c r="D90" s="181">
        <f>IF(HRT!B90="-", "-", 'Influent Concentration'!Z90*HRT!B90/1000)</f>
        <v>0</v>
      </c>
      <c r="E90" s="181">
        <f>IF(HRT!B90="-", "-", 'Influent Concentration'!AA90*HRT!B90/1000)</f>
        <v>0</v>
      </c>
      <c r="F90" s="181">
        <f>IF(HRT!B90="-", "-", 'Influent Concentration'!AB90*HRT!B90/1000)</f>
        <v>0.40658969670313011</v>
      </c>
      <c r="G90" s="181">
        <f>IF(HRT!B90="-", "-", 'Influent Concentration'!AC90*HRT!B90/1000)</f>
        <v>0.13363313590125897</v>
      </c>
      <c r="H90" s="181">
        <f>IF(HRT!B90="-", "-", 'Influent Concentration'!AD90*HRT!B90/1000)</f>
        <v>0</v>
      </c>
      <c r="I90" s="181">
        <f>IF(HRT!B90="-", "-", 'Influent Concentration'!AE90*HRT!B90/1000)</f>
        <v>0</v>
      </c>
      <c r="J90" s="182">
        <f>Gas!W90-Gas!S90</f>
        <v>36.166125320723381</v>
      </c>
      <c r="K90">
        <f>IF(HRT!D90="-", "-", 'Effluent Concentration'!AK90*HRT!D90/1000)</f>
        <v>0</v>
      </c>
      <c r="L90">
        <f>IF(HRT!D90="-", "-", 'Effluent Concentration'!AL90*HRT!D90/1000)</f>
        <v>5.8128500802050219E-4</v>
      </c>
      <c r="M90">
        <f>IF(HRT!D90="-", "-", 'Effluent Concentration'!AM90*HRT!D90/1000)</f>
        <v>0</v>
      </c>
      <c r="N90">
        <f>IF(HRT!D90="-", "-", 'Effluent Concentration'!AN90*HRT!D90/1000)</f>
        <v>0</v>
      </c>
      <c r="O90">
        <f>IF(HRT!D90="-", "-", 'Effluent Concentration'!AO90*HRT!D90/1000)</f>
        <v>6.0405566482765325</v>
      </c>
      <c r="P90">
        <f>IF(HRT!D90="-", "-", 'Effluent Concentration'!AP90*HRT!D90/1000)</f>
        <v>4.3571305331550819E-2</v>
      </c>
      <c r="Q90">
        <f>IF(HRT!D90="-", "-", 'Effluent Concentration'!AQ90*HRT!D90/1000)</f>
        <v>4.7708516769955092E-2</v>
      </c>
      <c r="R90">
        <f>IF(HRT!D90="-", "-", 'Effluent Concentration'!AR90*HRT!D90/1000)</f>
        <v>3.4352971867032545</v>
      </c>
      <c r="S90">
        <f>IF(HRT!D90="-", "-", 'Effluent Concentration'!AS90*HRT!D90/1000)</f>
        <v>5.3592814363953294E-2</v>
      </c>
      <c r="T90">
        <f>IF(HRT!D90="-", "-", 'Effluent Concentration'!AT90*HRT!D90/1000)</f>
        <v>4.3792985451687555E-2</v>
      </c>
      <c r="U90">
        <f>IF(HRT!D90="-", "-", 'Effluent Concentration'!AU90*HRT!D90/1000)</f>
        <v>0.38805161696101842</v>
      </c>
      <c r="V90" s="113">
        <f>Gas!T90</f>
        <v>2.3908986613700021E-2</v>
      </c>
      <c r="W90" s="113">
        <f>Gas!U90+Gas!O90</f>
        <v>36.763247050772058</v>
      </c>
      <c r="X90" s="116">
        <f t="shared" si="15"/>
        <v>5.9069235123752737</v>
      </c>
      <c r="Y90" s="116">
        <f t="shared" si="16"/>
        <v>4.3571305331550819E-2</v>
      </c>
      <c r="Z90" s="116">
        <f t="shared" si="17"/>
        <v>4.7708516769955092E-2</v>
      </c>
      <c r="AA90" s="116">
        <f t="shared" si="18"/>
        <v>3.4352971867032545</v>
      </c>
      <c r="AB90" s="116">
        <f t="shared" si="19"/>
        <v>5.3592814363953294E-2</v>
      </c>
      <c r="AC90" s="116">
        <f t="shared" si="20"/>
        <v>4.3792985451687555E-2</v>
      </c>
      <c r="AD90" s="116">
        <f t="shared" si="21"/>
        <v>0.38805161696101842</v>
      </c>
      <c r="AE90" s="116">
        <f t="shared" si="22"/>
        <v>0.59712173004867708</v>
      </c>
      <c r="AF90" s="116">
        <f t="shared" si="23"/>
        <v>0</v>
      </c>
      <c r="AG90" s="116">
        <f t="shared" si="24"/>
        <v>5.8128500802050219E-4</v>
      </c>
      <c r="AH90" s="116">
        <f t="shared" si="25"/>
        <v>0</v>
      </c>
      <c r="AI90" s="116">
        <f t="shared" si="26"/>
        <v>0</v>
      </c>
      <c r="AJ90" s="116">
        <f t="shared" si="27"/>
        <v>-0.40658969670313011</v>
      </c>
      <c r="AK90" s="116">
        <f t="shared" si="28"/>
        <v>-10.110051256310264</v>
      </c>
      <c r="AL90" s="116"/>
      <c r="AM90" s="116"/>
      <c r="AN90" s="116"/>
      <c r="AO90" s="116"/>
      <c r="AP90" s="116"/>
      <c r="AQ90" s="116"/>
      <c r="AR90" s="116"/>
      <c r="AS90" s="116"/>
      <c r="AT90" s="116"/>
      <c r="AU90" s="116"/>
      <c r="AV90" s="116"/>
      <c r="AW90" s="116"/>
      <c r="AX90" s="116"/>
    </row>
    <row r="91" spans="1:50">
      <c r="A91" s="232">
        <f>Gas!A91</f>
        <v>194.88958333333721</v>
      </c>
      <c r="B91" s="181">
        <f>IF(HRT!B91="-", "-", 'Influent Concentration'!X91*HRT!B91/1000)</f>
        <v>0</v>
      </c>
      <c r="C91" s="181">
        <f>IF(HRT!B91="-", "-", 'Influent Concentration'!Y91*HRT!B91/1000)</f>
        <v>0</v>
      </c>
      <c r="D91" s="181">
        <f>IF(HRT!B91="-", "-", 'Influent Concentration'!Z91*HRT!B91/1000)</f>
        <v>0</v>
      </c>
      <c r="E91" s="181">
        <f>IF(HRT!B91="-", "-", 'Influent Concentration'!AA91*HRT!B91/1000)</f>
        <v>0</v>
      </c>
      <c r="F91" s="181">
        <f>IF(HRT!B91="-", "-", 'Influent Concentration'!AB91*HRT!B91/1000)</f>
        <v>0.40278765850122533</v>
      </c>
      <c r="G91" s="181">
        <f>IF(HRT!B91="-", "-", 'Influent Concentration'!AC91*HRT!B91/1000)</f>
        <v>0.1420677640429005</v>
      </c>
      <c r="H91" s="181">
        <f>IF(HRT!B91="-", "-", 'Influent Concentration'!AD91*HRT!B91/1000)</f>
        <v>0</v>
      </c>
      <c r="I91" s="181">
        <f>IF(HRT!B91="-", "-", 'Influent Concentration'!AE91*HRT!B91/1000)</f>
        <v>0</v>
      </c>
      <c r="J91" s="182">
        <f>Gas!W91-Gas!S91</f>
        <v>36.721667427636817</v>
      </c>
      <c r="K91">
        <f>IF(HRT!D91="-", "-", 'Effluent Concentration'!AK91*HRT!D91/1000)</f>
        <v>0</v>
      </c>
      <c r="L91">
        <f>IF(HRT!D91="-", "-", 'Effluent Concentration'!AL91*HRT!D91/1000)</f>
        <v>5.647175848519755E-4</v>
      </c>
      <c r="M91">
        <f>IF(HRT!D91="-", "-", 'Effluent Concentration'!AM91*HRT!D91/1000)</f>
        <v>0</v>
      </c>
      <c r="N91">
        <f>IF(HRT!D91="-", "-", 'Effluent Concentration'!AN91*HRT!D91/1000)</f>
        <v>0</v>
      </c>
      <c r="O91">
        <f>IF(HRT!D91="-", "-", 'Effluent Concentration'!AO91*HRT!D91/1000)</f>
        <v>5.8829652828949399</v>
      </c>
      <c r="P91">
        <f>IF(HRT!D91="-", "-", 'Effluent Concentration'!AP91*HRT!D91/1000)</f>
        <v>4.011454936263889E-2</v>
      </c>
      <c r="Q91">
        <f>IF(HRT!D91="-", "-", 'Effluent Concentration'!AQ91*HRT!D91/1000)</f>
        <v>4.883172754365829E-2</v>
      </c>
      <c r="R91">
        <f>IF(HRT!D91="-", "-", 'Effluent Concentration'!AR91*HRT!D91/1000)</f>
        <v>3.3161433055071896</v>
      </c>
      <c r="S91">
        <f>IF(HRT!D91="-", "-", 'Effluent Concentration'!AS91*HRT!D91/1000)</f>
        <v>4.9685215282877199E-2</v>
      </c>
      <c r="T91">
        <f>IF(HRT!D91="-", "-", 'Effluent Concentration'!AT91*HRT!D91/1000)</f>
        <v>4.4924955136014716E-2</v>
      </c>
      <c r="U91">
        <f>IF(HRT!D91="-", "-", 'Effluent Concentration'!AU91*HRT!D91/1000)</f>
        <v>0.37291093629473798</v>
      </c>
      <c r="V91" s="113">
        <f>Gas!T91</f>
        <v>2.8107192693888419E-2</v>
      </c>
      <c r="W91" s="113">
        <f>Gas!U91+Gas!O91</f>
        <v>36.795251366857691</v>
      </c>
      <c r="X91" s="116">
        <f t="shared" si="15"/>
        <v>5.740897518852039</v>
      </c>
      <c r="Y91" s="116">
        <f t="shared" si="16"/>
        <v>4.011454936263889E-2</v>
      </c>
      <c r="Z91" s="116">
        <f t="shared" si="17"/>
        <v>4.883172754365829E-2</v>
      </c>
      <c r="AA91" s="116">
        <f t="shared" si="18"/>
        <v>3.3161433055071896</v>
      </c>
      <c r="AB91" s="116">
        <f t="shared" si="19"/>
        <v>4.9685215282877199E-2</v>
      </c>
      <c r="AC91" s="116">
        <f t="shared" si="20"/>
        <v>4.4924955136014716E-2</v>
      </c>
      <c r="AD91" s="116">
        <f t="shared" si="21"/>
        <v>0.37291093629473798</v>
      </c>
      <c r="AE91" s="116">
        <f t="shared" si="22"/>
        <v>7.3583939220874583E-2</v>
      </c>
      <c r="AF91" s="116">
        <f t="shared" si="23"/>
        <v>0</v>
      </c>
      <c r="AG91" s="116">
        <f t="shared" si="24"/>
        <v>5.647175848519755E-4</v>
      </c>
      <c r="AH91" s="116">
        <f t="shared" si="25"/>
        <v>0</v>
      </c>
      <c r="AI91" s="116">
        <f t="shared" si="26"/>
        <v>0</v>
      </c>
      <c r="AJ91" s="116">
        <f t="shared" si="27"/>
        <v>-0.40278765850122533</v>
      </c>
      <c r="AK91" s="116">
        <f t="shared" si="28"/>
        <v>-9.2848692062836591</v>
      </c>
      <c r="AL91" s="116"/>
      <c r="AM91" s="116"/>
      <c r="AN91" s="116"/>
      <c r="AO91" s="116"/>
      <c r="AP91" s="116"/>
      <c r="AQ91" s="116"/>
      <c r="AR91" s="116"/>
      <c r="AS91" s="116"/>
      <c r="AT91" s="116"/>
      <c r="AU91" s="116"/>
      <c r="AV91" s="116"/>
      <c r="AW91" s="116"/>
      <c r="AX91" s="116"/>
    </row>
    <row r="92" spans="1:50">
      <c r="A92" s="232">
        <f>Gas!A92</f>
        <v>196.91250000000582</v>
      </c>
      <c r="B92" s="181">
        <f>IF(HRT!B92="-", "-", 'Influent Concentration'!X92*HRT!B92/1000)</f>
        <v>0</v>
      </c>
      <c r="C92" s="181">
        <f>IF(HRT!B92="-", "-", 'Influent Concentration'!Y92*HRT!B92/1000)</f>
        <v>0</v>
      </c>
      <c r="D92" s="181">
        <f>IF(HRT!B92="-", "-", 'Influent Concentration'!Z92*HRT!B92/1000)</f>
        <v>0</v>
      </c>
      <c r="E92" s="181">
        <f>IF(HRT!B92="-", "-", 'Influent Concentration'!AA92*HRT!B92/1000)</f>
        <v>0</v>
      </c>
      <c r="F92" s="181">
        <f>IF(HRT!B92="-", "-", 'Influent Concentration'!AB92*HRT!B92/1000)</f>
        <v>0.40299177498022404</v>
      </c>
      <c r="G92" s="181">
        <f>IF(HRT!B92="-", "-", 'Influent Concentration'!AC92*HRT!B92/1000)</f>
        <v>0.15182890330820256</v>
      </c>
      <c r="H92" s="181">
        <f>IF(HRT!B92="-", "-", 'Influent Concentration'!AD92*HRT!B92/1000)</f>
        <v>0</v>
      </c>
      <c r="I92" s="181">
        <f>IF(HRT!B92="-", "-", 'Influent Concentration'!AE92*HRT!B92/1000)</f>
        <v>0</v>
      </c>
      <c r="J92" s="182">
        <f>Gas!W92-Gas!S92</f>
        <v>35.838438194910054</v>
      </c>
      <c r="K92">
        <f>IF(HRT!D92="-", "-", 'Effluent Concentration'!AK92*HRT!D92/1000)</f>
        <v>0</v>
      </c>
      <c r="L92">
        <f>IF(HRT!D92="-", "-", 'Effluent Concentration'!AL92*HRT!D92/1000)</f>
        <v>5.9063430000656173E-4</v>
      </c>
      <c r="M92">
        <f>IF(HRT!D92="-", "-", 'Effluent Concentration'!AM92*HRT!D92/1000)</f>
        <v>5.3977708382808532E-3</v>
      </c>
      <c r="N92">
        <f>IF(HRT!D92="-", "-", 'Effluent Concentration'!AN92*HRT!D92/1000)</f>
        <v>0</v>
      </c>
      <c r="O92">
        <f>IF(HRT!D92="-", "-", 'Effluent Concentration'!AO92*HRT!D92/1000)</f>
        <v>5.5039149836664745</v>
      </c>
      <c r="P92">
        <f>IF(HRT!D92="-", "-", 'Effluent Concentration'!AP92*HRT!D92/1000)</f>
        <v>2.9600531311099298E-2</v>
      </c>
      <c r="Q92">
        <f>IF(HRT!D92="-", "-", 'Effluent Concentration'!AR92*HRT!D92/1000)</f>
        <v>3.1122651599663769</v>
      </c>
      <c r="R92">
        <f>IF(HRT!D92="-", "-", 'Effluent Concentration'!AQ92*HRT!D92/1000)</f>
        <v>4.9052946151889862E-2</v>
      </c>
      <c r="S92">
        <f>IF(HRT!D92="-", "-", 'Effluent Concentration'!AS92*HRT!D92/1000)</f>
        <v>4.5742025558553064E-2</v>
      </c>
      <c r="T92">
        <f>IF(HRT!D92="-", "-", 'Effluent Concentration'!AT92*HRT!D92/1000)</f>
        <v>4.1696812413919128E-2</v>
      </c>
      <c r="U92">
        <f>IF(HRT!D92="-", "-", 'Effluent Concentration'!AU92*HRT!D92/1000)</f>
        <v>0.33355675489260023</v>
      </c>
      <c r="V92" s="113">
        <f>Gas!T92</f>
        <v>1.2006940701432977E-2</v>
      </c>
      <c r="W92" s="113">
        <f>Gas!U92+Gas!O92</f>
        <v>36.865174258447389</v>
      </c>
      <c r="X92" s="116">
        <f t="shared" si="15"/>
        <v>5.3520860803582719</v>
      </c>
      <c r="Y92" s="116">
        <f t="shared" si="16"/>
        <v>2.9600531311099298E-2</v>
      </c>
      <c r="Z92" s="116">
        <f t="shared" si="17"/>
        <v>3.1122651599663769</v>
      </c>
      <c r="AA92" s="116">
        <f t="shared" si="18"/>
        <v>4.9052946151889862E-2</v>
      </c>
      <c r="AB92" s="116">
        <f t="shared" si="19"/>
        <v>4.5742025558553064E-2</v>
      </c>
      <c r="AC92" s="116">
        <f t="shared" si="20"/>
        <v>4.1696812413919128E-2</v>
      </c>
      <c r="AD92" s="116">
        <f t="shared" si="21"/>
        <v>0.33355675489260023</v>
      </c>
      <c r="AE92" s="116">
        <f t="shared" si="22"/>
        <v>1.026736063537335</v>
      </c>
      <c r="AF92" s="116">
        <f t="shared" si="23"/>
        <v>0</v>
      </c>
      <c r="AG92" s="116">
        <f t="shared" si="24"/>
        <v>5.9063430000656173E-4</v>
      </c>
      <c r="AH92" s="116">
        <f t="shared" si="25"/>
        <v>5.3977708382808532E-3</v>
      </c>
      <c r="AI92" s="116">
        <f t="shared" si="26"/>
        <v>0</v>
      </c>
      <c r="AJ92" s="116">
        <f t="shared" si="27"/>
        <v>-0.40299177498022404</v>
      </c>
      <c r="AK92" s="116">
        <f t="shared" si="28"/>
        <v>-9.5937330043481097</v>
      </c>
      <c r="AL92" s="116"/>
      <c r="AM92" s="116"/>
      <c r="AN92" s="116"/>
      <c r="AO92" s="116"/>
      <c r="AP92" s="116"/>
      <c r="AQ92" s="116"/>
      <c r="AR92" s="116"/>
      <c r="AS92" s="116"/>
      <c r="AT92" s="116"/>
      <c r="AU92" s="116"/>
      <c r="AV92" s="116"/>
      <c r="AW92" s="116"/>
      <c r="AX92" s="116"/>
    </row>
    <row r="93" spans="1:50">
      <c r="A93" s="232">
        <f>Gas!A93</f>
        <v>199.89861111111531</v>
      </c>
      <c r="B93" s="181">
        <f>IF(HRT!B93="-", "-", 'Influent Concentration'!X93*HRT!B93/1000)</f>
        <v>0</v>
      </c>
      <c r="C93" s="181">
        <f>IF(HRT!B93="-", "-", 'Influent Concentration'!Y93*HRT!B93/1000)</f>
        <v>0</v>
      </c>
      <c r="D93" s="181">
        <f>IF(HRT!B93="-", "-", 'Influent Concentration'!Z93*HRT!B93/1000)</f>
        <v>0</v>
      </c>
      <c r="E93" s="181">
        <f>IF(HRT!B93="-", "-", 'Influent Concentration'!AA93*HRT!B93/1000)</f>
        <v>0</v>
      </c>
      <c r="F93" s="181">
        <f>IF(HRT!B93="-", "-", 'Influent Concentration'!AB93*HRT!B93/1000)</f>
        <v>0.40498224906570718</v>
      </c>
      <c r="G93" s="181">
        <f>IF(HRT!B93="-", "-", 'Influent Concentration'!AC93*HRT!B93/1000)</f>
        <v>0.16231582518452756</v>
      </c>
      <c r="H93" s="181">
        <f>IF(HRT!B93="-", "-", 'Influent Concentration'!AD93*HRT!B93/1000)</f>
        <v>0</v>
      </c>
      <c r="I93" s="181">
        <f>IF(HRT!B93="-", "-", 'Influent Concentration'!AE93*HRT!B93/1000)</f>
        <v>0</v>
      </c>
      <c r="J93" s="182">
        <f>Gas!W93-Gas!S93</f>
        <v>35.156468598258471</v>
      </c>
      <c r="K93">
        <f>IF(HRT!D93="-", "-", 'Effluent Concentration'!AK93*HRT!D93/1000)</f>
        <v>0</v>
      </c>
      <c r="L93">
        <f>IF(HRT!D93="-", "-", 'Effluent Concentration'!AL93*HRT!D93/1000)</f>
        <v>5.8204193774136301E-4</v>
      </c>
      <c r="M93">
        <f>IF(HRT!D93="-", "-", 'Effluent Concentration'!AM93*HRT!D93/1000)</f>
        <v>5.5278436367704239E-3</v>
      </c>
      <c r="N93">
        <f>IF(HRT!D93="-", "-", 'Effluent Concentration'!AN93*HRT!D93/1000)</f>
        <v>0</v>
      </c>
      <c r="O93">
        <f>IF(HRT!D93="-", "-", 'Effluent Concentration'!AO93*HRT!D93/1000)</f>
        <v>4.7706895625249812</v>
      </c>
      <c r="P93">
        <f>IF(HRT!D93="-", "-", 'Effluent Concentration'!AP93*HRT!D93/1000)</f>
        <v>2.4604186710759982E-2</v>
      </c>
      <c r="Q93">
        <f>IF(HRT!D93="-", "-", 'Effluent Concentration'!AR93*HRT!D93/1000)</f>
        <v>2.6111773693580389</v>
      </c>
      <c r="R93">
        <f>IF(HRT!D93="-", "-", 'Effluent Concentration'!AQ93*HRT!D93/1000)</f>
        <v>3.8955820494615198E-2</v>
      </c>
      <c r="S93">
        <f>IF(HRT!D93="-", "-", 'Effluent Concentration'!AS93*HRT!D93/1000)</f>
        <v>3.7103855630315694E-2</v>
      </c>
      <c r="T93">
        <f>IF(HRT!D93="-", "-", 'Effluent Concentration'!AT93*HRT!D93/1000)</f>
        <v>3.6797212195354402E-2</v>
      </c>
      <c r="U93">
        <f>IF(HRT!D93="-", "-", 'Effluent Concentration'!AU93*HRT!D93/1000)</f>
        <v>0.28664565800785374</v>
      </c>
      <c r="V93" s="113">
        <f>Gas!T93</f>
        <v>1.0782329462100877E-2</v>
      </c>
      <c r="W93" s="113">
        <f>Gas!U93+Gas!O93</f>
        <v>37.044308448024232</v>
      </c>
      <c r="X93" s="116">
        <f t="shared" si="15"/>
        <v>4.6083737373404539</v>
      </c>
      <c r="Y93" s="116">
        <f t="shared" si="16"/>
        <v>2.4604186710759982E-2</v>
      </c>
      <c r="Z93" s="116">
        <f t="shared" si="17"/>
        <v>2.6111773693580389</v>
      </c>
      <c r="AA93" s="116">
        <f t="shared" si="18"/>
        <v>3.8955820494615198E-2</v>
      </c>
      <c r="AB93" s="116">
        <f t="shared" si="19"/>
        <v>3.7103855630315694E-2</v>
      </c>
      <c r="AC93" s="116">
        <f t="shared" si="20"/>
        <v>3.6797212195354402E-2</v>
      </c>
      <c r="AD93" s="116">
        <f t="shared" si="21"/>
        <v>0.28664565800785374</v>
      </c>
      <c r="AE93" s="116">
        <f t="shared" si="22"/>
        <v>1.8878398497657614</v>
      </c>
      <c r="AF93" s="116">
        <f t="shared" si="23"/>
        <v>0</v>
      </c>
      <c r="AG93" s="116">
        <f t="shared" si="24"/>
        <v>5.8204193774136301E-4</v>
      </c>
      <c r="AH93" s="116">
        <f t="shared" si="25"/>
        <v>5.5278436367704239E-3</v>
      </c>
      <c r="AI93" s="116">
        <f t="shared" si="26"/>
        <v>0</v>
      </c>
      <c r="AJ93" s="116">
        <f t="shared" si="27"/>
        <v>-0.40498224906570718</v>
      </c>
      <c r="AK93" s="116">
        <f t="shared" si="28"/>
        <v>-9.1326253260119579</v>
      </c>
      <c r="AL93" s="116"/>
      <c r="AM93" s="116"/>
      <c r="AN93" s="116"/>
      <c r="AO93" s="116"/>
      <c r="AP93" s="116"/>
      <c r="AQ93" s="116"/>
      <c r="AR93" s="116"/>
      <c r="AS93" s="116"/>
      <c r="AT93" s="116"/>
      <c r="AU93" s="116"/>
      <c r="AV93" s="116"/>
      <c r="AW93" s="116"/>
      <c r="AX93" s="116"/>
    </row>
    <row r="94" spans="1:50">
      <c r="A94" s="113"/>
    </row>
  </sheetData>
  <mergeCells count="4">
    <mergeCell ref="AP26:AQ26"/>
    <mergeCell ref="AR26:AS26"/>
    <mergeCell ref="AT26:AU26"/>
    <mergeCell ref="AV26:AW2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Constants</vt:lpstr>
      <vt:lpstr>Experimental plan</vt:lpstr>
      <vt:lpstr>lab journal</vt:lpstr>
      <vt:lpstr>Influent Concentration</vt:lpstr>
      <vt:lpstr>Effluent Concentration</vt:lpstr>
      <vt:lpstr>Average Concentration</vt:lpstr>
      <vt:lpstr>HRT</vt:lpstr>
      <vt:lpstr>Gas</vt:lpstr>
      <vt:lpstr>Productivities</vt:lpstr>
      <vt:lpstr>Balances</vt:lpstr>
      <vt:lpstr>Solids consumption</vt:lpstr>
      <vt:lpstr>Full consumption of PHA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Jin, Yong</dc:creator>
  <cp:lastModifiedBy>Jin, Yong</cp:lastModifiedBy>
  <dcterms:created xsi:type="dcterms:W3CDTF">2015-06-05T18:17:20Z</dcterms:created>
  <dcterms:modified xsi:type="dcterms:W3CDTF">2025-07-15T09:49:16Z</dcterms:modified>
</cp:coreProperties>
</file>