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WURNET.NL\Homes\visse248\My Documents\Documents PhD\Data management plan\2021.06.28_FoodProtectsPaper3(Vissers)DMF_BEC\Intermediate data and syntax\"/>
    </mc:Choice>
  </mc:AlternateContent>
  <xr:revisionPtr revIDLastSave="0" documentId="13_ncr:1_{E0CF3DCF-A7D8-4CF2-B42D-32F564375A27}" xr6:coauthVersionLast="45" xr6:coauthVersionMax="45" xr10:uidLastSave="{00000000-0000-0000-0000-000000000000}"/>
  <bookViews>
    <workbookView xWindow="-120" yWindow="-120" windowWidth="29040" windowHeight="15840" firstSheet="1" activeTab="1" xr2:uid="{1777EE6A-967B-4FE9-B7DE-DF7808A23898}"/>
  </bookViews>
  <sheets>
    <sheet name="RiskSerializationData" sheetId="3" state="hidden" r:id="rId1"/>
    <sheet name="Sheet1" sheetId="1" r:id="rId2"/>
  </sheets>
  <definedNames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528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528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"U9LLP839928K5WALV13XK9JS"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electedCell" hidden="1">"$B$181"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1" l="1"/>
  <c r="E2" i="1"/>
  <c r="J71" i="1"/>
  <c r="I71" i="1"/>
  <c r="E71" i="1"/>
  <c r="J70" i="1"/>
  <c r="I70" i="1"/>
  <c r="E70" i="1"/>
  <c r="J69" i="1"/>
  <c r="I69" i="1"/>
  <c r="E69" i="1"/>
  <c r="J68" i="1"/>
  <c r="I68" i="1"/>
  <c r="E68" i="1"/>
  <c r="J66" i="1"/>
  <c r="I66" i="1"/>
  <c r="E66" i="1"/>
  <c r="J65" i="1"/>
  <c r="I65" i="1"/>
  <c r="E65" i="1"/>
  <c r="J64" i="1"/>
  <c r="I64" i="1"/>
  <c r="E64" i="1"/>
  <c r="J63" i="1"/>
  <c r="I63" i="1"/>
  <c r="E63" i="1"/>
  <c r="J62" i="1"/>
  <c r="I62" i="1"/>
  <c r="E62" i="1"/>
  <c r="J61" i="1"/>
  <c r="I61" i="1"/>
  <c r="E61" i="1"/>
  <c r="J60" i="1"/>
  <c r="I60" i="1"/>
  <c r="E60" i="1"/>
  <c r="J59" i="1"/>
  <c r="I59" i="1"/>
  <c r="E59" i="1"/>
  <c r="J58" i="1"/>
  <c r="I58" i="1"/>
  <c r="E58" i="1"/>
  <c r="J57" i="1"/>
  <c r="I57" i="1"/>
  <c r="E57" i="1"/>
  <c r="J56" i="1"/>
  <c r="I56" i="1"/>
  <c r="E56" i="1"/>
  <c r="J55" i="1"/>
  <c r="I55" i="1"/>
  <c r="E55" i="1"/>
  <c r="J54" i="1"/>
  <c r="I54" i="1"/>
  <c r="E54" i="1"/>
  <c r="J53" i="1"/>
  <c r="I53" i="1"/>
  <c r="E53" i="1"/>
  <c r="J52" i="1"/>
  <c r="I52" i="1"/>
  <c r="E52" i="1"/>
  <c r="J51" i="1"/>
  <c r="I51" i="1"/>
  <c r="E51" i="1"/>
  <c r="J50" i="1"/>
  <c r="I50" i="1"/>
  <c r="E50" i="1"/>
  <c r="J49" i="1"/>
  <c r="I49" i="1"/>
  <c r="E49" i="1"/>
  <c r="J48" i="1"/>
  <c r="I48" i="1"/>
  <c r="E48" i="1"/>
  <c r="J47" i="1"/>
  <c r="I47" i="1"/>
  <c r="E47" i="1"/>
  <c r="J46" i="1"/>
  <c r="I46" i="1"/>
  <c r="E46" i="1"/>
  <c r="J45" i="1"/>
  <c r="I45" i="1"/>
  <c r="E45" i="1"/>
  <c r="J44" i="1"/>
  <c r="I44" i="1"/>
  <c r="E44" i="1"/>
  <c r="J43" i="1"/>
  <c r="I43" i="1"/>
  <c r="E43" i="1"/>
  <c r="J42" i="1"/>
  <c r="I42" i="1"/>
  <c r="E42" i="1"/>
  <c r="J41" i="1"/>
  <c r="I41" i="1"/>
  <c r="E41" i="1"/>
  <c r="J40" i="1"/>
  <c r="I40" i="1"/>
  <c r="E40" i="1"/>
  <c r="J39" i="1"/>
  <c r="I39" i="1"/>
  <c r="E39" i="1"/>
  <c r="J38" i="1"/>
  <c r="I38" i="1"/>
  <c r="E38" i="1"/>
  <c r="J37" i="1"/>
  <c r="I37" i="1"/>
  <c r="E37" i="1"/>
  <c r="J36" i="1"/>
  <c r="I36" i="1"/>
  <c r="E36" i="1"/>
  <c r="J35" i="1"/>
  <c r="I35" i="1"/>
  <c r="E35" i="1"/>
  <c r="J34" i="1"/>
  <c r="I34" i="1"/>
  <c r="E34" i="1"/>
  <c r="J33" i="1"/>
  <c r="I33" i="1"/>
  <c r="E33" i="1"/>
  <c r="J32" i="1"/>
  <c r="I32" i="1"/>
  <c r="E32" i="1"/>
  <c r="J31" i="1"/>
  <c r="I31" i="1"/>
  <c r="E31" i="1"/>
  <c r="J30" i="1"/>
  <c r="I30" i="1"/>
  <c r="E30" i="1"/>
  <c r="J29" i="1"/>
  <c r="I29" i="1"/>
  <c r="E29" i="1"/>
  <c r="J28" i="1"/>
  <c r="I28" i="1"/>
  <c r="E28" i="1"/>
  <c r="J27" i="1"/>
  <c r="I27" i="1"/>
  <c r="E27" i="1"/>
  <c r="J26" i="1"/>
  <c r="I26" i="1"/>
  <c r="E26" i="1"/>
  <c r="J25" i="1"/>
  <c r="I25" i="1"/>
  <c r="E25" i="1"/>
  <c r="J24" i="1"/>
  <c r="I24" i="1"/>
  <c r="E24" i="1"/>
  <c r="J23" i="1"/>
  <c r="I23" i="1"/>
  <c r="E23" i="1"/>
  <c r="J22" i="1"/>
  <c r="I22" i="1"/>
  <c r="E22" i="1"/>
  <c r="J21" i="1"/>
  <c r="I21" i="1"/>
  <c r="E21" i="1"/>
  <c r="J20" i="1"/>
  <c r="I20" i="1"/>
  <c r="E20" i="1"/>
  <c r="J19" i="1"/>
  <c r="I19" i="1"/>
  <c r="E19" i="1"/>
  <c r="J18" i="1"/>
  <c r="I18" i="1"/>
  <c r="E18" i="1"/>
  <c r="J17" i="1"/>
  <c r="I17" i="1"/>
  <c r="E17" i="1"/>
  <c r="J16" i="1"/>
  <c r="I16" i="1"/>
  <c r="E16" i="1"/>
  <c r="J15" i="1"/>
  <c r="I15" i="1"/>
  <c r="E15" i="1"/>
  <c r="J14" i="1"/>
  <c r="I14" i="1"/>
  <c r="E14" i="1"/>
  <c r="J13" i="1"/>
  <c r="I13" i="1"/>
  <c r="E13" i="1"/>
  <c r="J12" i="1"/>
  <c r="I12" i="1"/>
  <c r="E12" i="1"/>
  <c r="J11" i="1"/>
  <c r="I11" i="1"/>
  <c r="E11" i="1"/>
  <c r="J10" i="1"/>
  <c r="I10" i="1"/>
  <c r="E10" i="1"/>
  <c r="J9" i="1"/>
  <c r="I9" i="1"/>
  <c r="E9" i="1"/>
  <c r="J8" i="1"/>
  <c r="I8" i="1"/>
  <c r="E8" i="1"/>
  <c r="J7" i="1"/>
  <c r="I7" i="1"/>
  <c r="E7" i="1"/>
  <c r="J6" i="1"/>
  <c r="I6" i="1"/>
  <c r="E6" i="1"/>
  <c r="J5" i="1"/>
  <c r="I5" i="1"/>
  <c r="E5" i="1"/>
  <c r="J4" i="1"/>
  <c r="I4" i="1"/>
  <c r="E4" i="1"/>
  <c r="J3" i="1"/>
  <c r="E3" i="1"/>
  <c r="J67" i="1"/>
  <c r="J2" i="1"/>
  <c r="I2" i="1"/>
  <c r="I67" i="1"/>
  <c r="E67" i="1"/>
  <c r="H36" i="1"/>
  <c r="G36" i="1"/>
  <c r="H64" i="1"/>
  <c r="G64" i="1"/>
  <c r="H50" i="1"/>
  <c r="G50" i="1"/>
  <c r="H22" i="1"/>
  <c r="G22" i="1"/>
  <c r="H8" i="1"/>
  <c r="G8" i="1"/>
  <c r="H5" i="1"/>
  <c r="E77" i="1"/>
  <c r="H61" i="1"/>
  <c r="G61" i="1"/>
  <c r="H33" i="1"/>
  <c r="G33" i="1"/>
  <c r="H47" i="1"/>
  <c r="G47" i="1"/>
  <c r="G46" i="1"/>
  <c r="H46" i="1"/>
  <c r="H49" i="1"/>
  <c r="H19" i="1"/>
  <c r="G19" i="1"/>
  <c r="H6" i="1"/>
  <c r="G5" i="1"/>
  <c r="G6" i="1"/>
  <c r="I77" i="1"/>
  <c r="G43" i="1"/>
  <c r="H43" i="1"/>
  <c r="H15" i="1"/>
  <c r="G15" i="1"/>
  <c r="J77" i="1"/>
  <c r="G13" i="1"/>
  <c r="G71" i="1"/>
  <c r="H27" i="1"/>
  <c r="H55" i="1"/>
  <c r="G42" i="1"/>
  <c r="H71" i="1"/>
  <c r="H70" i="1"/>
  <c r="H69" i="1"/>
  <c r="H68" i="1"/>
  <c r="H67" i="1"/>
  <c r="H66" i="1"/>
  <c r="H65" i="1"/>
  <c r="H63" i="1"/>
  <c r="H62" i="1"/>
  <c r="H60" i="1"/>
  <c r="H59" i="1"/>
  <c r="H58" i="1"/>
  <c r="H57" i="1"/>
  <c r="H56" i="1"/>
  <c r="H54" i="1"/>
  <c r="H53" i="1"/>
  <c r="H52" i="1"/>
  <c r="H51" i="1"/>
  <c r="H48" i="1"/>
  <c r="H45" i="1"/>
  <c r="H44" i="1"/>
  <c r="H42" i="1"/>
  <c r="H41" i="1"/>
  <c r="H40" i="1"/>
  <c r="H39" i="1"/>
  <c r="H38" i="1"/>
  <c r="H37" i="1"/>
  <c r="H35" i="1"/>
  <c r="H34" i="1"/>
  <c r="H32" i="1"/>
  <c r="H31" i="1"/>
  <c r="H30" i="1"/>
  <c r="H29" i="1"/>
  <c r="H28" i="1"/>
  <c r="H26" i="1"/>
  <c r="H25" i="1"/>
  <c r="H24" i="1"/>
  <c r="H23" i="1"/>
  <c r="H21" i="1"/>
  <c r="H20" i="1"/>
  <c r="H18" i="1"/>
  <c r="H17" i="1"/>
  <c r="H16" i="1"/>
  <c r="H14" i="1"/>
  <c r="H13" i="1"/>
  <c r="H12" i="1"/>
  <c r="H11" i="1"/>
  <c r="H10" i="1"/>
  <c r="H9" i="1"/>
  <c r="H7" i="1"/>
  <c r="H4" i="1"/>
  <c r="H3" i="1"/>
  <c r="H2" i="1"/>
  <c r="G69" i="1"/>
  <c r="G70" i="1"/>
  <c r="G68" i="1"/>
  <c r="G57" i="1"/>
  <c r="G63" i="1"/>
  <c r="G65" i="1"/>
  <c r="G66" i="1"/>
  <c r="G67" i="1"/>
  <c r="G62" i="1"/>
  <c r="G48" i="1"/>
  <c r="G59" i="1"/>
  <c r="G60" i="1"/>
  <c r="G58" i="1"/>
  <c r="G44" i="1"/>
  <c r="G55" i="1"/>
  <c r="G56" i="1"/>
  <c r="G54" i="1"/>
  <c r="G40" i="1"/>
  <c r="G53" i="1"/>
  <c r="G52" i="1"/>
  <c r="G51" i="1"/>
  <c r="G49" i="1"/>
  <c r="G34" i="1"/>
  <c r="G45" i="1"/>
  <c r="G30" i="1"/>
  <c r="G41" i="1"/>
  <c r="G35" i="1"/>
  <c r="G37" i="1"/>
  <c r="G38" i="1"/>
  <c r="G39" i="1"/>
  <c r="G31" i="1"/>
  <c r="G32" i="1"/>
  <c r="G16" i="1"/>
  <c r="G12" i="1"/>
  <c r="F77" i="1"/>
  <c r="G29" i="1"/>
  <c r="G28" i="1"/>
  <c r="G27" i="1"/>
  <c r="G26" i="1"/>
  <c r="G25" i="1"/>
  <c r="G24" i="1"/>
  <c r="G23" i="1"/>
  <c r="G21" i="1"/>
  <c r="G20" i="1"/>
  <c r="G18" i="1"/>
  <c r="G17" i="1"/>
  <c r="G14" i="1"/>
  <c r="G11" i="1"/>
  <c r="G10" i="1"/>
  <c r="G9" i="1"/>
  <c r="G7" i="1"/>
  <c r="G4" i="1"/>
  <c r="G3" i="1"/>
  <c r="G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Vissers, Luuk</author>
  </authors>
  <commentList>
    <comment ref="E1" authorId="0" shapeId="0" xr:uid="{503D6471-D9ED-45BF-A4C1-FE86D672B3B6}">
      <text>
        <r>
          <rPr>
            <b/>
            <sz val="9"/>
            <color indexed="81"/>
            <rFont val="Tahoma"/>
            <family val="2"/>
          </rPr>
          <t>Vissers, Luuk:</t>
        </r>
        <r>
          <rPr>
            <sz val="9"/>
            <color indexed="81"/>
            <rFont val="Tahoma"/>
            <family val="2"/>
          </rPr>
          <t xml:space="preserve">
Net return to labour and management/farm/year.
The benefit of the doubt model cannot deal with negative values. Therefore, a value of  78,9521248861903 is added to all combinations. Now, the lowest value is 0 (see row 66).</t>
        </r>
      </text>
    </comment>
    <comment ref="G1" authorId="0" shapeId="0" xr:uid="{4C8AE046-03C6-4AAA-8C44-2F13EECE4C41}">
      <text>
        <r>
          <rPr>
            <b/>
            <sz val="9"/>
            <color indexed="81"/>
            <rFont val="Tahoma"/>
            <family val="2"/>
          </rPr>
          <t>Vissers, Luuk:</t>
        </r>
        <r>
          <rPr>
            <sz val="9"/>
            <color indexed="81"/>
            <rFont val="Tahoma"/>
            <family val="2"/>
          </rPr>
          <t xml:space="preserve">
Expressed in reduced kg NH3/farm/year relative to the baseline system. 
The baseline system is shown in row 77.</t>
        </r>
      </text>
    </comment>
    <comment ref="H1" authorId="0" shapeId="0" xr:uid="{FFED4528-7B69-4D76-BB30-F32A6CFE81D8}">
      <text>
        <r>
          <rPr>
            <b/>
            <sz val="9"/>
            <color indexed="81"/>
            <rFont val="Tahoma"/>
            <family val="2"/>
          </rPr>
          <t>Vissers, Luuk:</t>
        </r>
        <r>
          <rPr>
            <sz val="9"/>
            <color indexed="81"/>
            <rFont val="Tahoma"/>
            <family val="2"/>
          </rPr>
          <t xml:space="preserve">
PM10 emission is expressed in reduced kg PM10/farm/year relative to baseline situation. The baseline system is shown in row 77.
</t>
        </r>
      </text>
    </comment>
    <comment ref="I1" authorId="0" shapeId="0" xr:uid="{515D12B5-EC0F-446A-84FC-47B62FB95F18}">
      <text>
        <r>
          <rPr>
            <b/>
            <sz val="9"/>
            <color indexed="81"/>
            <rFont val="Tahoma"/>
            <family val="2"/>
          </rPr>
          <t>Vissers, Luuk:</t>
        </r>
        <r>
          <rPr>
            <sz val="9"/>
            <color indexed="81"/>
            <rFont val="Tahoma"/>
            <family val="2"/>
          </rPr>
          <t xml:space="preserve">
Net return to labour and management/farm/year
The benefit of the doubt model cannot deal with negative values. Therefore, a value of 67,6650432674641 was added to all combinations. Now, the lowest value is 0 (see row 66).</t>
        </r>
      </text>
    </comment>
  </commentList>
</comments>
</file>

<file path=xl/sharedStrings.xml><?xml version="1.0" encoding="utf-8"?>
<sst xmlns="http://schemas.openxmlformats.org/spreadsheetml/2006/main" count="224" uniqueCount="26">
  <si>
    <t>E5.14 Indirect heaters with circulation</t>
  </si>
  <si>
    <t>E7.7 Warmtewisselaar 13%</t>
  </si>
  <si>
    <t>E7.2 Coronawires negative ionization</t>
  </si>
  <si>
    <t>E7.6 Heat exchanger 31%</t>
  </si>
  <si>
    <t>E7.5 Ionization filter</t>
  </si>
  <si>
    <t>NDRS</t>
  </si>
  <si>
    <t>Terrasea system</t>
  </si>
  <si>
    <t>E5.15 Tube heaters</t>
  </si>
  <si>
    <t>None</t>
  </si>
  <si>
    <t>E7.7 Heat exchanger 13%</t>
  </si>
  <si>
    <t>E5.13 Chemical air scrubber</t>
  </si>
  <si>
    <t>Welfarequality</t>
  </si>
  <si>
    <t>Technique1</t>
  </si>
  <si>
    <t>Technique2</t>
  </si>
  <si>
    <t>System</t>
  </si>
  <si>
    <t>Number</t>
  </si>
  <si>
    <t>NDRS + Enrichment + Daylight</t>
  </si>
  <si>
    <t>NDRS + SD + Enrichment</t>
  </si>
  <si>
    <t>NDRS + SD + Daylight</t>
  </si>
  <si>
    <t>NH3emission</t>
  </si>
  <si>
    <t>PM10emission</t>
  </si>
  <si>
    <t>NRLM</t>
  </si>
  <si>
    <t>Feed price +SD</t>
  </si>
  <si>
    <t>Output price +SD</t>
  </si>
  <si>
    <t>NDRS + SD + Daylight + Enrichment</t>
  </si>
  <si>
    <t>Baseline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</si>
</sst>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"/>
    <numFmt numFmtId="166" formatCode="0.000"/>
    <numFmt numFmtId="167" formatCode="0.000000"/>
    <numFmt numFmtId="168" formatCode="0.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/>
    <xf numFmtId="164" fontId="0" fillId="0" borderId="0" xfId="0" applyNumberFormat="1"/>
    <xf numFmtId="164" fontId="4" fillId="0" borderId="0" xfId="0" applyNumberFormat="1" applyFont="1"/>
    <xf numFmtId="0" fontId="0" fillId="0" borderId="0" xfId="0" applyFont="1" applyBorder="1"/>
    <xf numFmtId="0" fontId="4" fillId="0" borderId="0" xfId="0" applyFont="1" applyBorder="1"/>
    <xf numFmtId="164" fontId="4" fillId="0" borderId="0" xfId="0" applyNumberFormat="1" applyFont="1" applyBorder="1"/>
    <xf numFmtId="164" fontId="0" fillId="0" borderId="0" xfId="0" applyNumberFormat="1" applyBorder="1"/>
    <xf numFmtId="0" fontId="0" fillId="0" borderId="0" xfId="0" applyBorder="1"/>
    <xf numFmtId="164" fontId="4" fillId="0" borderId="1" xfId="0" applyNumberFormat="1" applyFont="1" applyBorder="1"/>
    <xf numFmtId="0" fontId="0" fillId="0" borderId="0" xfId="0" applyFill="1" applyBorder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2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164" fontId="7" fillId="0" borderId="0" xfId="0" applyNumberFormat="1" applyFont="1"/>
    <xf numFmtId="168" fontId="0" fillId="0" borderId="0" xfId="0" applyNumberFormat="1" applyBorder="1"/>
    <xf numFmtId="167" fontId="4" fillId="0" borderId="0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5" fillId="0" borderId="4" xfId="0" applyFont="1" applyBorder="1"/>
    <xf numFmtId="0" fontId="5" fillId="0" borderId="5" xfId="0" applyFont="1" applyBorder="1"/>
    <xf numFmtId="0" fontId="0" fillId="0" borderId="2" xfId="0" applyFont="1" applyBorder="1"/>
    <xf numFmtId="0" fontId="0" fillId="0" borderId="2" xfId="0" applyBorder="1"/>
    <xf numFmtId="164" fontId="4" fillId="0" borderId="2" xfId="0" applyNumberFormat="1" applyFont="1" applyBorder="1"/>
    <xf numFmtId="164" fontId="4" fillId="0" borderId="6" xfId="0" applyNumberFormat="1" applyFont="1" applyBorder="1"/>
    <xf numFmtId="0" fontId="8" fillId="0" borderId="0" xfId="0" applyFont="1"/>
    <xf numFmtId="164" fontId="8" fillId="0" borderId="0" xfId="0" applyNumberFormat="1" applyFont="1"/>
  </cellXfs>
  <cellStyles count="1">
    <cellStyle name="Normal" xfId="0" builtinId="0"/>
  </cellStyles>
  <dxfs count="2">
    <dxf>
      <fill>
        <patternFill>
          <bgColor indexed="26"/>
        </patternFill>
      </fill>
    </dxf>
    <dxf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534E0-8C20-4999-B970-6EEA397305B6}">
  <dimension ref="A1:B1"/>
  <sheetViews>
    <sheetView workbookViewId="0"/>
  </sheetViews>
  <sheetFormatPr defaultRowHeight="15" x14ac:dyDescent="0.25"/>
  <sheetData>
    <row r="1" spans="1:2" x14ac:dyDescent="0.25">
      <c r="A1">
        <v>0</v>
      </c>
      <c r="B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585F5-72C0-447D-B0BB-ED5C5B639E1F}">
  <dimension ref="A1:M99"/>
  <sheetViews>
    <sheetView tabSelected="1" topLeftCell="A13" zoomScaleNormal="100" workbookViewId="0">
      <selection activeCell="I77" sqref="I77"/>
    </sheetView>
  </sheetViews>
  <sheetFormatPr defaultRowHeight="15" x14ac:dyDescent="0.25"/>
  <cols>
    <col min="1" max="1" width="9.7109375" customWidth="1"/>
    <col min="2" max="2" width="17" customWidth="1"/>
    <col min="3" max="3" width="25.28515625" customWidth="1"/>
    <col min="4" max="4" width="27.85546875" customWidth="1"/>
    <col min="5" max="5" width="18.140625" customWidth="1"/>
    <col min="6" max="6" width="20.7109375" customWidth="1"/>
    <col min="7" max="7" width="15.28515625" customWidth="1"/>
    <col min="8" max="8" width="15.5703125" customWidth="1"/>
    <col min="9" max="9" width="20" customWidth="1"/>
    <col min="10" max="10" width="16.7109375" bestFit="1" customWidth="1"/>
  </cols>
  <sheetData>
    <row r="1" spans="1:13" ht="15.75" thickBot="1" x14ac:dyDescent="0.3">
      <c r="A1" s="20" t="s">
        <v>15</v>
      </c>
      <c r="B1" s="21" t="s">
        <v>14</v>
      </c>
      <c r="C1" s="21" t="s">
        <v>12</v>
      </c>
      <c r="D1" s="21" t="s">
        <v>13</v>
      </c>
      <c r="E1" s="21" t="s">
        <v>21</v>
      </c>
      <c r="F1" s="22" t="s">
        <v>11</v>
      </c>
      <c r="G1" s="22" t="s">
        <v>19</v>
      </c>
      <c r="H1" s="22" t="s">
        <v>20</v>
      </c>
      <c r="I1" s="22" t="s">
        <v>22</v>
      </c>
      <c r="J1" s="23" t="s">
        <v>23</v>
      </c>
      <c r="K1" s="8"/>
    </row>
    <row r="2" spans="1:13" x14ac:dyDescent="0.25">
      <c r="A2" s="4">
        <v>1</v>
      </c>
      <c r="B2" s="4" t="s">
        <v>5</v>
      </c>
      <c r="C2" s="4" t="s">
        <v>0</v>
      </c>
      <c r="D2" s="4" t="s">
        <v>9</v>
      </c>
      <c r="E2" s="6">
        <f>(86977.6552681141/1000)+78.9521248861903</f>
        <v>165.92978015430441</v>
      </c>
      <c r="F2" s="5">
        <v>85.600000000000023</v>
      </c>
      <c r="G2" s="6">
        <f>$G$77-3230</f>
        <v>0</v>
      </c>
      <c r="H2" s="6">
        <f>$H$77-2155.98428571429</f>
        <v>0</v>
      </c>
      <c r="I2" s="6">
        <f>62394.9604659611/1000+67.6650432674641</f>
        <v>130.06000373342519</v>
      </c>
      <c r="J2" s="9">
        <f>(151562.030977052)/1000</f>
        <v>151.56203097705199</v>
      </c>
      <c r="K2" s="7"/>
      <c r="L2" s="7"/>
      <c r="M2" s="2"/>
    </row>
    <row r="3" spans="1:13" x14ac:dyDescent="0.25">
      <c r="A3" s="8">
        <v>2</v>
      </c>
      <c r="B3" s="8" t="s">
        <v>5</v>
      </c>
      <c r="C3" s="8" t="s">
        <v>0</v>
      </c>
      <c r="D3" s="5" t="s">
        <v>3</v>
      </c>
      <c r="E3" s="6">
        <f>(73134.7981252566)/1000+48.2576526341859</f>
        <v>121.3924507594425</v>
      </c>
      <c r="F3" s="5">
        <v>85.600000000000023</v>
      </c>
      <c r="G3" s="6">
        <f>$G$77-3230</f>
        <v>0</v>
      </c>
      <c r="H3" s="6">
        <f>$H$77-1709.9</f>
        <v>446.08428571428976</v>
      </c>
      <c r="I3" s="6">
        <f>(48552.103323104)/1000+67.6650432674641</f>
        <v>116.21714659056809</v>
      </c>
      <c r="J3" s="9">
        <f>(137719.173834195)/1000</f>
        <v>137.719173834195</v>
      </c>
      <c r="K3" s="7"/>
      <c r="L3" s="7"/>
      <c r="M3" s="2"/>
    </row>
    <row r="4" spans="1:13" x14ac:dyDescent="0.25">
      <c r="A4" s="8">
        <v>3</v>
      </c>
      <c r="B4" s="8" t="s">
        <v>5</v>
      </c>
      <c r="C4" s="8" t="s">
        <v>0</v>
      </c>
      <c r="D4" s="5" t="s">
        <v>4</v>
      </c>
      <c r="E4" s="6">
        <f>(53591.9409823995)/1000+48.2576526341859</f>
        <v>101.84959361658539</v>
      </c>
      <c r="F4" s="5">
        <v>85.600000000000023</v>
      </c>
      <c r="G4" s="6">
        <f>$G$77-3230</f>
        <v>0</v>
      </c>
      <c r="H4" s="6">
        <f>$H$77-1065.6</f>
        <v>1090.3842857142899</v>
      </c>
      <c r="I4" s="6">
        <f>(29009.2461802468)/1000+67.6650432674641</f>
        <v>96.67428944771089</v>
      </c>
      <c r="J4" s="9">
        <f>(118176.316691338)/1000</f>
        <v>118.176316691338</v>
      </c>
      <c r="K4" s="7"/>
      <c r="L4" s="7"/>
      <c r="M4" s="15"/>
    </row>
    <row r="5" spans="1:13" x14ac:dyDescent="0.25">
      <c r="A5" s="4">
        <v>4</v>
      </c>
      <c r="B5" s="8" t="s">
        <v>5</v>
      </c>
      <c r="C5" s="10" t="s">
        <v>0</v>
      </c>
      <c r="D5" s="5" t="s">
        <v>2</v>
      </c>
      <c r="E5" s="6">
        <f>(75577.6552681138)/1000+48.2576526341859</f>
        <v>123.8353079022997</v>
      </c>
      <c r="F5" s="5">
        <v>85.600000000000023</v>
      </c>
      <c r="G5" s="6">
        <f>$G$77-3230</f>
        <v>0</v>
      </c>
      <c r="H5" s="6">
        <f>$H$77-1263.85285714286</f>
        <v>892.13142857142975</v>
      </c>
      <c r="I5" s="6">
        <f>(50994.9604659609)/1000+67.6650432674641</f>
        <v>118.660003733425</v>
      </c>
      <c r="J5" s="9">
        <f>(140162.030977052)/1000</f>
        <v>140.16203097705198</v>
      </c>
      <c r="K5" s="7"/>
      <c r="L5" s="7"/>
      <c r="M5" s="15"/>
    </row>
    <row r="6" spans="1:13" s="1" customFormat="1" x14ac:dyDescent="0.25">
      <c r="A6" s="8">
        <v>5</v>
      </c>
      <c r="B6" s="5" t="s">
        <v>5</v>
      </c>
      <c r="C6" s="5" t="s">
        <v>6</v>
      </c>
      <c r="D6" s="5" t="s">
        <v>8</v>
      </c>
      <c r="E6" s="6">
        <f>(38934.7981252565)/1000+48.2576526341859</f>
        <v>87.192450759442409</v>
      </c>
      <c r="F6" s="5">
        <v>85.600000000000023</v>
      </c>
      <c r="G6" s="6">
        <f t="shared" ref="G6:G11" si="0">$G$77-1882.62857142857</f>
        <v>1347.37142857143</v>
      </c>
      <c r="H6" s="6">
        <f>$H$77-1610.79285714286</f>
        <v>545.19142857142992</v>
      </c>
      <c r="I6" s="6">
        <f>(14352.103323104)/1000+67.6650432674641</f>
        <v>82.017146590568103</v>
      </c>
      <c r="J6" s="9">
        <f>(103519.173834195)/1000</f>
        <v>103.519173834195</v>
      </c>
      <c r="K6" s="7"/>
      <c r="L6" s="7"/>
      <c r="M6" s="2"/>
    </row>
    <row r="7" spans="1:13" x14ac:dyDescent="0.25">
      <c r="A7" s="8">
        <v>6</v>
      </c>
      <c r="B7" s="8" t="s">
        <v>5</v>
      </c>
      <c r="C7" s="8" t="s">
        <v>6</v>
      </c>
      <c r="D7" s="5" t="s">
        <v>2</v>
      </c>
      <c r="E7" s="6">
        <f>(31606.2266966851)/1000+48.2576526341859</f>
        <v>79.863879330871001</v>
      </c>
      <c r="F7" s="5">
        <v>85.600000000000023</v>
      </c>
      <c r="G7" s="6">
        <f t="shared" si="0"/>
        <v>1347.37142857143</v>
      </c>
      <c r="H7" s="6">
        <f>$H$77-821.504357142857</f>
        <v>1334.479928571433</v>
      </c>
      <c r="I7" s="6">
        <f>(7023.53189453273)/1000+67.6650432674641</f>
        <v>74.688575161996823</v>
      </c>
      <c r="J7" s="9">
        <f>(96190.6024056235)/1000</f>
        <v>96.190602405623508</v>
      </c>
      <c r="K7" s="7"/>
      <c r="L7" s="7"/>
      <c r="M7" s="2"/>
    </row>
    <row r="8" spans="1:13" x14ac:dyDescent="0.25">
      <c r="A8" s="4">
        <v>7</v>
      </c>
      <c r="B8" s="8" t="s">
        <v>5</v>
      </c>
      <c r="C8" s="8" t="s">
        <v>6</v>
      </c>
      <c r="D8" s="5" t="s">
        <v>4</v>
      </c>
      <c r="E8" s="6">
        <f>(26720.5124109708)/1000+48.2576526341859</f>
        <v>74.9781650451567</v>
      </c>
      <c r="F8" s="5">
        <v>85.600000000000023</v>
      </c>
      <c r="G8" s="6">
        <f t="shared" si="0"/>
        <v>1347.37142857143</v>
      </c>
      <c r="H8" s="6">
        <f>$H$77-692.640928571429</f>
        <v>1463.3433571428609</v>
      </c>
      <c r="I8" s="6">
        <f>(2137.81760881841)/1000+67.6650432674641</f>
        <v>69.802860876282509</v>
      </c>
      <c r="J8" s="9">
        <f>(91304.8881199092)/1000</f>
        <v>91.304888119909194</v>
      </c>
      <c r="K8" s="7"/>
      <c r="L8" s="7"/>
      <c r="M8" s="2"/>
    </row>
    <row r="9" spans="1:13" s="1" customFormat="1" x14ac:dyDescent="0.25">
      <c r="A9" s="8">
        <v>8</v>
      </c>
      <c r="B9" s="5" t="s">
        <v>5</v>
      </c>
      <c r="C9" s="5" t="s">
        <v>10</v>
      </c>
      <c r="D9" s="5" t="s">
        <v>8</v>
      </c>
      <c r="E9" s="6">
        <f>(7991.9409823995)/1000+48.2576526341859</f>
        <v>56.2495936165854</v>
      </c>
      <c r="F9" s="5">
        <v>85.600000000000023</v>
      </c>
      <c r="G9" s="6">
        <f t="shared" si="0"/>
        <v>1347.37142857143</v>
      </c>
      <c r="H9" s="6">
        <f>$H$77-1610.79285714286</f>
        <v>545.19142857142992</v>
      </c>
      <c r="I9" s="6">
        <f>(-16590.7538197531)/1000+67.6650432674641</f>
        <v>51.074289447710996</v>
      </c>
      <c r="J9" s="9">
        <f>(72576.3166913379)/1000</f>
        <v>72.576316691337894</v>
      </c>
      <c r="K9" s="7"/>
      <c r="L9" s="7"/>
      <c r="M9" s="2"/>
    </row>
    <row r="10" spans="1:13" x14ac:dyDescent="0.25">
      <c r="A10" s="8">
        <v>9</v>
      </c>
      <c r="B10" s="8" t="s">
        <v>5</v>
      </c>
      <c r="C10" s="5" t="s">
        <v>10</v>
      </c>
      <c r="D10" s="5" t="s">
        <v>2</v>
      </c>
      <c r="E10" s="6">
        <f>(663.369553828146)/1000+48.2576526341859</f>
        <v>48.921022188014049</v>
      </c>
      <c r="F10" s="5">
        <v>85.600000000000023</v>
      </c>
      <c r="G10" s="6">
        <f t="shared" si="0"/>
        <v>1347.37142857143</v>
      </c>
      <c r="H10" s="6">
        <f>$H$77-821.504357142857</f>
        <v>1334.479928571433</v>
      </c>
      <c r="I10" s="6">
        <f>(-23919.3252483245)/1000+67.6650432674641</f>
        <v>43.745718019139602</v>
      </c>
      <c r="J10" s="9">
        <f>(65247.7452627664)/1000</f>
        <v>65.247745262766401</v>
      </c>
      <c r="K10" s="7"/>
      <c r="L10" s="7"/>
      <c r="M10" s="2"/>
    </row>
    <row r="11" spans="1:13" x14ac:dyDescent="0.25">
      <c r="A11" s="4">
        <v>10</v>
      </c>
      <c r="B11" s="8" t="s">
        <v>5</v>
      </c>
      <c r="C11" s="5" t="s">
        <v>10</v>
      </c>
      <c r="D11" s="5" t="s">
        <v>4</v>
      </c>
      <c r="E11" s="6">
        <f>(-21322.3447318859)/1000+48.2576526341859</f>
        <v>26.935307902300003</v>
      </c>
      <c r="F11" s="5">
        <v>85.600000000000023</v>
      </c>
      <c r="G11" s="6">
        <f t="shared" si="0"/>
        <v>1347.37142857143</v>
      </c>
      <c r="H11" s="6">
        <f>$H$77-692.640928571429</f>
        <v>1463.3433571428609</v>
      </c>
      <c r="I11" s="6">
        <f>(-45905.0395340388)/1000+67.6650432674641</f>
        <v>21.7600037334253</v>
      </c>
      <c r="J11" s="9">
        <f>(43262.0309770524)/1000</f>
        <v>43.262030977052405</v>
      </c>
      <c r="K11" s="7"/>
      <c r="L11" s="7"/>
      <c r="M11" s="2"/>
    </row>
    <row r="12" spans="1:13" x14ac:dyDescent="0.25">
      <c r="A12" s="8">
        <v>11</v>
      </c>
      <c r="B12" s="8" t="s">
        <v>5</v>
      </c>
      <c r="C12" s="8" t="s">
        <v>7</v>
      </c>
      <c r="D12" s="5" t="s">
        <v>9</v>
      </c>
      <c r="E12" s="6">
        <f>(84534.7981252568)/1000+48.2576526341859</f>
        <v>132.79245075944272</v>
      </c>
      <c r="F12" s="5">
        <v>85.600000000000023</v>
      </c>
      <c r="G12" s="6">
        <f>$G$77-1107.42857142857</f>
        <v>2122.5714285714303</v>
      </c>
      <c r="H12" s="6">
        <f>$H$77-2155.98428571429</f>
        <v>0</v>
      </c>
      <c r="I12" s="6">
        <f>(59952.103323104)/1000+67.6650432674641</f>
        <v>127.6171465905681</v>
      </c>
      <c r="J12" s="9">
        <f>(149119.173834195)/1000</f>
        <v>149.11917383419501</v>
      </c>
      <c r="K12" s="7"/>
      <c r="L12" s="7"/>
      <c r="M12" s="2"/>
    </row>
    <row r="13" spans="1:13" x14ac:dyDescent="0.25">
      <c r="A13" s="8">
        <v>12</v>
      </c>
      <c r="B13" s="8" t="s">
        <v>5</v>
      </c>
      <c r="C13" s="8" t="s">
        <v>7</v>
      </c>
      <c r="D13" s="5" t="s">
        <v>2</v>
      </c>
      <c r="E13" s="6">
        <f>(73134.7981252566)/1000+48.2576526341859</f>
        <v>121.3924507594425</v>
      </c>
      <c r="F13" s="5">
        <v>85.600000000000023</v>
      </c>
      <c r="G13" s="6">
        <f>$G$77-1107.42857142857</f>
        <v>2122.5714285714303</v>
      </c>
      <c r="H13" s="6">
        <f>$H$77-1263.85285714286</f>
        <v>892.13142857142975</v>
      </c>
      <c r="I13" s="6">
        <f>(48552.103323104)/1000+67.6650432674641</f>
        <v>116.21714659056809</v>
      </c>
      <c r="J13" s="9">
        <f>(137719.173834195)/1000</f>
        <v>137.719173834195</v>
      </c>
      <c r="K13" s="7"/>
      <c r="L13" s="7"/>
      <c r="M13" s="2"/>
    </row>
    <row r="14" spans="1:13" x14ac:dyDescent="0.25">
      <c r="A14" s="4">
        <v>13</v>
      </c>
      <c r="B14" s="8" t="s">
        <v>5</v>
      </c>
      <c r="C14" s="8" t="s">
        <v>7</v>
      </c>
      <c r="D14" s="5" t="s">
        <v>3</v>
      </c>
      <c r="E14" s="6">
        <f>(70691.9409823995)/1000+48.2576526341859</f>
        <v>118.94959361658539</v>
      </c>
      <c r="F14" s="5">
        <v>85.600000000000023</v>
      </c>
      <c r="G14" s="6">
        <f>$G$77-1107.42857142857</f>
        <v>2122.5714285714303</v>
      </c>
      <c r="H14" s="6">
        <f>$H$77-1709.91857142857</f>
        <v>446.06571428571988</v>
      </c>
      <c r="I14" s="6">
        <f>(46109.2461802468)/1000+67.6650432674641</f>
        <v>113.7742894477109</v>
      </c>
      <c r="J14" s="9">
        <f>(135276.316691338)/1000</f>
        <v>135.276316691338</v>
      </c>
      <c r="K14" s="7"/>
      <c r="L14" s="7"/>
      <c r="M14" s="2"/>
    </row>
    <row r="15" spans="1:13" x14ac:dyDescent="0.25">
      <c r="A15" s="8">
        <v>14</v>
      </c>
      <c r="B15" s="8" t="s">
        <v>5</v>
      </c>
      <c r="C15" s="8" t="s">
        <v>7</v>
      </c>
      <c r="D15" s="5" t="s">
        <v>4</v>
      </c>
      <c r="E15" s="6">
        <f>(51149.0838395424)/1000+48.2576526341859</f>
        <v>99.406736473728301</v>
      </c>
      <c r="F15" s="5">
        <v>85.600000000000023</v>
      </c>
      <c r="G15" s="6">
        <f>$G$77-1107.42857142857</f>
        <v>2122.5714285714303</v>
      </c>
      <c r="H15" s="6">
        <f>$H$77-1065.60142857143</f>
        <v>1090.3828571428598</v>
      </c>
      <c r="I15" s="6">
        <f>(26566.3890373895)/1000+67.6650432674641</f>
        <v>94.231432304853598</v>
      </c>
      <c r="J15" s="9">
        <f>(115733.459548481)/1000</f>
        <v>115.73345954848099</v>
      </c>
      <c r="K15" s="7"/>
      <c r="L15" s="7"/>
      <c r="M15" s="2"/>
    </row>
    <row r="16" spans="1:13" x14ac:dyDescent="0.25">
      <c r="A16" s="8">
        <v>15</v>
      </c>
      <c r="B16" s="8" t="s">
        <v>16</v>
      </c>
      <c r="C16" s="4" t="s">
        <v>0</v>
      </c>
      <c r="D16" s="4" t="s">
        <v>9</v>
      </c>
      <c r="E16" s="6">
        <f>(75310.9069353393)/1000+48.2576526341859</f>
        <v>123.56855956952521</v>
      </c>
      <c r="F16" s="5">
        <v>106.80000000000007</v>
      </c>
      <c r="G16" s="6">
        <f>$G$77-3230</f>
        <v>0</v>
      </c>
      <c r="H16" s="6">
        <f>$H$77-2155.98428571429</f>
        <v>0</v>
      </c>
      <c r="I16" s="6">
        <f>(50728.2121331866)/1000+67.6650432674641</f>
        <v>118.3932554006507</v>
      </c>
      <c r="J16" s="9">
        <f>(139895.282644278)/1000</f>
        <v>139.89528264427798</v>
      </c>
      <c r="K16" s="7"/>
      <c r="L16" s="7"/>
      <c r="M16" s="2"/>
    </row>
    <row r="17" spans="1:13" x14ac:dyDescent="0.25">
      <c r="A17" s="4">
        <v>16</v>
      </c>
      <c r="B17" s="8" t="s">
        <v>16</v>
      </c>
      <c r="C17" s="8" t="s">
        <v>0</v>
      </c>
      <c r="D17" s="8" t="s">
        <v>3</v>
      </c>
      <c r="E17" s="6">
        <f>(61468.0497924822)/1000+48.2576526341859</f>
        <v>109.72570242666811</v>
      </c>
      <c r="F17" s="5">
        <v>106.80000000000007</v>
      </c>
      <c r="G17" s="6">
        <f>$G$77-3230</f>
        <v>0</v>
      </c>
      <c r="H17" s="6">
        <f>$H$77-1709.9</f>
        <v>446.08428571428976</v>
      </c>
      <c r="I17" s="6">
        <f>(36885.3549903293)/1000+67.6650432674641</f>
        <v>104.5503982577934</v>
      </c>
      <c r="J17" s="9">
        <f>(126052.425501421)/1000</f>
        <v>126.05242550142101</v>
      </c>
      <c r="K17" s="7"/>
      <c r="L17" s="7"/>
      <c r="M17" s="2"/>
    </row>
    <row r="18" spans="1:13" x14ac:dyDescent="0.25">
      <c r="A18" s="8">
        <v>17</v>
      </c>
      <c r="B18" s="8" t="s">
        <v>16</v>
      </c>
      <c r="C18" s="8" t="s">
        <v>0</v>
      </c>
      <c r="D18" s="8" t="s">
        <v>4</v>
      </c>
      <c r="E18" s="6">
        <f>(41925.192649625)/1000+48.2576526341859</f>
        <v>90.182845283810906</v>
      </c>
      <c r="F18" s="5">
        <v>106.80000000000007</v>
      </c>
      <c r="G18" s="6">
        <f>$G$77-3230</f>
        <v>0</v>
      </c>
      <c r="H18" s="6">
        <f>$H$77-1065.6</f>
        <v>1090.3842857142899</v>
      </c>
      <c r="I18" s="6">
        <f>(17342.4978474723)/1000+67.6650432674641</f>
        <v>85.007541114936402</v>
      </c>
      <c r="J18" s="9">
        <f>(106509.568358563)/1000</f>
        <v>106.509568358563</v>
      </c>
      <c r="K18" s="7"/>
      <c r="L18" s="7"/>
      <c r="M18" s="2"/>
    </row>
    <row r="19" spans="1:13" x14ac:dyDescent="0.25">
      <c r="A19" s="8">
        <v>18</v>
      </c>
      <c r="B19" s="8" t="s">
        <v>16</v>
      </c>
      <c r="C19" s="10" t="s">
        <v>0</v>
      </c>
      <c r="D19" s="10" t="s">
        <v>2</v>
      </c>
      <c r="E19" s="6">
        <f>(63910.9069353393)/1000+48.2576526341859</f>
        <v>112.1685595695252</v>
      </c>
      <c r="F19" s="5">
        <v>106.80000000000007</v>
      </c>
      <c r="G19" s="6">
        <f>$G$77-3230</f>
        <v>0</v>
      </c>
      <c r="H19" s="6">
        <f>$H$77-1263.85285714286</f>
        <v>892.13142857142975</v>
      </c>
      <c r="I19" s="6">
        <f>(39328.2121331866)/1000+67.6650432674641</f>
        <v>106.9932554006507</v>
      </c>
      <c r="J19" s="9">
        <f>(128495.282644278)/1000</f>
        <v>128.49528264427801</v>
      </c>
      <c r="K19" s="7"/>
      <c r="L19" s="7"/>
      <c r="M19" s="2"/>
    </row>
    <row r="20" spans="1:13" x14ac:dyDescent="0.25">
      <c r="A20" s="4">
        <v>19</v>
      </c>
      <c r="B20" s="8" t="s">
        <v>16</v>
      </c>
      <c r="C20" s="5" t="s">
        <v>6</v>
      </c>
      <c r="D20" s="5" t="s">
        <v>8</v>
      </c>
      <c r="E20" s="6">
        <f>(44368.049792482)/1000+48.2576526341859</f>
        <v>92.625702426667914</v>
      </c>
      <c r="F20" s="5">
        <v>106.80000000000007</v>
      </c>
      <c r="G20" s="6">
        <f t="shared" ref="G20:G25" si="1">$G$77-1882.62857142857</f>
        <v>1347.37142857143</v>
      </c>
      <c r="H20" s="6">
        <f>$H$77-1610.79285714286</f>
        <v>545.19142857142992</v>
      </c>
      <c r="I20" s="6">
        <f>(19785.3549903293)/1000+67.6650432674641</f>
        <v>87.450398257793395</v>
      </c>
      <c r="J20" s="9">
        <f>(108952.42550142)/1000</f>
        <v>108.95242550142001</v>
      </c>
      <c r="K20" s="7"/>
      <c r="L20" s="7"/>
      <c r="M20" s="2"/>
    </row>
    <row r="21" spans="1:13" x14ac:dyDescent="0.25">
      <c r="A21" s="8">
        <v>20</v>
      </c>
      <c r="B21" s="8" t="s">
        <v>16</v>
      </c>
      <c r="C21" s="8" t="s">
        <v>6</v>
      </c>
      <c r="D21" s="4" t="s">
        <v>2</v>
      </c>
      <c r="E21" s="6">
        <f>(37039.4783639106)/1000+48.2576526341859</f>
        <v>85.297130998096506</v>
      </c>
      <c r="F21" s="5">
        <v>106.80000000000007</v>
      </c>
      <c r="G21" s="6">
        <f t="shared" si="1"/>
        <v>1347.37142857143</v>
      </c>
      <c r="H21" s="6">
        <f>$H$77-821.504357142857</f>
        <v>1334.479928571433</v>
      </c>
      <c r="I21" s="6">
        <f>(12456.7835617579)/1000+67.6650432674641</f>
        <v>80.121826829222002</v>
      </c>
      <c r="J21" s="9">
        <f>(101623.854072849)/1000</f>
        <v>101.623854072849</v>
      </c>
      <c r="K21" s="7"/>
      <c r="L21" s="7"/>
      <c r="M21" s="2"/>
    </row>
    <row r="22" spans="1:13" x14ac:dyDescent="0.25">
      <c r="A22" s="8">
        <v>21</v>
      </c>
      <c r="B22" s="8" t="s">
        <v>16</v>
      </c>
      <c r="C22" s="8" t="s">
        <v>6</v>
      </c>
      <c r="D22" s="5" t="s">
        <v>4</v>
      </c>
      <c r="E22" s="6">
        <f>(15053.7640781966)/1000+48.2576526341859</f>
        <v>63.311416712382503</v>
      </c>
      <c r="F22" s="5">
        <v>106.80000000000007</v>
      </c>
      <c r="G22" s="6">
        <f t="shared" si="1"/>
        <v>1347.37142857143</v>
      </c>
      <c r="H22" s="6">
        <f>$H$77-692.640928571429</f>
        <v>1463.3433571428609</v>
      </c>
      <c r="I22" s="6">
        <f>(-9528.93072395632)/1000+67.6650432674641</f>
        <v>58.136112543507778</v>
      </c>
      <c r="J22" s="9">
        <f>(79638.1397871349)/1000</f>
        <v>79.638139787134904</v>
      </c>
      <c r="K22" s="7"/>
      <c r="L22" s="7"/>
      <c r="M22" s="2"/>
    </row>
    <row r="23" spans="1:13" x14ac:dyDescent="0.25">
      <c r="A23" s="4">
        <v>22</v>
      </c>
      <c r="B23" s="8" t="s">
        <v>16</v>
      </c>
      <c r="C23" s="5" t="s">
        <v>10</v>
      </c>
      <c r="D23" s="5" t="s">
        <v>8</v>
      </c>
      <c r="E23" s="6">
        <f>(-3674.80735037499)/1000+48.2576526341859</f>
        <v>44.582845283810911</v>
      </c>
      <c r="F23" s="5">
        <v>106.80000000000007</v>
      </c>
      <c r="G23" s="6">
        <f t="shared" si="1"/>
        <v>1347.37142857143</v>
      </c>
      <c r="H23" s="6">
        <f>$H$77-1610.79285714286</f>
        <v>545.19142857142992</v>
      </c>
      <c r="I23" s="6">
        <f>(-28257.5021525276)/1000+67.6650432674641</f>
        <v>39.4075411149365</v>
      </c>
      <c r="J23" s="9">
        <f>(60909.5683585633)/1000</f>
        <v>60.909568358563298</v>
      </c>
      <c r="K23" s="7"/>
      <c r="L23" s="7"/>
      <c r="M23" s="2"/>
    </row>
    <row r="24" spans="1:13" x14ac:dyDescent="0.25">
      <c r="A24" s="8">
        <v>23</v>
      </c>
      <c r="B24" s="8" t="s">
        <v>16</v>
      </c>
      <c r="C24" s="5" t="s">
        <v>10</v>
      </c>
      <c r="D24" s="4" t="s">
        <v>2</v>
      </c>
      <c r="E24" s="6">
        <f>(-11003.3787789463)/1000+48.2576526341859</f>
        <v>37.254273855239603</v>
      </c>
      <c r="F24" s="5">
        <v>106.80000000000007</v>
      </c>
      <c r="G24" s="6">
        <f t="shared" si="1"/>
        <v>1347.37142857143</v>
      </c>
      <c r="H24" s="6">
        <f>$H$77-821.504357142857</f>
        <v>1334.479928571433</v>
      </c>
      <c r="I24" s="6">
        <f>(-35586.073581099)/1000+67.6650432674641</f>
        <v>32.078969686365099</v>
      </c>
      <c r="J24" s="9">
        <f>(53580.9969299919)/1000</f>
        <v>53.580996929991905</v>
      </c>
      <c r="K24" s="7"/>
      <c r="L24" s="7"/>
      <c r="M24" s="2"/>
    </row>
    <row r="25" spans="1:13" x14ac:dyDescent="0.25">
      <c r="A25" s="8">
        <v>24</v>
      </c>
      <c r="B25" s="8" t="s">
        <v>16</v>
      </c>
      <c r="C25" s="5" t="s">
        <v>10</v>
      </c>
      <c r="D25" s="8" t="s">
        <v>4</v>
      </c>
      <c r="E25" s="6">
        <f>(-32989.0930646606)/1000+48.2576526341859</f>
        <v>15.268559569525301</v>
      </c>
      <c r="F25" s="5">
        <v>106.80000000000007</v>
      </c>
      <c r="G25" s="6">
        <f t="shared" si="1"/>
        <v>1347.37142857143</v>
      </c>
      <c r="H25" s="6">
        <f>$H$77-692.640928571429</f>
        <v>1463.3433571428609</v>
      </c>
      <c r="I25" s="6">
        <f>(-57571.7878668135)/1000+67.6650432674641</f>
        <v>10.093255400650598</v>
      </c>
      <c r="J25" s="9">
        <f>(31595.2826442776)/1000</f>
        <v>31.595282644277599</v>
      </c>
      <c r="K25" s="7"/>
      <c r="L25" s="7"/>
      <c r="M25" s="2"/>
    </row>
    <row r="26" spans="1:13" x14ac:dyDescent="0.25">
      <c r="A26" s="4">
        <v>25</v>
      </c>
      <c r="B26" s="8" t="s">
        <v>16</v>
      </c>
      <c r="C26" s="8" t="s">
        <v>7</v>
      </c>
      <c r="D26" s="8" t="s">
        <v>9</v>
      </c>
      <c r="E26" s="6">
        <f>(72868.0497924823)/1000+48.2576526341859</f>
        <v>121.1257024266682</v>
      </c>
      <c r="F26" s="5">
        <v>106.80000000000007</v>
      </c>
      <c r="G26" s="6">
        <f>$G$77-1107.42857142857</f>
        <v>2122.5714285714303</v>
      </c>
      <c r="H26" s="6">
        <f>$H$77-2155.98428571429</f>
        <v>0</v>
      </c>
      <c r="I26" s="6">
        <f>(48285.3549903293)/1000+67.6650432674641</f>
        <v>115.95039825779341</v>
      </c>
      <c r="J26" s="9">
        <f>(137452.425501421)/1000</f>
        <v>137.452425501421</v>
      </c>
      <c r="K26" s="7"/>
      <c r="L26" s="7"/>
      <c r="M26" s="2"/>
    </row>
    <row r="27" spans="1:13" x14ac:dyDescent="0.25">
      <c r="A27" s="8">
        <v>26</v>
      </c>
      <c r="B27" s="8" t="s">
        <v>16</v>
      </c>
      <c r="C27" s="8" t="s">
        <v>7</v>
      </c>
      <c r="D27" s="4" t="s">
        <v>2</v>
      </c>
      <c r="E27" s="6">
        <f>(61468.0497924822)/1000+48.2576526341859</f>
        <v>109.72570242666811</v>
      </c>
      <c r="F27" s="5">
        <v>106.80000000000007</v>
      </c>
      <c r="G27" s="6">
        <f>$G$77-1107.42857142857</f>
        <v>2122.5714285714303</v>
      </c>
      <c r="H27" s="6">
        <f>$H$77-1263.85285714286</f>
        <v>892.13142857142975</v>
      </c>
      <c r="I27" s="6">
        <f>(36885.3549903293)/1000+67.6650432674641</f>
        <v>104.5503982577934</v>
      </c>
      <c r="J27" s="9">
        <f>(126052.425501421)/1000</f>
        <v>126.05242550142101</v>
      </c>
      <c r="K27" s="7"/>
      <c r="L27" s="7"/>
      <c r="M27" s="2"/>
    </row>
    <row r="28" spans="1:13" x14ac:dyDescent="0.25">
      <c r="A28" s="8">
        <v>27</v>
      </c>
      <c r="B28" s="8" t="s">
        <v>16</v>
      </c>
      <c r="C28" s="8" t="s">
        <v>7</v>
      </c>
      <c r="D28" s="8" t="s">
        <v>3</v>
      </c>
      <c r="E28" s="6">
        <f>(59025.192649625)/1000+48.2576526341859</f>
        <v>107.2828452838109</v>
      </c>
      <c r="F28" s="5">
        <v>106.80000000000007</v>
      </c>
      <c r="G28" s="6">
        <f>$G$77-1107.42857142857</f>
        <v>2122.5714285714303</v>
      </c>
      <c r="H28" s="6">
        <f>$H$77-1709.91857142857</f>
        <v>446.06571428571988</v>
      </c>
      <c r="I28" s="6">
        <f>(34442.497847472)/1000+67.6650432674641</f>
        <v>102.1075411149361</v>
      </c>
      <c r="J28" s="9">
        <f>(123609.568358563)/1000</f>
        <v>123.60956835856301</v>
      </c>
      <c r="K28" s="7"/>
      <c r="L28" s="7"/>
      <c r="M28" s="2"/>
    </row>
    <row r="29" spans="1:13" x14ac:dyDescent="0.25">
      <c r="A29" s="4">
        <v>28</v>
      </c>
      <c r="B29" s="8" t="s">
        <v>16</v>
      </c>
      <c r="C29" s="8" t="s">
        <v>7</v>
      </c>
      <c r="D29" s="8" t="s">
        <v>4</v>
      </c>
      <c r="E29" s="6">
        <f>(39482.3355067677)/1000+48.2576526341859</f>
        <v>87.739988140953599</v>
      </c>
      <c r="F29" s="5">
        <v>106.80000000000007</v>
      </c>
      <c r="G29" s="6">
        <f>$G$77-1107.42857142857</f>
        <v>2122.5714285714303</v>
      </c>
      <c r="H29" s="6">
        <f>$H$77-1065.60142857143</f>
        <v>1090.3828571428598</v>
      </c>
      <c r="I29" s="6">
        <f>(14899.640704615)/1000+67.6650432674641</f>
        <v>82.564683972079095</v>
      </c>
      <c r="J29" s="9">
        <f>(104066.711215706)/1000</f>
        <v>104.06671121570601</v>
      </c>
      <c r="K29" s="7"/>
      <c r="L29" s="7"/>
      <c r="M29" s="2"/>
    </row>
    <row r="30" spans="1:13" x14ac:dyDescent="0.25">
      <c r="A30" s="8">
        <v>29</v>
      </c>
      <c r="B30" s="8" t="s">
        <v>17</v>
      </c>
      <c r="C30" s="4" t="s">
        <v>0</v>
      </c>
      <c r="D30" s="4" t="s">
        <v>9</v>
      </c>
      <c r="E30" s="6">
        <f>(39410.4633078432)/1000+48.2576526341859</f>
        <v>87.668115942029104</v>
      </c>
      <c r="F30" s="5">
        <v>147.20000000000005</v>
      </c>
      <c r="G30" s="6">
        <f>$G$77-2550</f>
        <v>680</v>
      </c>
      <c r="H30" s="6">
        <f>$H$77-1702.09285714286</f>
        <v>453.89142857142974</v>
      </c>
      <c r="I30" s="6">
        <f>(20003.0726745649)/1000+67.6650432674641</f>
        <v>87.668115942029004</v>
      </c>
      <c r="J30" s="9">
        <f>(90398.1283412157)/1000</f>
        <v>90.39812834121571</v>
      </c>
      <c r="K30" s="7"/>
      <c r="L30" s="7"/>
      <c r="M30" s="2"/>
    </row>
    <row r="31" spans="1:13" x14ac:dyDescent="0.25">
      <c r="A31" s="8">
        <v>30</v>
      </c>
      <c r="B31" s="8" t="s">
        <v>17</v>
      </c>
      <c r="C31" s="8" t="s">
        <v>0</v>
      </c>
      <c r="D31" s="8" t="s">
        <v>3</v>
      </c>
      <c r="E31" s="6">
        <f>(28481.8918792718)/1000+48.2576526341859</f>
        <v>76.739544513457702</v>
      </c>
      <c r="F31" s="5">
        <v>147.20000000000005</v>
      </c>
      <c r="G31" s="6">
        <f>$G$77-2550</f>
        <v>680</v>
      </c>
      <c r="H31" s="6">
        <f>$H$77-1349.93571428571</f>
        <v>806.04857142857986</v>
      </c>
      <c r="I31" s="6">
        <f>(9074.50124599318)/1000+67.6650432674641</f>
        <v>76.739544513457275</v>
      </c>
      <c r="J31" s="9">
        <f>(79469.5569126443)/1000</f>
        <v>79.469556912644308</v>
      </c>
      <c r="K31" s="7"/>
      <c r="L31" s="7"/>
      <c r="M31" s="2"/>
    </row>
    <row r="32" spans="1:13" x14ac:dyDescent="0.25">
      <c r="A32" s="4">
        <v>31</v>
      </c>
      <c r="B32" s="8" t="s">
        <v>17</v>
      </c>
      <c r="C32" s="8" t="s">
        <v>0</v>
      </c>
      <c r="D32" s="8" t="s">
        <v>4</v>
      </c>
      <c r="E32" s="6">
        <f>(13053.3204507003)/1000+48.2576526341859</f>
        <v>61.3109730848862</v>
      </c>
      <c r="F32" s="5">
        <v>147.20000000000005</v>
      </c>
      <c r="G32" s="6">
        <f>$G$77-2550</f>
        <v>680</v>
      </c>
      <c r="H32" s="6">
        <f>$H$77-841.264285714286</f>
        <v>1314.7200000000039</v>
      </c>
      <c r="I32" s="6">
        <f>(-6354.07018257817)/1000+67.6650432674641</f>
        <v>61.31097308488593</v>
      </c>
      <c r="J32" s="9">
        <f>(64040.9854840728)/1000</f>
        <v>64.040985484072806</v>
      </c>
      <c r="K32" s="7"/>
      <c r="L32" s="7"/>
      <c r="M32" s="2"/>
    </row>
    <row r="33" spans="1:13" x14ac:dyDescent="0.25">
      <c r="A33" s="8">
        <v>32</v>
      </c>
      <c r="B33" s="8" t="s">
        <v>17</v>
      </c>
      <c r="C33" s="8" t="s">
        <v>0</v>
      </c>
      <c r="D33" s="10" t="s">
        <v>2</v>
      </c>
      <c r="E33" s="6">
        <f>(30410.4633078432)/1000+48.2576526341859</f>
        <v>78.668115942029104</v>
      </c>
      <c r="F33" s="5">
        <v>147.20000000000005</v>
      </c>
      <c r="G33" s="6">
        <f>$G$77-2550</f>
        <v>680</v>
      </c>
      <c r="H33" s="6">
        <f>$H$77-997.778571428572</f>
        <v>1158.2057142857179</v>
      </c>
      <c r="I33" s="6">
        <f>(11003.0726745647)/1000+67.6650432674641</f>
        <v>78.668115942028805</v>
      </c>
      <c r="J33" s="9">
        <f>(81398.1283412157)/1000</f>
        <v>81.39812834121571</v>
      </c>
      <c r="K33" s="7"/>
      <c r="L33" s="7"/>
      <c r="M33" s="2"/>
    </row>
    <row r="34" spans="1:13" x14ac:dyDescent="0.25">
      <c r="A34" s="8">
        <v>33</v>
      </c>
      <c r="B34" s="8" t="s">
        <v>17</v>
      </c>
      <c r="C34" s="5" t="s">
        <v>6</v>
      </c>
      <c r="D34" s="5" t="s">
        <v>8</v>
      </c>
      <c r="E34" s="6">
        <f>(1481.89187927183)/1000+48.2576526341859</f>
        <v>49.73954451345773</v>
      </c>
      <c r="F34" s="5">
        <v>147.20000000000005</v>
      </c>
      <c r="G34" s="6">
        <f t="shared" ref="G34:G39" si="2">$G$77-1486.28571428571</f>
        <v>1743.7142857142901</v>
      </c>
      <c r="H34" s="6">
        <f>$H$77-1271.67857142857</f>
        <v>884.30571428571989</v>
      </c>
      <c r="I34" s="6">
        <f>(-17925.4987540068)/1000+67.6650432674641</f>
        <v>49.739544513457304</v>
      </c>
      <c r="J34" s="9">
        <f>(52469.5569126443)/1000</f>
        <v>52.4695569126443</v>
      </c>
      <c r="K34" s="7"/>
      <c r="L34" s="7"/>
      <c r="M34" s="2"/>
    </row>
    <row r="35" spans="1:13" x14ac:dyDescent="0.25">
      <c r="A35" s="4">
        <v>34</v>
      </c>
      <c r="B35" s="8" t="s">
        <v>17</v>
      </c>
      <c r="C35" s="8" t="s">
        <v>6</v>
      </c>
      <c r="D35" s="4" t="s">
        <v>2</v>
      </c>
      <c r="E35" s="6">
        <f>(9196.17759355762)/1000+48.2576526341859</f>
        <v>57.453830227743524</v>
      </c>
      <c r="F35" s="5">
        <v>147.20000000000005</v>
      </c>
      <c r="G35" s="6">
        <f t="shared" si="2"/>
        <v>1743.7142857142901</v>
      </c>
      <c r="H35" s="6">
        <f>$H$77-648.556071428572</f>
        <v>1507.4282142857178</v>
      </c>
      <c r="I35" s="6">
        <f>(-10211.2130397208)/1000+67.6650432674641</f>
        <v>57.453830227743296</v>
      </c>
      <c r="J35" s="9">
        <f>(60183.8426269301)/1000</f>
        <v>60.183842626930101</v>
      </c>
      <c r="K35" s="7"/>
      <c r="L35" s="7"/>
      <c r="M35" s="2"/>
    </row>
    <row r="36" spans="1:13" x14ac:dyDescent="0.25">
      <c r="A36" s="8">
        <v>35</v>
      </c>
      <c r="B36" s="8" t="s">
        <v>17</v>
      </c>
      <c r="C36" s="8" t="s">
        <v>6</v>
      </c>
      <c r="D36" s="5" t="s">
        <v>4</v>
      </c>
      <c r="E36" s="6">
        <f>(-8160.96526358532)/1000+48.2576526341859</f>
        <v>40.096687370600584</v>
      </c>
      <c r="F36" s="5">
        <v>147.20000000000005</v>
      </c>
      <c r="G36" s="6">
        <f t="shared" si="2"/>
        <v>1743.7142857142901</v>
      </c>
      <c r="H36" s="6">
        <f>$H$77-546.821785714286</f>
        <v>1609.162500000004</v>
      </c>
      <c r="I36" s="6">
        <f>(-27568.3558968637)/1000+67.6650432674641</f>
        <v>40.096687370600399</v>
      </c>
      <c r="J36" s="9">
        <f>(42826.6997697871)/1000</f>
        <v>42.826699769787098</v>
      </c>
      <c r="K36" s="7"/>
      <c r="L36" s="7"/>
      <c r="M36" s="2"/>
    </row>
    <row r="37" spans="1:13" x14ac:dyDescent="0.25">
      <c r="A37" s="8">
        <v>36</v>
      </c>
      <c r="B37" s="8" t="s">
        <v>17</v>
      </c>
      <c r="C37" s="5" t="s">
        <v>10</v>
      </c>
      <c r="D37" s="5" t="s">
        <v>8</v>
      </c>
      <c r="E37" s="6">
        <f>(-22946.6795492995)/1000+48.2576526341859</f>
        <v>25.310973084886403</v>
      </c>
      <c r="F37" s="5">
        <v>147.20000000000005</v>
      </c>
      <c r="G37" s="6">
        <f t="shared" si="2"/>
        <v>1743.7142857142901</v>
      </c>
      <c r="H37" s="6">
        <f>$H$77-1271.67857142857</f>
        <v>884.30571428571989</v>
      </c>
      <c r="I37" s="6">
        <f>(-42354.0701825781)/1000+67.6650432674641</f>
        <v>25.310973084886001</v>
      </c>
      <c r="J37" s="9">
        <f>(28040.9854840729)/1000</f>
        <v>28.040985484072898</v>
      </c>
      <c r="K37" s="7"/>
      <c r="L37" s="7"/>
      <c r="M37" s="2"/>
    </row>
    <row r="38" spans="1:13" x14ac:dyDescent="0.25">
      <c r="A38" s="4">
        <v>37</v>
      </c>
      <c r="B38" s="8" t="s">
        <v>17</v>
      </c>
      <c r="C38" s="5" t="s">
        <v>10</v>
      </c>
      <c r="D38" s="4" t="s">
        <v>2</v>
      </c>
      <c r="E38" s="6">
        <f>(-28732.3938350139)/1000+48.2576526341859</f>
        <v>19.525258799172004</v>
      </c>
      <c r="F38" s="5">
        <v>147.20000000000005</v>
      </c>
      <c r="G38" s="6">
        <f t="shared" si="2"/>
        <v>1743.7142857142901</v>
      </c>
      <c r="H38" s="6">
        <f>$H$77-648.556071428572</f>
        <v>1507.4282142857178</v>
      </c>
      <c r="I38" s="6">
        <f>(-48139.7844682924)/1000+67.6650432674641</f>
        <v>19.525258799171702</v>
      </c>
      <c r="J38" s="9">
        <f>(22255.2711983585)/1000</f>
        <v>22.2552711983585</v>
      </c>
      <c r="K38" s="7"/>
      <c r="L38" s="7"/>
      <c r="M38" s="2"/>
    </row>
    <row r="39" spans="1:13" x14ac:dyDescent="0.25">
      <c r="A39" s="8">
        <v>38</v>
      </c>
      <c r="B39" s="8" t="s">
        <v>17</v>
      </c>
      <c r="C39" s="5" t="s">
        <v>10</v>
      </c>
      <c r="D39" s="8" t="s">
        <v>4</v>
      </c>
      <c r="E39" s="6">
        <f>(-46089.5366921566)/1000+48.2576526341859</f>
        <v>2.1681159420293028</v>
      </c>
      <c r="F39" s="5">
        <v>147.20000000000005</v>
      </c>
      <c r="G39" s="6">
        <f t="shared" si="2"/>
        <v>1743.7142857142901</v>
      </c>
      <c r="H39" s="6">
        <f>$H$77-546.821785714286</f>
        <v>1609.162500000004</v>
      </c>
      <c r="I39" s="6">
        <f>(-65496.9273254351)/1000+67.6650432674641</f>
        <v>2.1681159420290044</v>
      </c>
      <c r="J39" s="9">
        <f>(4898.12834121589)/1000</f>
        <v>4.89812834121589</v>
      </c>
      <c r="K39" s="7"/>
      <c r="L39" s="7"/>
      <c r="M39" s="2"/>
    </row>
    <row r="40" spans="1:13" x14ac:dyDescent="0.25">
      <c r="A40" s="8">
        <v>39</v>
      </c>
      <c r="B40" s="8" t="s">
        <v>17</v>
      </c>
      <c r="C40" s="8" t="s">
        <v>7</v>
      </c>
      <c r="D40" s="8" t="s">
        <v>9</v>
      </c>
      <c r="E40" s="6">
        <f>(37481.8918792719)/1000+48.2576526341859</f>
        <v>85.739544513457801</v>
      </c>
      <c r="F40" s="5">
        <v>147.20000000000005</v>
      </c>
      <c r="G40" s="6">
        <f>$G$77-874.285714285714</f>
        <v>2355.7142857142862</v>
      </c>
      <c r="H40" s="6">
        <f>$H$77-1702.09285714286</f>
        <v>453.89142857142974</v>
      </c>
      <c r="I40" s="6">
        <f>(18074.5012459934)/1000+67.6650432674641</f>
        <v>85.739544513457503</v>
      </c>
      <c r="J40" s="9">
        <f>(88469.5569126444)/1000</f>
        <v>88.469556912644407</v>
      </c>
      <c r="K40" s="7"/>
      <c r="L40" s="7"/>
      <c r="M40" s="2"/>
    </row>
    <row r="41" spans="1:13" x14ac:dyDescent="0.25">
      <c r="A41" s="4">
        <v>40</v>
      </c>
      <c r="B41" s="8" t="s">
        <v>17</v>
      </c>
      <c r="C41" s="8" t="s">
        <v>7</v>
      </c>
      <c r="D41" s="4" t="s">
        <v>2</v>
      </c>
      <c r="E41" s="6">
        <f>(28481.8918792718)/1000+48.2576526341859</f>
        <v>76.739544513457702</v>
      </c>
      <c r="F41" s="5">
        <v>147.20000000000005</v>
      </c>
      <c r="G41" s="6">
        <f>$G$77-874.285714285714</f>
        <v>2355.7142857142862</v>
      </c>
      <c r="H41" s="6">
        <f>$H$77-997.778571428572</f>
        <v>1158.2057142857179</v>
      </c>
      <c r="I41" s="6">
        <f>(9074.50124599318)/1000+67.6650432674641</f>
        <v>76.739544513457275</v>
      </c>
      <c r="J41" s="9">
        <f>(79469.5569126443)/1000</f>
        <v>79.469556912644308</v>
      </c>
      <c r="K41" s="7"/>
      <c r="L41" s="7"/>
      <c r="M41" s="2"/>
    </row>
    <row r="42" spans="1:13" x14ac:dyDescent="0.25">
      <c r="A42" s="8">
        <v>41</v>
      </c>
      <c r="B42" s="8" t="s">
        <v>17</v>
      </c>
      <c r="C42" s="8" t="s">
        <v>7</v>
      </c>
      <c r="D42" s="8" t="s">
        <v>3</v>
      </c>
      <c r="E42" s="6">
        <f>(26553.3204507003)/1000+48.2576526341859</f>
        <v>74.8109730848862</v>
      </c>
      <c r="F42" s="5">
        <v>147.20000000000005</v>
      </c>
      <c r="G42" s="6">
        <f>$G$77-874.285714285714</f>
        <v>2355.7142857142862</v>
      </c>
      <c r="H42" s="6">
        <f>$H$77-1349.93571428571</f>
        <v>806.04857142857986</v>
      </c>
      <c r="I42" s="6">
        <f>(7145.92981742194)/1000+67.6650432674641</f>
        <v>74.810973084886044</v>
      </c>
      <c r="J42" s="9">
        <f>(77540.9854840728)/1000</f>
        <v>77.540985484072792</v>
      </c>
      <c r="K42" s="7"/>
      <c r="L42" s="7"/>
      <c r="M42" s="2"/>
    </row>
    <row r="43" spans="1:13" x14ac:dyDescent="0.25">
      <c r="A43" s="8">
        <v>42</v>
      </c>
      <c r="B43" s="8" t="s">
        <v>17</v>
      </c>
      <c r="C43" s="8" t="s">
        <v>7</v>
      </c>
      <c r="D43" s="8" t="s">
        <v>4</v>
      </c>
      <c r="E43" s="6">
        <f>(11124.7490221289)/1000+48.2576526341859</f>
        <v>59.382401656314805</v>
      </c>
      <c r="F43" s="5">
        <v>147.20000000000005</v>
      </c>
      <c r="G43" s="6">
        <f>$G$77-874.285714285714</f>
        <v>2355.7142857142862</v>
      </c>
      <c r="H43" s="6">
        <f>$H$77-841.264285714286</f>
        <v>1314.7200000000039</v>
      </c>
      <c r="I43" s="6">
        <f>(-8282.64161114965)/1000+67.6650432674641</f>
        <v>59.38240165631445</v>
      </c>
      <c r="J43" s="9">
        <f>(62112.4140555015)/1000</f>
        <v>62.112414055501496</v>
      </c>
      <c r="K43" s="7"/>
      <c r="L43" s="7"/>
      <c r="M43" s="2"/>
    </row>
    <row r="44" spans="1:13" x14ac:dyDescent="0.25">
      <c r="A44" s="4">
        <v>43</v>
      </c>
      <c r="B44" s="8" t="s">
        <v>18</v>
      </c>
      <c r="C44" s="4" t="s">
        <v>0</v>
      </c>
      <c r="D44" s="4" t="s">
        <v>9</v>
      </c>
      <c r="E44" s="6">
        <f>(44741.2676742977)/1000+48.2576526341859</f>
        <v>92.998920308483605</v>
      </c>
      <c r="F44" s="5">
        <v>145.39999999999998</v>
      </c>
      <c r="G44" s="6">
        <f>$G$77-2550</f>
        <v>680</v>
      </c>
      <c r="H44" s="6">
        <f>$H$77-1702.09285714286</f>
        <v>453.89142857142974</v>
      </c>
      <c r="I44" s="6">
        <f>(25333.8770410192)/1000+67.6650432674641</f>
        <v>92.998920308483292</v>
      </c>
      <c r="J44" s="9">
        <f>(95728.9327076703)/1000</f>
        <v>95.72893270767031</v>
      </c>
      <c r="K44" s="7"/>
      <c r="L44" s="7"/>
      <c r="M44" s="2"/>
    </row>
    <row r="45" spans="1:13" x14ac:dyDescent="0.25">
      <c r="A45" s="8">
        <v>44</v>
      </c>
      <c r="B45" s="8" t="s">
        <v>18</v>
      </c>
      <c r="C45" s="8" t="s">
        <v>0</v>
      </c>
      <c r="D45" s="8" t="s">
        <v>3</v>
      </c>
      <c r="E45" s="6">
        <f>(33812.6962457263)/1000+48.2576526341859</f>
        <v>82.070348879912203</v>
      </c>
      <c r="F45" s="5">
        <v>145.39999999999998</v>
      </c>
      <c r="G45" s="6">
        <f>$G$77-2550</f>
        <v>680</v>
      </c>
      <c r="H45" s="6">
        <f>$H$77-1349.93571428571</f>
        <v>806.04857142857986</v>
      </c>
      <c r="I45" s="6">
        <f>(14405.3056124476)/1000+67.6650432674641</f>
        <v>82.070348879911705</v>
      </c>
      <c r="J45" s="9">
        <f>(84800.3612790988)/1000</f>
        <v>84.800361279098794</v>
      </c>
      <c r="K45" s="7"/>
      <c r="L45" s="7"/>
      <c r="M45" s="2"/>
    </row>
    <row r="46" spans="1:13" x14ac:dyDescent="0.25">
      <c r="A46" s="8">
        <v>45</v>
      </c>
      <c r="B46" s="8" t="s">
        <v>18</v>
      </c>
      <c r="C46" s="8" t="s">
        <v>0</v>
      </c>
      <c r="D46" s="8" t="s">
        <v>4</v>
      </c>
      <c r="E46" s="6">
        <f>(18384.1248171547)/1000+48.2576526341859</f>
        <v>66.641777451340602</v>
      </c>
      <c r="F46" s="5">
        <v>145.39999999999998</v>
      </c>
      <c r="G46" s="6">
        <f>$G$77-2550</f>
        <v>680</v>
      </c>
      <c r="H46" s="6">
        <f>$H$77-841.264285714286</f>
        <v>1314.7200000000039</v>
      </c>
      <c r="I46" s="6">
        <f>(-1023.26581612369)/1000+67.6650432674641</f>
        <v>66.641777451340403</v>
      </c>
      <c r="J46" s="9">
        <f>(69371.7898505272)/1000</f>
        <v>69.371789850527207</v>
      </c>
      <c r="K46" s="7"/>
      <c r="L46" s="7"/>
      <c r="M46" s="2"/>
    </row>
    <row r="47" spans="1:13" x14ac:dyDescent="0.25">
      <c r="A47" s="4">
        <v>46</v>
      </c>
      <c r="B47" s="8" t="s">
        <v>18</v>
      </c>
      <c r="C47" s="8" t="s">
        <v>0</v>
      </c>
      <c r="D47" s="10" t="s">
        <v>2</v>
      </c>
      <c r="E47" s="6">
        <f>(35741.2676742977)/1000+48.2576526341859</f>
        <v>83.998920308483605</v>
      </c>
      <c r="F47" s="5">
        <v>145.39999999999998</v>
      </c>
      <c r="G47" s="6">
        <f>$G$77-2550</f>
        <v>680</v>
      </c>
      <c r="H47" s="6">
        <f>$H$77-997.778571428572</f>
        <v>1158.2057142857179</v>
      </c>
      <c r="I47" s="6">
        <f>(16333.8770410192)/1000+67.6650432674641</f>
        <v>83.998920308483292</v>
      </c>
      <c r="J47" s="9">
        <f>(86728.9327076703)/1000</f>
        <v>86.72893270767031</v>
      </c>
      <c r="K47" s="7"/>
      <c r="L47" s="7"/>
      <c r="M47" s="2"/>
    </row>
    <row r="48" spans="1:13" x14ac:dyDescent="0.25">
      <c r="A48" s="8">
        <v>47</v>
      </c>
      <c r="B48" s="8" t="s">
        <v>18</v>
      </c>
      <c r="C48" s="5" t="s">
        <v>6</v>
      </c>
      <c r="D48" s="5" t="s">
        <v>8</v>
      </c>
      <c r="E48" s="6">
        <f>(20312.6962457261)/1000+48.2576526341859</f>
        <v>68.570348879912004</v>
      </c>
      <c r="F48" s="5">
        <v>145.39999999999998</v>
      </c>
      <c r="G48" s="6">
        <f t="shared" ref="G48:G53" si="3">$G$77-1486.28571428571</f>
        <v>1743.7142857142901</v>
      </c>
      <c r="H48" s="6">
        <f>$H$77-1271.67857142857</f>
        <v>884.30571428571989</v>
      </c>
      <c r="I48" s="6">
        <f>(905.305612447671)/1000+67.6650432674641</f>
        <v>68.570348879911776</v>
      </c>
      <c r="J48" s="9">
        <f>(71300.3612790987)/1000</f>
        <v>71.300361279098695</v>
      </c>
      <c r="K48" s="7"/>
      <c r="L48" s="7"/>
      <c r="M48" s="2"/>
    </row>
    <row r="49" spans="1:13" x14ac:dyDescent="0.25">
      <c r="A49" s="8">
        <v>48</v>
      </c>
      <c r="B49" s="8" t="s">
        <v>18</v>
      </c>
      <c r="C49" s="8" t="s">
        <v>6</v>
      </c>
      <c r="D49" s="4" t="s">
        <v>2</v>
      </c>
      <c r="E49" s="6">
        <f>(14526.981960012)/1000+48.2576526341859</f>
        <v>62.784634594197904</v>
      </c>
      <c r="F49" s="5">
        <v>145.39999999999998</v>
      </c>
      <c r="G49" s="6">
        <f t="shared" si="3"/>
        <v>1743.7142857142901</v>
      </c>
      <c r="H49" s="6">
        <f>$H$77-648.556071428572</f>
        <v>1507.4282142857178</v>
      </c>
      <c r="I49" s="6">
        <f>(-4880.40867326653)/1000+67.6650432674641</f>
        <v>62.78463459419757</v>
      </c>
      <c r="J49" s="9">
        <f>(65514.6469933844)/1000</f>
        <v>65.514646993384403</v>
      </c>
      <c r="K49" s="7"/>
      <c r="L49" s="7"/>
      <c r="M49" s="2"/>
    </row>
    <row r="50" spans="1:13" x14ac:dyDescent="0.25">
      <c r="A50" s="4">
        <v>49</v>
      </c>
      <c r="B50" s="8" t="s">
        <v>18</v>
      </c>
      <c r="C50" s="8" t="s">
        <v>6</v>
      </c>
      <c r="D50" s="8" t="s">
        <v>4</v>
      </c>
      <c r="E50" s="6">
        <f>(-2830.16089713084)/1000+48.2576526341859</f>
        <v>45.427491737055064</v>
      </c>
      <c r="F50" s="5">
        <v>145.39999999999998</v>
      </c>
      <c r="G50" s="6">
        <f t="shared" si="3"/>
        <v>1743.7142857142901</v>
      </c>
      <c r="H50" s="6">
        <f>$H$77-546.821785714286</f>
        <v>1609.162500000004</v>
      </c>
      <c r="I50" s="6">
        <f>(-22237.5515304095)/1000+67.6650432674641</f>
        <v>45.427491737054602</v>
      </c>
      <c r="J50" s="9">
        <f>(48157.5041362416)/1000</f>
        <v>48.157504136241599</v>
      </c>
      <c r="K50" s="7"/>
      <c r="L50" s="7"/>
      <c r="M50" s="2"/>
    </row>
    <row r="51" spans="1:13" x14ac:dyDescent="0.25">
      <c r="A51" s="8">
        <v>50</v>
      </c>
      <c r="B51" s="8" t="s">
        <v>18</v>
      </c>
      <c r="C51" s="5" t="s">
        <v>10</v>
      </c>
      <c r="D51" s="5" t="s">
        <v>8</v>
      </c>
      <c r="E51" s="6">
        <f>(-17615.875182845)/1000+48.2576526341859</f>
        <v>30.641777451340904</v>
      </c>
      <c r="F51" s="5">
        <v>145.39999999999998</v>
      </c>
      <c r="G51" s="6">
        <f t="shared" si="3"/>
        <v>1743.7142857142901</v>
      </c>
      <c r="H51" s="6">
        <f>$H$77-1271.67857142857</f>
        <v>884.30571428571989</v>
      </c>
      <c r="I51" s="6">
        <f>(-37023.2658161236)/1000+67.6650432674641</f>
        <v>30.641777451340495</v>
      </c>
      <c r="J51" s="9">
        <f>(33371.7898505274)/1000</f>
        <v>33.371789850527399</v>
      </c>
      <c r="K51" s="7"/>
      <c r="L51" s="7"/>
      <c r="M51" s="2"/>
    </row>
    <row r="52" spans="1:13" x14ac:dyDescent="0.25">
      <c r="A52" s="8">
        <v>51</v>
      </c>
      <c r="B52" s="8" t="s">
        <v>18</v>
      </c>
      <c r="C52" s="5" t="s">
        <v>10</v>
      </c>
      <c r="D52" s="4" t="s">
        <v>2</v>
      </c>
      <c r="E52" s="6">
        <f>(-23401.5894685594)/1000+48.2576526341859</f>
        <v>24.856063165626502</v>
      </c>
      <c r="F52" s="5">
        <v>145.39999999999998</v>
      </c>
      <c r="G52" s="6">
        <f t="shared" si="3"/>
        <v>1743.7142857142901</v>
      </c>
      <c r="H52" s="6">
        <f>$H$77-648.556071428572</f>
        <v>1507.4282142857178</v>
      </c>
      <c r="I52" s="6">
        <f>(-42808.9801018379)/1000+67.6650432674641</f>
        <v>24.856063165626196</v>
      </c>
      <c r="J52" s="9">
        <f>(27586.075564813)/1000</f>
        <v>27.586075564813001</v>
      </c>
      <c r="K52" s="7"/>
      <c r="L52" s="7"/>
      <c r="M52" s="2"/>
    </row>
    <row r="53" spans="1:13" x14ac:dyDescent="0.25">
      <c r="A53" s="4">
        <v>52</v>
      </c>
      <c r="B53" s="8" t="s">
        <v>18</v>
      </c>
      <c r="C53" s="5" t="s">
        <v>10</v>
      </c>
      <c r="D53" s="8" t="s">
        <v>4</v>
      </c>
      <c r="E53" s="6">
        <f>(-40758.7323257023)/1000+48.2576526341859</f>
        <v>7.4989203084835978</v>
      </c>
      <c r="F53" s="5">
        <v>145.39999999999998</v>
      </c>
      <c r="G53" s="6">
        <f t="shared" si="3"/>
        <v>1743.7142857142901</v>
      </c>
      <c r="H53" s="6">
        <f>$H$77-546.821785714286</f>
        <v>1609.162500000004</v>
      </c>
      <c r="I53" s="6">
        <f>(-60166.1229589808)/1000+67.6650432674641</f>
        <v>7.4989203084832994</v>
      </c>
      <c r="J53" s="9">
        <f>(10228.9327076701)/1000</f>
        <v>10.228932707670099</v>
      </c>
      <c r="K53" s="7"/>
      <c r="L53" s="7"/>
      <c r="M53" s="2"/>
    </row>
    <row r="54" spans="1:13" x14ac:dyDescent="0.25">
      <c r="A54" s="8">
        <v>53</v>
      </c>
      <c r="B54" s="8" t="s">
        <v>18</v>
      </c>
      <c r="C54" s="8" t="s">
        <v>7</v>
      </c>
      <c r="D54" s="8" t="s">
        <v>9</v>
      </c>
      <c r="E54" s="6">
        <f>(42812.6962457263)/1000+48.2576526341859</f>
        <v>91.070348879912203</v>
      </c>
      <c r="F54" s="5">
        <v>145.39999999999998</v>
      </c>
      <c r="G54" s="6">
        <f>$G$77-874.285714285714</f>
        <v>2355.7142857142862</v>
      </c>
      <c r="H54" s="6">
        <f>$H$77-1702.09285714286</f>
        <v>453.89142857142974</v>
      </c>
      <c r="I54" s="6">
        <f>(23405.3056124476)/1000+67.6650432674641</f>
        <v>91.070348879911705</v>
      </c>
      <c r="J54" s="9">
        <f>(93800.3612790988)/1000</f>
        <v>93.800361279098794</v>
      </c>
      <c r="K54" s="7"/>
      <c r="L54" s="7"/>
      <c r="M54" s="2"/>
    </row>
    <row r="55" spans="1:13" x14ac:dyDescent="0.25">
      <c r="A55" s="8">
        <v>54</v>
      </c>
      <c r="B55" s="8" t="s">
        <v>18</v>
      </c>
      <c r="C55" s="8" t="s">
        <v>7</v>
      </c>
      <c r="D55" s="4" t="s">
        <v>2</v>
      </c>
      <c r="E55" s="6">
        <f>(33812.6962457263)/1000+48.2576526341859</f>
        <v>82.070348879912203</v>
      </c>
      <c r="F55" s="5">
        <v>145.39999999999998</v>
      </c>
      <c r="G55" s="6">
        <f>$G$77-874.285714285714</f>
        <v>2355.7142857142862</v>
      </c>
      <c r="H55" s="6">
        <f>$H$77-997.778571428572</f>
        <v>1158.2057142857179</v>
      </c>
      <c r="I55" s="6">
        <f>(14405.3056124476)/1000+67.6650432674641</f>
        <v>82.070348879911705</v>
      </c>
      <c r="J55" s="9">
        <f>(84800.3612790988)/1000</f>
        <v>84.800361279098794</v>
      </c>
      <c r="K55" s="7"/>
      <c r="L55" s="7"/>
      <c r="M55" s="2"/>
    </row>
    <row r="56" spans="1:13" x14ac:dyDescent="0.25">
      <c r="A56" s="4">
        <v>55</v>
      </c>
      <c r="B56" s="8" t="s">
        <v>18</v>
      </c>
      <c r="C56" s="8" t="s">
        <v>7</v>
      </c>
      <c r="D56" s="8" t="s">
        <v>3</v>
      </c>
      <c r="E56" s="6">
        <f>(31884.1248171548)/1000+48.2576526341859</f>
        <v>80.141777451340701</v>
      </c>
      <c r="F56" s="5">
        <v>145.39999999999998</v>
      </c>
      <c r="G56" s="6">
        <f>$G$77-874.285714285714</f>
        <v>2355.7142857142862</v>
      </c>
      <c r="H56" s="6">
        <f>$H$77-1349.93571428571</f>
        <v>806.04857142857986</v>
      </c>
      <c r="I56" s="6">
        <f>(12476.7341838763)/1000+67.6650432674641</f>
        <v>80.141777451340403</v>
      </c>
      <c r="J56" s="9">
        <f>(82871.7898505273)/1000</f>
        <v>82.871789850527307</v>
      </c>
      <c r="K56" s="7"/>
      <c r="L56" s="7"/>
      <c r="M56" s="2"/>
    </row>
    <row r="57" spans="1:13" x14ac:dyDescent="0.25">
      <c r="A57" s="8">
        <v>56</v>
      </c>
      <c r="B57" s="8" t="s">
        <v>18</v>
      </c>
      <c r="C57" s="8" t="s">
        <v>7</v>
      </c>
      <c r="D57" s="8" t="s">
        <v>4</v>
      </c>
      <c r="E57" s="6">
        <f>(16455.5533885832)/1000+48.2576526341859</f>
        <v>64.7132060227691</v>
      </c>
      <c r="F57" s="5">
        <v>145.39999999999998</v>
      </c>
      <c r="G57" s="6">
        <f>$G$77-874.285714285714</f>
        <v>2355.7142857142862</v>
      </c>
      <c r="H57" s="6">
        <f>$H$77-841.264285714286</f>
        <v>1314.7200000000039</v>
      </c>
      <c r="I57" s="6">
        <f>(-2951.83724469517)/1000+67.6650432674641</f>
        <v>64.713206022768929</v>
      </c>
      <c r="J57" s="9">
        <f>(67443.2184219557)/1000</f>
        <v>67.443218421955692</v>
      </c>
      <c r="K57" s="7"/>
      <c r="L57" s="7"/>
      <c r="M57" s="2"/>
    </row>
    <row r="58" spans="1:13" x14ac:dyDescent="0.25">
      <c r="A58" s="8">
        <v>57</v>
      </c>
      <c r="B58" s="8" t="s">
        <v>24</v>
      </c>
      <c r="C58" s="8" t="s">
        <v>0</v>
      </c>
      <c r="D58" s="4" t="s">
        <v>9</v>
      </c>
      <c r="E58" s="6">
        <f>(37242.3473658144)/1000+48.2576526341859</f>
        <v>85.500000000000298</v>
      </c>
      <c r="F58" s="6">
        <v>156.89999999999998</v>
      </c>
      <c r="G58" s="6">
        <f>$G$77-2550</f>
        <v>680</v>
      </c>
      <c r="H58" s="6">
        <f>$H$77-1702.09285714286</f>
        <v>453.89142857142974</v>
      </c>
      <c r="I58" s="6">
        <f>(17834.9567325359)/1000+67.6650432674641</f>
        <v>85.5</v>
      </c>
      <c r="J58" s="9">
        <f>(88230.012399187)/1000</f>
        <v>88.230012399187004</v>
      </c>
      <c r="K58" s="7"/>
      <c r="L58" s="7"/>
      <c r="M58" s="2"/>
    </row>
    <row r="59" spans="1:13" x14ac:dyDescent="0.25">
      <c r="A59" s="4">
        <v>58</v>
      </c>
      <c r="B59" s="8" t="s">
        <v>24</v>
      </c>
      <c r="C59" s="8" t="s">
        <v>0</v>
      </c>
      <c r="D59" s="8" t="s">
        <v>3</v>
      </c>
      <c r="E59" s="6">
        <f>(26313.7759372428)/1000+48.2576526341859</f>
        <v>74.571428571428697</v>
      </c>
      <c r="F59" s="6">
        <v>156.89999999999998</v>
      </c>
      <c r="G59" s="6">
        <f>$G$77-2550</f>
        <v>680</v>
      </c>
      <c r="H59" s="6">
        <f>$H$77-1349.93571428571</f>
        <v>806.04857142857986</v>
      </c>
      <c r="I59" s="6">
        <f>(6906.38530396437)/1000+67.6650432674641</f>
        <v>74.57142857142847</v>
      </c>
      <c r="J59" s="9">
        <f>(77301.4409706153)/1000</f>
        <v>77.301440970615289</v>
      </c>
      <c r="K59" s="7"/>
      <c r="L59" s="7"/>
      <c r="M59" s="2"/>
    </row>
    <row r="60" spans="1:13" x14ac:dyDescent="0.25">
      <c r="A60" s="8">
        <v>59</v>
      </c>
      <c r="B60" s="8" t="s">
        <v>24</v>
      </c>
      <c r="C60" s="8" t="s">
        <v>0</v>
      </c>
      <c r="D60" s="8" t="s">
        <v>4</v>
      </c>
      <c r="E60" s="6">
        <f>(10885.2045086714)/1000+48.2576526341859</f>
        <v>59.142857142857302</v>
      </c>
      <c r="F60" s="6">
        <v>156.89999999999998</v>
      </c>
      <c r="G60" s="6">
        <f>$G$77-2550</f>
        <v>680</v>
      </c>
      <c r="H60" s="6">
        <f>$H$77-841.264285714286</f>
        <v>1314.7200000000039</v>
      </c>
      <c r="I60" s="6">
        <f>(-8522.18612460711)/1000+67.6650432674641</f>
        <v>59.14285714285699</v>
      </c>
      <c r="J60" s="9">
        <f>(61872.8695420438)/1000</f>
        <v>61.872869542043802</v>
      </c>
      <c r="K60" s="7"/>
      <c r="L60" s="7"/>
      <c r="M60" s="2"/>
    </row>
    <row r="61" spans="1:13" x14ac:dyDescent="0.25">
      <c r="A61" s="8">
        <v>60</v>
      </c>
      <c r="B61" s="8" t="s">
        <v>24</v>
      </c>
      <c r="C61" s="10" t="s">
        <v>0</v>
      </c>
      <c r="D61" s="10" t="s">
        <v>2</v>
      </c>
      <c r="E61" s="6">
        <f>(28242.3473658142)/1000+48.2576526341859</f>
        <v>76.500000000000099</v>
      </c>
      <c r="F61" s="6">
        <v>156.89999999999998</v>
      </c>
      <c r="G61" s="6">
        <f>$G$77-2550</f>
        <v>680</v>
      </c>
      <c r="H61" s="6">
        <f>$H$77-997.778571428572</f>
        <v>1158.2057142857179</v>
      </c>
      <c r="I61" s="6">
        <f>(8834.95673253585)/1000+67.6650432674641</f>
        <v>76.499999999999943</v>
      </c>
      <c r="J61" s="9">
        <f>(79230.0123991867)/1000</f>
        <v>79.230012399186705</v>
      </c>
      <c r="K61" s="7"/>
      <c r="L61" s="7"/>
      <c r="M61" s="2"/>
    </row>
    <row r="62" spans="1:13" s="1" customFormat="1" x14ac:dyDescent="0.25">
      <c r="A62" s="4">
        <v>61</v>
      </c>
      <c r="B62" s="8" t="s">
        <v>24</v>
      </c>
      <c r="C62" s="5" t="s">
        <v>6</v>
      </c>
      <c r="D62" s="5" t="s">
        <v>8</v>
      </c>
      <c r="E62" s="6">
        <f>(12813.7759372428)/1000+48.2576526341859</f>
        <v>61.071428571428704</v>
      </c>
      <c r="F62" s="6">
        <v>156.89999999999998</v>
      </c>
      <c r="G62" s="6">
        <f t="shared" ref="G62:G67" si="4">$G$77-1486.28571428571</f>
        <v>1743.7142857142901</v>
      </c>
      <c r="H62" s="6">
        <f>$H$77-1271.67857142857</f>
        <v>884.30571428571989</v>
      </c>
      <c r="I62" s="6">
        <f>(-6593.61469603562)/1000+67.6650432674641</f>
        <v>61.071428571428477</v>
      </c>
      <c r="J62" s="9">
        <f>(63801.4409706154)/1000</f>
        <v>63.801440970615396</v>
      </c>
      <c r="K62" s="7"/>
      <c r="L62" s="7"/>
      <c r="M62" s="2"/>
    </row>
    <row r="63" spans="1:13" x14ac:dyDescent="0.25">
      <c r="A63" s="8">
        <v>62</v>
      </c>
      <c r="B63" s="8" t="s">
        <v>24</v>
      </c>
      <c r="C63" s="8" t="s">
        <v>6</v>
      </c>
      <c r="D63" s="4" t="s">
        <v>2</v>
      </c>
      <c r="E63" s="6">
        <f>(7028.0616515287)/1000+48.2576526341859</f>
        <v>55.285714285714604</v>
      </c>
      <c r="F63" s="6">
        <v>156.89999999999998</v>
      </c>
      <c r="G63" s="6">
        <f t="shared" si="4"/>
        <v>1743.7142857142901</v>
      </c>
      <c r="H63" s="6">
        <f>$H$77-648.556071428572</f>
        <v>1507.4282142857178</v>
      </c>
      <c r="I63" s="6">
        <f>(-12379.3289817498)/1000+67.6650432674641</f>
        <v>55.285714285714299</v>
      </c>
      <c r="J63" s="9">
        <f>(58015.7266849011)/1000</f>
        <v>58.015726684901097</v>
      </c>
      <c r="K63" s="7"/>
      <c r="L63" s="7"/>
      <c r="M63" s="2"/>
    </row>
    <row r="64" spans="1:13" x14ac:dyDescent="0.25">
      <c r="A64" s="8">
        <v>63</v>
      </c>
      <c r="B64" s="8" t="s">
        <v>24</v>
      </c>
      <c r="C64" s="8" t="s">
        <v>6</v>
      </c>
      <c r="D64" s="5" t="s">
        <v>4</v>
      </c>
      <c r="E64" s="6">
        <f>(-10329.0812056141)/1000+48.2576526341859</f>
        <v>37.9285714285718</v>
      </c>
      <c r="F64" s="6">
        <v>156.89999999999998</v>
      </c>
      <c r="G64" s="6">
        <f t="shared" si="4"/>
        <v>1743.7142857142901</v>
      </c>
      <c r="H64" s="6">
        <f>$H$77-546.821785714286</f>
        <v>1609.162500000004</v>
      </c>
      <c r="I64" s="6">
        <f>(-29736.4718388926)/1000+67.6650432674641</f>
        <v>37.928571428571502</v>
      </c>
      <c r="J64" s="9">
        <f>(40658.5838277583)/1000</f>
        <v>40.658583827758299</v>
      </c>
      <c r="K64" s="7"/>
      <c r="L64" s="7"/>
      <c r="M64" s="2"/>
    </row>
    <row r="65" spans="1:13" s="1" customFormat="1" x14ac:dyDescent="0.25">
      <c r="A65" s="4">
        <v>64</v>
      </c>
      <c r="B65" s="8" t="s">
        <v>24</v>
      </c>
      <c r="C65" s="5" t="s">
        <v>10</v>
      </c>
      <c r="D65" s="5" t="s">
        <v>8</v>
      </c>
      <c r="E65" s="6">
        <f>(-25114.7954913283)/1000+48.2576526341859</f>
        <v>23.142857142857604</v>
      </c>
      <c r="F65" s="6">
        <v>156.89999999999998</v>
      </c>
      <c r="G65" s="6">
        <f t="shared" si="4"/>
        <v>1743.7142857142901</v>
      </c>
      <c r="H65" s="6">
        <f>$H$77-1271.67857142857</f>
        <v>884.30571428571989</v>
      </c>
      <c r="I65" s="6">
        <f>(-44522.1861246069)/1000+67.6650432674641</f>
        <v>23.142857142857196</v>
      </c>
      <c r="J65" s="9">
        <f>(25872.8695420441)/1000</f>
        <v>25.8728695420441</v>
      </c>
      <c r="K65" s="7"/>
      <c r="L65" s="7"/>
      <c r="M65" s="2"/>
    </row>
    <row r="66" spans="1:13" x14ac:dyDescent="0.25">
      <c r="A66" s="8">
        <v>65</v>
      </c>
      <c r="B66" s="8" t="s">
        <v>24</v>
      </c>
      <c r="C66" s="5" t="s">
        <v>10</v>
      </c>
      <c r="D66" s="4" t="s">
        <v>2</v>
      </c>
      <c r="E66" s="6">
        <f>(-30900.5097770427)/1000+48.2576526341859</f>
        <v>17.357142857143202</v>
      </c>
      <c r="F66" s="6">
        <v>156.89999999999998</v>
      </c>
      <c r="G66" s="6">
        <f t="shared" si="4"/>
        <v>1743.7142857142901</v>
      </c>
      <c r="H66" s="6">
        <f>$H$77-648.556071428572</f>
        <v>1507.4282142857178</v>
      </c>
      <c r="I66" s="6">
        <f>(-50307.9004103212)/1000+67.6650432674641</f>
        <v>17.357142857142904</v>
      </c>
      <c r="J66" s="9">
        <f>(20087.1552563297)/1000</f>
        <v>20.087155256329702</v>
      </c>
      <c r="K66" s="7"/>
      <c r="L66" s="7"/>
      <c r="M66" s="2"/>
    </row>
    <row r="67" spans="1:13" x14ac:dyDescent="0.25">
      <c r="A67" s="8">
        <v>66</v>
      </c>
      <c r="B67" s="8" t="s">
        <v>24</v>
      </c>
      <c r="C67" s="5" t="s">
        <v>10</v>
      </c>
      <c r="D67" s="8" t="s">
        <v>4</v>
      </c>
      <c r="E67" s="6">
        <f>(-48257.6526341859)/1000+48.2576526341859</f>
        <v>0</v>
      </c>
      <c r="F67" s="6">
        <v>156.89999999999998</v>
      </c>
      <c r="G67" s="6">
        <f t="shared" si="4"/>
        <v>1743.7142857142901</v>
      </c>
      <c r="H67" s="6">
        <f>$H$77-546.821785714286</f>
        <v>1609.162500000004</v>
      </c>
      <c r="I67" s="6">
        <f>(-67665.0432674641)/1000+67.6650432674641</f>
        <v>0</v>
      </c>
      <c r="J67" s="9">
        <f t="shared" ref="J67" si="5">(2730.01239918661)/1000</f>
        <v>2.7300123991866099</v>
      </c>
      <c r="K67" s="7"/>
      <c r="L67" s="7"/>
      <c r="M67" s="2"/>
    </row>
    <row r="68" spans="1:13" x14ac:dyDescent="0.25">
      <c r="A68" s="4">
        <v>67</v>
      </c>
      <c r="B68" s="8" t="s">
        <v>24</v>
      </c>
      <c r="C68" s="8" t="s">
        <v>7</v>
      </c>
      <c r="D68" s="4" t="s">
        <v>9</v>
      </c>
      <c r="E68" s="6">
        <f>(35313.775937243)/1000+48.2576526341859</f>
        <v>83.571428571428896</v>
      </c>
      <c r="F68" s="6">
        <v>156.89999999999998</v>
      </c>
      <c r="G68" s="6">
        <f>$G$77-874.285714285714</f>
        <v>2355.7142857142862</v>
      </c>
      <c r="H68" s="6">
        <f>$H$77-1702.09285714286</f>
        <v>453.89142857142974</v>
      </c>
      <c r="I68" s="6">
        <f>(15906.3853039643)/1000+67.6650432674641</f>
        <v>83.571428571428399</v>
      </c>
      <c r="J68" s="9">
        <f>(86301.4409706155)/1000</f>
        <v>86.301440970615502</v>
      </c>
      <c r="K68" s="7"/>
      <c r="L68" s="7"/>
      <c r="M68" s="2"/>
    </row>
    <row r="69" spans="1:13" x14ac:dyDescent="0.25">
      <c r="A69" s="8">
        <v>68</v>
      </c>
      <c r="B69" s="8" t="s">
        <v>24</v>
      </c>
      <c r="C69" s="8" t="s">
        <v>7</v>
      </c>
      <c r="D69" s="4" t="s">
        <v>2</v>
      </c>
      <c r="E69" s="6">
        <f>(26313.7759372428)/1000+48.2576526341859</f>
        <v>74.571428571428697</v>
      </c>
      <c r="F69" s="6">
        <v>156.89999999999998</v>
      </c>
      <c r="G69" s="6">
        <f>$G$77-874.285714285714</f>
        <v>2355.7142857142862</v>
      </c>
      <c r="H69" s="6">
        <f>$H$77-997.778571428572</f>
        <v>1158.2057142857179</v>
      </c>
      <c r="I69" s="6">
        <f>(6906.38530396437)/1000+67.6650432674641</f>
        <v>74.57142857142847</v>
      </c>
      <c r="J69" s="9">
        <f>(77301.4409706153)/1000</f>
        <v>77.301440970615289</v>
      </c>
      <c r="K69" s="7"/>
      <c r="L69" s="7"/>
      <c r="M69" s="2"/>
    </row>
    <row r="70" spans="1:13" x14ac:dyDescent="0.25">
      <c r="A70" s="8">
        <v>69</v>
      </c>
      <c r="B70" s="8" t="s">
        <v>24</v>
      </c>
      <c r="C70" s="8" t="s">
        <v>7</v>
      </c>
      <c r="D70" s="8" t="s">
        <v>3</v>
      </c>
      <c r="E70" s="6">
        <f>(24385.2045086715)/1000+48.2576526341859</f>
        <v>72.642857142857395</v>
      </c>
      <c r="F70" s="6">
        <v>156.89999999999998</v>
      </c>
      <c r="G70" s="6">
        <f>$G$77-874.285714285714</f>
        <v>2355.7142857142862</v>
      </c>
      <c r="H70" s="6">
        <f>$H$77-1349.93571428571</f>
        <v>806.04857142857986</v>
      </c>
      <c r="I70" s="6">
        <f>(4977.81387539301)/1000+67.6650432674641</f>
        <v>72.64285714285711</v>
      </c>
      <c r="J70" s="9">
        <f>(75372.869542044)/1000</f>
        <v>75.372869542044</v>
      </c>
      <c r="K70" s="7"/>
      <c r="L70" s="7"/>
      <c r="M70" s="2"/>
    </row>
    <row r="71" spans="1:13" ht="15.75" thickBot="1" x14ac:dyDescent="0.3">
      <c r="A71" s="24">
        <v>70</v>
      </c>
      <c r="B71" s="25" t="s">
        <v>24</v>
      </c>
      <c r="C71" s="25" t="s">
        <v>7</v>
      </c>
      <c r="D71" s="25" t="s">
        <v>4</v>
      </c>
      <c r="E71" s="26">
        <f>(8956.63308009994)/1000+48.2576526341859</f>
        <v>57.214285714285843</v>
      </c>
      <c r="F71" s="26">
        <v>156.89999999999998</v>
      </c>
      <c r="G71" s="26">
        <f>$G$77-874.285714285714</f>
        <v>2355.7142857142862</v>
      </c>
      <c r="H71" s="26">
        <f>$H$77-841.264285714286</f>
        <v>1314.7200000000039</v>
      </c>
      <c r="I71" s="26">
        <f>(-10450.7575531785)/1000+67.6650432674641</f>
        <v>57.214285714285602</v>
      </c>
      <c r="J71" s="27">
        <f>(59944.2981134724)/1000</f>
        <v>59.944298113472406</v>
      </c>
      <c r="K71" s="7"/>
      <c r="L71" s="7"/>
      <c r="M71" s="2"/>
    </row>
    <row r="72" spans="1:13" x14ac:dyDescent="0.25">
      <c r="A72" s="8"/>
      <c r="B72" s="8"/>
      <c r="C72" s="8"/>
      <c r="D72" s="8"/>
      <c r="E72" s="7"/>
      <c r="F72" s="5"/>
      <c r="G72" s="6"/>
      <c r="H72" s="6"/>
      <c r="I72" s="5"/>
      <c r="J72" s="8"/>
      <c r="K72" s="7"/>
    </row>
    <row r="73" spans="1:13" x14ac:dyDescent="0.25">
      <c r="A73" s="4"/>
      <c r="B73" s="8"/>
      <c r="C73" s="8"/>
      <c r="D73" s="8"/>
      <c r="E73" s="18"/>
      <c r="F73" s="7"/>
      <c r="G73" s="7"/>
      <c r="H73" s="7"/>
      <c r="I73" s="19"/>
      <c r="J73" s="18"/>
      <c r="K73" s="7"/>
    </row>
    <row r="74" spans="1:13" x14ac:dyDescent="0.25">
      <c r="D74" s="10"/>
      <c r="E74" s="2"/>
      <c r="F74" s="1"/>
      <c r="G74" s="3"/>
      <c r="H74" s="3"/>
      <c r="I74" s="3"/>
      <c r="J74" s="2"/>
    </row>
    <row r="75" spans="1:13" x14ac:dyDescent="0.25">
      <c r="I75" s="1"/>
      <c r="J75" s="2"/>
    </row>
    <row r="76" spans="1:13" x14ac:dyDescent="0.25">
      <c r="A76" t="s">
        <v>25</v>
      </c>
      <c r="I76" s="1"/>
      <c r="J76" s="11"/>
    </row>
    <row r="77" spans="1:13" ht="15.75" x14ac:dyDescent="0.25">
      <c r="A77" s="16">
        <v>15</v>
      </c>
      <c r="B77" s="16" t="s">
        <v>5</v>
      </c>
      <c r="C77" s="16" t="s">
        <v>0</v>
      </c>
      <c r="D77" s="16" t="s">
        <v>1</v>
      </c>
      <c r="E77" s="17">
        <f>(85946.3995697864)/1000</f>
        <v>85.946399569786408</v>
      </c>
      <c r="F77" s="28">
        <f>678.7-593.1</f>
        <v>85.600000000000023</v>
      </c>
      <c r="G77" s="29">
        <v>3230</v>
      </c>
      <c r="H77" s="29">
        <v>2155.9842857142899</v>
      </c>
      <c r="I77" s="29">
        <f>(-32134.2631817779)/1000</f>
        <v>-32.134263181777904</v>
      </c>
      <c r="J77" s="17">
        <f>(212621.702278329)/1000</f>
        <v>212.621702278329</v>
      </c>
    </row>
    <row r="78" spans="1:13" x14ac:dyDescent="0.25">
      <c r="I78" s="1"/>
    </row>
    <row r="79" spans="1:13" x14ac:dyDescent="0.25">
      <c r="I79" s="1"/>
    </row>
    <row r="80" spans="1:13" x14ac:dyDescent="0.25">
      <c r="I80" s="1"/>
    </row>
    <row r="81" spans="4:10" x14ac:dyDescent="0.25">
      <c r="H81" s="7"/>
      <c r="I81" s="1"/>
    </row>
    <row r="82" spans="4:10" x14ac:dyDescent="0.25">
      <c r="E82" s="2"/>
      <c r="F82" s="2"/>
      <c r="G82" s="6"/>
      <c r="I82" s="1"/>
    </row>
    <row r="83" spans="4:10" x14ac:dyDescent="0.25">
      <c r="E83" s="13"/>
      <c r="H83" s="2"/>
    </row>
    <row r="84" spans="4:10" x14ac:dyDescent="0.25">
      <c r="F84" s="2"/>
      <c r="G84" s="2"/>
      <c r="H84" s="2"/>
    </row>
    <row r="85" spans="4:10" x14ac:dyDescent="0.25">
      <c r="E85" s="2"/>
    </row>
    <row r="86" spans="4:10" x14ac:dyDescent="0.25">
      <c r="D86" s="13"/>
      <c r="G86" s="14"/>
      <c r="I86" s="2"/>
      <c r="J86" s="12"/>
    </row>
    <row r="87" spans="4:10" x14ac:dyDescent="0.25">
      <c r="E87" s="13"/>
      <c r="G87" s="14"/>
      <c r="I87" s="2"/>
      <c r="J87" s="12"/>
    </row>
    <row r="88" spans="4:10" x14ac:dyDescent="0.25">
      <c r="G88" s="12"/>
      <c r="H88" s="2"/>
      <c r="I88" s="2"/>
      <c r="J88" s="12"/>
    </row>
    <row r="89" spans="4:10" x14ac:dyDescent="0.25">
      <c r="G89" s="12"/>
      <c r="I89" s="2"/>
      <c r="J89" s="12"/>
    </row>
    <row r="90" spans="4:10" x14ac:dyDescent="0.25">
      <c r="G90" s="12"/>
      <c r="I90" s="2"/>
      <c r="J90" s="12"/>
    </row>
    <row r="91" spans="4:10" x14ac:dyDescent="0.25">
      <c r="G91" s="12"/>
      <c r="I91" s="2"/>
      <c r="J91" s="12"/>
    </row>
    <row r="92" spans="4:10" x14ac:dyDescent="0.25">
      <c r="G92" s="12"/>
      <c r="I92" s="2"/>
      <c r="J92" s="12"/>
    </row>
    <row r="93" spans="4:10" x14ac:dyDescent="0.25">
      <c r="G93" s="12"/>
      <c r="I93" s="2"/>
      <c r="J93" s="12"/>
    </row>
    <row r="94" spans="4:10" x14ac:dyDescent="0.25">
      <c r="G94" s="12"/>
      <c r="I94" s="2"/>
      <c r="J94" s="12"/>
    </row>
    <row r="95" spans="4:10" x14ac:dyDescent="0.25">
      <c r="G95" s="12"/>
      <c r="H95" s="2"/>
      <c r="I95" s="2"/>
      <c r="J95" s="12"/>
    </row>
    <row r="96" spans="4:10" x14ac:dyDescent="0.25">
      <c r="G96" s="12"/>
      <c r="I96" s="2"/>
      <c r="J96" s="12"/>
    </row>
    <row r="97" spans="7:10" x14ac:dyDescent="0.25">
      <c r="G97" s="12"/>
      <c r="I97" s="2"/>
      <c r="J97" s="12"/>
    </row>
    <row r="98" spans="7:10" x14ac:dyDescent="0.25">
      <c r="G98" s="12"/>
      <c r="I98" s="2"/>
      <c r="J98" s="12"/>
    </row>
    <row r="99" spans="7:10" x14ac:dyDescent="0.25">
      <c r="G99" s="12"/>
      <c r="I99" s="2"/>
      <c r="J99" s="12"/>
    </row>
  </sheetData>
  <conditionalFormatting sqref="A162">
    <cfRule type="expression" priority="1" stopIfTrue="1">
      <formula>IF(RiskSelectedNameCell1=CELL("address",$A$162),TRUE)</formula>
    </cfRule>
  </conditionalFormatting>
  <conditionalFormatting sqref="A243">
    <cfRule type="expression" dxfId="1" priority="2" stopIfTrue="1">
      <formula>IF(RiskSelectedNameCell1=CELL("address",$A$243),TRUE)</formula>
    </cfRule>
  </conditionalFormatting>
  <conditionalFormatting sqref="B198">
    <cfRule type="expression" dxfId="0" priority="3" stopIfTrue="1">
      <formula>IF(RiskSelectedNameCell2=CELL("address",$B$198),TRUE)</formula>
    </cfRule>
  </conditionalFormatting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RiskSerializationData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Vissers, Luuk</dc:creator>
  <cp:lastModifiedBy>Vissers, Luuk</cp:lastModifiedBy>
  <dcterms:created xsi:type="dcterms:W3CDTF">2020-06-30T14:06:11Z</dcterms:created>
  <dcterms:modified xsi:type="dcterms:W3CDTF">2021-07-23T14:40:50Z</dcterms:modified>
</cp:coreProperties>
</file>