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PSG\GlastuinbouwProjecten\414_GreenhouseTechnology\Katzin, David\Publications\HorchiModel 2023\"/>
    </mc:Choice>
  </mc:AlternateContent>
  <xr:revisionPtr revIDLastSave="0" documentId="13_ncr:1_{515D07B1-14D4-468A-AFEE-7CC6BB61D1A6}" xr6:coauthVersionLast="47" xr6:coauthVersionMax="47" xr10:uidLastSave="{00000000-0000-0000-0000-000000000000}"/>
  <bookViews>
    <workbookView xWindow="1515" yWindow="1515" windowWidth="38700" windowHeight="15435" xr2:uid="{00000000-000D-0000-FFFF-FFFF00000000}"/>
  </bookViews>
  <sheets>
    <sheet name="savedrec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7" i="1" l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6" i="1"/>
  <c r="AF2" i="1"/>
  <c r="AG2" i="1"/>
  <c r="U2" i="1"/>
  <c r="V2" i="1"/>
  <c r="W2" i="1"/>
  <c r="X2" i="1"/>
  <c r="Y2" i="1"/>
  <c r="Z2" i="1"/>
  <c r="AA2" i="1"/>
  <c r="AB2" i="1"/>
  <c r="AC2" i="1"/>
  <c r="AD2" i="1"/>
  <c r="AE2" i="1"/>
  <c r="T2" i="1"/>
  <c r="M7" i="1"/>
  <c r="M289" i="1"/>
  <c r="M2" i="1"/>
  <c r="M6" i="1"/>
  <c r="M265" i="1"/>
  <c r="M8" i="1"/>
  <c r="M182" i="1"/>
  <c r="M11" i="1"/>
  <c r="M227" i="1"/>
  <c r="M106" i="1"/>
  <c r="M290" i="1"/>
  <c r="M335" i="1"/>
  <c r="M183" i="1"/>
  <c r="M12" i="1"/>
  <c r="M375" i="1"/>
  <c r="M266" i="1"/>
  <c r="M240" i="1"/>
  <c r="M47" i="1"/>
  <c r="M184" i="1"/>
  <c r="M241" i="1"/>
  <c r="M4" i="1"/>
  <c r="M242" i="1"/>
  <c r="M243" i="1"/>
  <c r="M244" i="1"/>
  <c r="M130" i="1"/>
  <c r="M267" i="1"/>
  <c r="M214" i="1"/>
  <c r="M292" i="1"/>
  <c r="M336" i="1"/>
  <c r="M108" i="1"/>
  <c r="M79" i="1"/>
  <c r="M138" i="1"/>
  <c r="M337" i="1"/>
  <c r="M376" i="1"/>
  <c r="M338" i="1"/>
  <c r="M109" i="1"/>
  <c r="M158" i="1"/>
  <c r="M87" i="1"/>
  <c r="M159" i="1"/>
  <c r="M119" i="1"/>
  <c r="M30" i="1"/>
  <c r="M148" i="1"/>
  <c r="M268" i="1"/>
  <c r="M293" i="1"/>
  <c r="M402" i="1"/>
  <c r="M202" i="1"/>
  <c r="M245" i="1"/>
  <c r="M149" i="1"/>
  <c r="M35" i="1"/>
  <c r="M294" i="1"/>
  <c r="M246" i="1"/>
  <c r="M247" i="1"/>
  <c r="M340" i="1"/>
  <c r="M120" i="1"/>
  <c r="M341" i="1"/>
  <c r="M110" i="1"/>
  <c r="M139" i="1"/>
  <c r="M342" i="1"/>
  <c r="M97" i="1"/>
  <c r="M203" i="1"/>
  <c r="M140" i="1"/>
  <c r="M111" i="1"/>
  <c r="M131" i="1"/>
  <c r="M112" i="1"/>
  <c r="M141" i="1"/>
  <c r="M113" i="1"/>
  <c r="M343" i="1"/>
  <c r="M215" i="1"/>
  <c r="M114" i="1"/>
  <c r="M377" i="1"/>
  <c r="M62" i="1"/>
  <c r="M248" i="1"/>
  <c r="M228" i="1"/>
  <c r="M216" i="1"/>
  <c r="M173" i="1"/>
  <c r="M378" i="1"/>
  <c r="M48" i="1"/>
  <c r="M295" i="1"/>
  <c r="M49" i="1"/>
  <c r="M344" i="1"/>
  <c r="M269" i="1"/>
  <c r="M296" i="1"/>
  <c r="M345" i="1"/>
  <c r="M132" i="1"/>
  <c r="M346" i="1"/>
  <c r="M217" i="1"/>
  <c r="M297" i="1"/>
  <c r="M88" i="1"/>
  <c r="M82" i="1"/>
  <c r="M204" i="1"/>
  <c r="M229" i="1"/>
  <c r="M347" i="1"/>
  <c r="M298" i="1"/>
  <c r="M89" i="1"/>
  <c r="M19" i="1"/>
  <c r="M379" i="1"/>
  <c r="M90" i="1"/>
  <c r="M161" i="1"/>
  <c r="M142" i="1"/>
  <c r="M230" i="1"/>
  <c r="M299" i="1"/>
  <c r="M300" i="1"/>
  <c r="M31" i="1"/>
  <c r="M301" i="1"/>
  <c r="M302" i="1"/>
  <c r="M174" i="1"/>
  <c r="M348" i="1"/>
  <c r="M271" i="1"/>
  <c r="M150" i="1"/>
  <c r="M250" i="1"/>
  <c r="M121" i="1"/>
  <c r="M218" i="1"/>
  <c r="M122" i="1"/>
  <c r="M143" i="1"/>
  <c r="M83" i="1"/>
  <c r="M272" i="1"/>
  <c r="M162" i="1"/>
  <c r="M91" i="1"/>
  <c r="M349" i="1"/>
  <c r="M92" i="1"/>
  <c r="M350" i="1"/>
  <c r="M219" i="1"/>
  <c r="M351" i="1"/>
  <c r="M251" i="1"/>
  <c r="M70" i="1"/>
  <c r="M57" i="1"/>
  <c r="M50" i="1"/>
  <c r="M58" i="1"/>
  <c r="M220" i="1"/>
  <c r="M205" i="1"/>
  <c r="M303" i="1"/>
  <c r="M185" i="1"/>
  <c r="M380" i="1"/>
  <c r="M186" i="1"/>
  <c r="M133" i="1"/>
  <c r="M273" i="1"/>
  <c r="M187" i="1"/>
  <c r="M381" i="1"/>
  <c r="M26" i="1"/>
  <c r="M352" i="1"/>
  <c r="M175" i="1"/>
  <c r="M231" i="1"/>
  <c r="M382" i="1"/>
  <c r="M51" i="1"/>
  <c r="M383" i="1"/>
  <c r="M42" i="1"/>
  <c r="M221" i="1"/>
  <c r="M304" i="1"/>
  <c r="M134" i="1"/>
  <c r="M194" i="1"/>
  <c r="M305" i="1"/>
  <c r="M232" i="1"/>
  <c r="M274" i="1"/>
  <c r="M252" i="1"/>
  <c r="M384" i="1"/>
  <c r="M98" i="1"/>
  <c r="M385" i="1"/>
  <c r="M306" i="1"/>
  <c r="M189" i="1"/>
  <c r="M164" i="1"/>
  <c r="M206" i="1"/>
  <c r="M207" i="1"/>
  <c r="M151" i="1"/>
  <c r="M403" i="1"/>
  <c r="M307" i="1"/>
  <c r="M353" i="1"/>
  <c r="M404" i="1"/>
  <c r="M275" i="1"/>
  <c r="M405" i="1"/>
  <c r="M93" i="1"/>
  <c r="M386" i="1"/>
  <c r="M176" i="1"/>
  <c r="M387" i="1"/>
  <c r="M308" i="1"/>
  <c r="M253" i="1"/>
  <c r="M276" i="1"/>
  <c r="M309" i="1"/>
  <c r="M277" i="1"/>
  <c r="M152" i="1"/>
  <c r="M165" i="1"/>
  <c r="M71" i="1"/>
  <c r="M310" i="1"/>
  <c r="M354" i="1"/>
  <c r="M123" i="1"/>
  <c r="M222" i="1"/>
  <c r="M388" i="1"/>
  <c r="M153" i="1"/>
  <c r="M233" i="1"/>
  <c r="M311" i="1"/>
  <c r="M234" i="1"/>
  <c r="M24" i="1"/>
  <c r="M355" i="1"/>
  <c r="M208" i="1"/>
  <c r="M278" i="1"/>
  <c r="M279" i="1"/>
  <c r="M389" i="1"/>
  <c r="M312" i="1"/>
  <c r="M144" i="1"/>
  <c r="M390" i="1"/>
  <c r="M223" i="1"/>
  <c r="M235" i="1"/>
  <c r="M254" i="1"/>
  <c r="M391" i="1"/>
  <c r="M356" i="1"/>
  <c r="M313" i="1"/>
  <c r="M314" i="1"/>
  <c r="M99" i="1"/>
  <c r="M315" i="1"/>
  <c r="M392" i="1"/>
  <c r="M209" i="1"/>
  <c r="M357" i="1"/>
  <c r="M393" i="1"/>
  <c r="M166" i="1"/>
  <c r="M394" i="1"/>
  <c r="M316" i="1"/>
  <c r="M317" i="1"/>
  <c r="M167" i="1"/>
  <c r="M177" i="1"/>
  <c r="M236" i="1"/>
  <c r="M318" i="1"/>
  <c r="M124" i="1"/>
  <c r="M358" i="1"/>
  <c r="M255" i="1"/>
  <c r="M319" i="1"/>
  <c r="M95" i="1"/>
  <c r="M359" i="1"/>
  <c r="M195" i="1"/>
  <c r="M196" i="1"/>
  <c r="M38" i="1"/>
  <c r="M155" i="1"/>
  <c r="M168" i="1"/>
  <c r="M72" i="1"/>
  <c r="M360" i="1"/>
  <c r="M406" i="1"/>
  <c r="M145" i="1"/>
  <c r="M256" i="1"/>
  <c r="M320" i="1"/>
  <c r="M395" i="1"/>
  <c r="M190" i="1"/>
  <c r="M125" i="1"/>
  <c r="M224" i="1"/>
  <c r="M197" i="1"/>
  <c r="M178" i="1"/>
  <c r="M21" i="1"/>
  <c r="M321" i="1"/>
  <c r="M64" i="1"/>
  <c r="M322" i="1"/>
  <c r="M156" i="1"/>
  <c r="M15" i="1"/>
  <c r="M191" i="1"/>
  <c r="M257" i="1"/>
  <c r="M65" i="1"/>
  <c r="M33" i="1"/>
  <c r="M361" i="1"/>
  <c r="M53" i="1"/>
  <c r="M198" i="1"/>
  <c r="M36" i="1"/>
  <c r="M100" i="1"/>
  <c r="M362" i="1"/>
  <c r="M258" i="1"/>
  <c r="M407" i="1"/>
  <c r="M210" i="1"/>
  <c r="M84" i="1"/>
  <c r="M323" i="1"/>
  <c r="M169" i="1"/>
  <c r="M324" i="1"/>
  <c r="M115" i="1"/>
  <c r="M325" i="1"/>
  <c r="M326" i="1"/>
  <c r="M408" i="1"/>
  <c r="M68" i="1"/>
  <c r="M85" i="1"/>
  <c r="M282" i="1"/>
  <c r="M327" i="1"/>
  <c r="M259" i="1"/>
  <c r="M283" i="1"/>
  <c r="M328" i="1"/>
  <c r="M96" i="1"/>
  <c r="M9" i="1"/>
  <c r="M66" i="1"/>
  <c r="M409" i="1"/>
  <c r="M363" i="1"/>
  <c r="M74" i="1"/>
  <c r="M146" i="1"/>
  <c r="M260" i="1"/>
  <c r="M410" i="1"/>
  <c r="M211" i="1"/>
  <c r="M54" i="1"/>
  <c r="M116" i="1"/>
  <c r="M396" i="1"/>
  <c r="M86" i="1"/>
  <c r="M329" i="1"/>
  <c r="M67" i="1"/>
  <c r="M40" i="1"/>
  <c r="M261" i="1"/>
  <c r="M147" i="1"/>
  <c r="M76" i="1"/>
  <c r="M364" i="1"/>
  <c r="M365" i="1"/>
  <c r="M284" i="1"/>
  <c r="M397" i="1"/>
  <c r="M212" i="1"/>
  <c r="M77" i="1"/>
  <c r="M366" i="1"/>
  <c r="M367" i="1"/>
  <c r="M46" i="1"/>
  <c r="M102" i="1"/>
  <c r="M237" i="1"/>
  <c r="M238" i="1"/>
  <c r="M41" i="1"/>
  <c r="M103" i="1"/>
  <c r="M104" i="1"/>
  <c r="M170" i="1"/>
  <c r="M117" i="1"/>
  <c r="M239" i="1"/>
  <c r="M199" i="1"/>
  <c r="M263" i="1"/>
  <c r="M200" i="1"/>
  <c r="M128" i="1"/>
  <c r="M398" i="1"/>
  <c r="M330" i="1"/>
  <c r="M179" i="1"/>
  <c r="M411" i="1"/>
  <c r="M285" i="1"/>
  <c r="M105" i="1"/>
  <c r="M225" i="1"/>
  <c r="M368" i="1"/>
  <c r="M37" i="1"/>
  <c r="M286" i="1"/>
  <c r="M171" i="1"/>
  <c r="M55" i="1"/>
  <c r="M29" i="1"/>
  <c r="M369" i="1"/>
  <c r="M331" i="1"/>
  <c r="M129" i="1"/>
  <c r="M287" i="1"/>
  <c r="M370" i="1"/>
  <c r="M213" i="1"/>
  <c r="M201" i="1"/>
  <c r="M192" i="1"/>
  <c r="M332" i="1"/>
  <c r="M399" i="1"/>
  <c r="M226" i="1"/>
  <c r="M193" i="1"/>
  <c r="M400" i="1"/>
  <c r="M371" i="1"/>
  <c r="M180" i="1"/>
  <c r="M172" i="1"/>
  <c r="M372" i="1"/>
  <c r="M181" i="1"/>
  <c r="M118" i="1"/>
  <c r="M373" i="1"/>
  <c r="M401" i="1"/>
  <c r="M264" i="1"/>
  <c r="M374" i="1"/>
  <c r="M288" i="1"/>
  <c r="M333" i="1"/>
  <c r="M334" i="1"/>
</calcChain>
</file>

<file path=xl/sharedStrings.xml><?xml version="1.0" encoding="utf-8"?>
<sst xmlns="http://schemas.openxmlformats.org/spreadsheetml/2006/main" count="3267" uniqueCount="1793">
  <si>
    <t>Publication Type</t>
  </si>
  <si>
    <t>Authors</t>
  </si>
  <si>
    <t>Author Full Names</t>
  </si>
  <si>
    <t>Article Title</t>
  </si>
  <si>
    <t>Source Title</t>
  </si>
  <si>
    <t>ISSN</t>
  </si>
  <si>
    <t>Publication Year</t>
  </si>
  <si>
    <t>Volume</t>
  </si>
  <si>
    <t>Issue</t>
  </si>
  <si>
    <t>Start Page</t>
  </si>
  <si>
    <t>End Page</t>
  </si>
  <si>
    <t>DOI</t>
  </si>
  <si>
    <t>DOI Link</t>
  </si>
  <si>
    <t>J</t>
  </si>
  <si>
    <t>KEENAN, JD; AMUNDSEN, RN</t>
  </si>
  <si>
    <t/>
  </si>
  <si>
    <t>A SURFACE HEATED GREENHOUSE MODEL FOR WASTE HEAT UTILIZATION ASSESSMENT</t>
  </si>
  <si>
    <t>JOURNAL OF ENVIRONMENTAL SYSTEMS</t>
  </si>
  <si>
    <t>0047-2433</t>
  </si>
  <si>
    <t>Ingersoll, AP; Pechmann, JB</t>
  </si>
  <si>
    <t>Ingersoll, Andrew P.; Pechmann, Judith B.</t>
  </si>
  <si>
    <t>Venus Lower Atmosphere Heat Balance</t>
  </si>
  <si>
    <t>JOURNAL OF GEOPHYSICAL RESEARCH-SPACE PHYSICS</t>
  </si>
  <si>
    <t>2169-9380</t>
  </si>
  <si>
    <t>A13</t>
  </si>
  <si>
    <t>10.1029/JA085iA13p08219</t>
  </si>
  <si>
    <t>Bowers, BJ; Nolet, K</t>
  </si>
  <si>
    <t>Bowers, B. J.; Nolet, K.</t>
  </si>
  <si>
    <t>THE ROLE OF THE NURSE IN THE GREENHOUSE MODEL</t>
  </si>
  <si>
    <t>GERONTOLOGIST</t>
  </si>
  <si>
    <t>0016-9013</t>
  </si>
  <si>
    <t>Baglivo, C; Mazzeo, D; Panico, S; Bonuso, S; Matera, N; Congedo, PM; Oliveti, G</t>
  </si>
  <si>
    <t>Baglivo, Cristina; Mazzeo, Domenico; Panico, Simone; Bonuso, Sara; Matera, Nicoletta; Congedo, Paolo Maria; Oliveti, Giuseppe</t>
  </si>
  <si>
    <t>Data from a dynamic simulation in a free-floating and continuous regime of a solar greenhouse modelled in TRNSYS 17 considering simultaneously different thermal phenomena</t>
  </si>
  <si>
    <t>DATA IN BRIEF</t>
  </si>
  <si>
    <t>2352-3409</t>
  </si>
  <si>
    <t>10.1016/j.dib.2020.106339</t>
  </si>
  <si>
    <t>OHRING, G; MARIANO, J</t>
  </si>
  <si>
    <t>EFFECT OF CLOUDINESS ON GREENHOUSE MODEL OF VENUS ATMOSPHERE</t>
  </si>
  <si>
    <t>JOURNAL OF GEOPHYSICAL RESEARCH</t>
  </si>
  <si>
    <t>0148-0227</t>
  </si>
  <si>
    <t>+</t>
  </si>
  <si>
    <t>10.1029/JZ069i001p00165</t>
  </si>
  <si>
    <t>TRAFTON, L</t>
  </si>
  <si>
    <t>COMMENT ON JOVIAN GREENHOUSE-MODELS</t>
  </si>
  <si>
    <t>ICARUS</t>
  </si>
  <si>
    <t>0019-1035</t>
  </si>
  <si>
    <t>10.1016/0019-1035(73)90128-0</t>
  </si>
  <si>
    <t>Sethi, VP</t>
  </si>
  <si>
    <t>Sethi, V. P.</t>
  </si>
  <si>
    <t>Thermal modelling of asymmetric overlap roof greenhouse with experimental validation</t>
  </si>
  <si>
    <t>INTERNATIONAL JOURNAL OF SUSTAINABLE ENERGY</t>
  </si>
  <si>
    <t>1478-6451</t>
  </si>
  <si>
    <t>10.1080/14786451.2018.1424167</t>
  </si>
  <si>
    <t>TEIGER, ML</t>
  </si>
  <si>
    <t>TRANSMISSION OF GREENHOUSE MODEL ATMOSPHERES OF VENUS</t>
  </si>
  <si>
    <t>ASTRONOMICAL JOURNAL</t>
  </si>
  <si>
    <t>0004-6256</t>
  </si>
  <si>
    <t>2P2</t>
  </si>
  <si>
    <t>S36</t>
  </si>
  <si>
    <t>&amp;</t>
  </si>
  <si>
    <t>Pollack, JB; Toon, OB; Boese, R</t>
  </si>
  <si>
    <t>Pollack, James B.; Toon, Owen B.; Boese, Robert</t>
  </si>
  <si>
    <t>Greenhouse Models of Venus' High Surface Temperature, as Constrained by Pioneer Venus Measurements</t>
  </si>
  <si>
    <t>10.1029/JA085iA13p08223</t>
  </si>
  <si>
    <t>AN EVAPORATIVE PAD GREENHOUSE MODEL FOR WASTE HEAT UTILIZATION ASSESSMENT</t>
  </si>
  <si>
    <t>COFFIN, WL; SKELTON, AM; JACKSON, HA</t>
  </si>
  <si>
    <t>LIGHT LEVELS IN MULTISPAN GREENHOUSE MODELS</t>
  </si>
  <si>
    <t>CANADIAN AGRICULTURAL ENGINEERING</t>
  </si>
  <si>
    <t>0045-432X</t>
  </si>
  <si>
    <t>Sethi, VP; Sumathy, K; Lee, C; Pal, DS</t>
  </si>
  <si>
    <t>Sethi, V. P.; Sumathy, K.; Lee, Chiwon; Pal, D. S.</t>
  </si>
  <si>
    <t>Thermal modeling aspects of solar greenhouse microclimate control: A review on heating technologies</t>
  </si>
  <si>
    <t>SOLAR ENERGY</t>
  </si>
  <si>
    <t>0038-092X</t>
  </si>
  <si>
    <t>10.1016/j.solener.2013.06.034</t>
  </si>
  <si>
    <t>BRADDOCK, RD; FILAR, JA; ZAPERT, R</t>
  </si>
  <si>
    <t>SYSTEM AND CONTROL-THEORY PERSPECTIVES OF THE IMAGE GREENHOUSE MODEL</t>
  </si>
  <si>
    <t>LECTURE NOTES IN CONTROL AND INFORMATION SCIENCES</t>
  </si>
  <si>
    <t>0170-8643</t>
  </si>
  <si>
    <t>HECHT, J</t>
  </si>
  <si>
    <t>PINATUBO COOLING WILL TEST GREENHOUSE MODELS</t>
  </si>
  <si>
    <t>NEW SCIENTIST</t>
  </si>
  <si>
    <t>0262-4079</t>
  </si>
  <si>
    <t>KERR, RA</t>
  </si>
  <si>
    <t>GREENHOUSE MODELS VS REALITY</t>
  </si>
  <si>
    <t>SCIENCE</t>
  </si>
  <si>
    <t>0036-8075</t>
  </si>
  <si>
    <t>10.1126/science.244.4908.1042</t>
  </si>
  <si>
    <t>Chauhan, PS; Kumar, A; Gupta, B</t>
  </si>
  <si>
    <t>Chauhan, Prashant Singh; Kumar, Anil; Gupta, Bhupendra</t>
  </si>
  <si>
    <t>A review on thermal models for greenhouse dryers</t>
  </si>
  <si>
    <t>RENEWABLE &amp; SUSTAINABLE ENERGY REVIEWS</t>
  </si>
  <si>
    <t>1364-0321</t>
  </si>
  <si>
    <t>10.1016/j.rser.2016.11.023</t>
  </si>
  <si>
    <t>Foong, SK</t>
  </si>
  <si>
    <t>Foong, S. K.</t>
  </si>
  <si>
    <t>An accurate analytical solution of a zero-dimensional greenhouse model for global warming (vol 27, pg 933, 2006)</t>
  </si>
  <si>
    <t>EUROPEAN JOURNAL OF PHYSICS</t>
  </si>
  <si>
    <t>0143-0807</t>
  </si>
  <si>
    <t>10.1088/0143-0807/27/5/C01</t>
  </si>
  <si>
    <t>Righini, I; Vanthoor, B; Verheul, MJ; Naseer, M; Maessen, H; Persson, T; Stanghellini, C</t>
  </si>
  <si>
    <t>Righini, Isabella; Vanthoor, Bram; Verheul, Michel J.; Naseer, Muhammad; Maessen, Henk; Persson, Tomas; Stanghellini, Cecilia</t>
  </si>
  <si>
    <t>A greenhouse climate-yield model focussing on additional light, heat harvesting and its validation</t>
  </si>
  <si>
    <t>BIOSYSTEMS ENGINEERING</t>
  </si>
  <si>
    <t>1537-5110</t>
  </si>
  <si>
    <t>10.1016/j.biosystemseng.2020.03.009</t>
  </si>
  <si>
    <t>Ingram, DL; Hall, CR; Knight, J</t>
  </si>
  <si>
    <t>Ingram, Dewayne L.; Hall, Charles R.; Knight, Joshua</t>
  </si>
  <si>
    <t>Analysis of Energy Use and Its Impact on Carbon Footprint of Four Greenhouse Model Systems</t>
  </si>
  <si>
    <t>HORTSCIENCE</t>
  </si>
  <si>
    <t>0018-5345</t>
  </si>
  <si>
    <t>S401</t>
  </si>
  <si>
    <t>Abbes, M; Farhat, A; Mami, A</t>
  </si>
  <si>
    <t>Abbes, M.; Farhat, A.; Mami, A.</t>
  </si>
  <si>
    <t>Pseudo bond graph tunnel greenhouse model with accurate longwave/shortwave radiations model (vol 25, pg 90, 2021)</t>
  </si>
  <si>
    <t>MATHEMATICAL AND COMPUTER MODELLING OF DYNAMICAL SYSTEMS</t>
  </si>
  <si>
    <t>1387-3954</t>
  </si>
  <si>
    <t>10.1080/13873954.2021.1932572</t>
  </si>
  <si>
    <t>Tovany, JL; Ross-Leon, R; Ruiz-Leon, J; Ramirez-Trevino, A; Begovich, O</t>
  </si>
  <si>
    <t>Tovany, Jose Luis; Ross-Leon, Roberto; Ruiz-Leon, Javier; Ramirez-Trevino, Antonio; Begovich, Ofelia</t>
  </si>
  <si>
    <t>Greenhouse Modeling Using Continuous Timed Petri Nets</t>
  </si>
  <si>
    <t>MATHEMATICAL PROBLEMS IN ENGINEERING</t>
  </si>
  <si>
    <t>1024-123X</t>
  </si>
  <si>
    <t>10.1155/2013/639306</t>
  </si>
  <si>
    <t>HOW TO FIX THE CLOUDS IN GREENHOUSE MODELS</t>
  </si>
  <si>
    <t>10.1126/science.243.4887.28</t>
  </si>
  <si>
    <t>Katzin, D; van Henten, EJ; van Mourik, S</t>
  </si>
  <si>
    <t>Katzin, David; van Henten, Eldert J.; van Mourik, Simon</t>
  </si>
  <si>
    <t>Process-based greenhouse climate models: Genealogy, current status, and future directions</t>
  </si>
  <si>
    <t>AGRICULTURAL SYSTEMS</t>
  </si>
  <si>
    <t>0308-521X</t>
  </si>
  <si>
    <t>10.1016/j.agsy.2022.103388</t>
  </si>
  <si>
    <t>Chen, JL; Xu, F; Ding, BJ; Wu, NY; Shen, Z; Zhang, LB</t>
  </si>
  <si>
    <t>Chen, Jiaoliao; Xu, Fang; Ding, Binjie; Wu, Nanye; Shen, Zheng; Zhang, Libin</t>
  </si>
  <si>
    <t>Performance analysis of radiation and electricity yield in a photovoltaic panel integrated greenhouse using the radiation and thermal models</t>
  </si>
  <si>
    <t>COMPUTERS AND ELECTRONICS IN AGRICULTURE</t>
  </si>
  <si>
    <t>0168-1699</t>
  </si>
  <si>
    <t>10.1016/j.compag.2019.104904</t>
  </si>
  <si>
    <t>Chauhan, PS; Kumar, A</t>
  </si>
  <si>
    <t>Chauhan, Prashant Singh; Kumar, Anil</t>
  </si>
  <si>
    <t>Thermal modeling and drying kinetics of gooseberry drying inside north wall insulated greenhouse dryer</t>
  </si>
  <si>
    <t>APPLIED THERMAL ENGINEERING</t>
  </si>
  <si>
    <t>1359-4311</t>
  </si>
  <si>
    <t>10.1016/j.applthermaleng.2017.11.028</t>
  </si>
  <si>
    <t>[Anonymous]</t>
  </si>
  <si>
    <t>Greenhouse model</t>
  </si>
  <si>
    <t>TCE</t>
  </si>
  <si>
    <t>0302-0797</t>
  </si>
  <si>
    <t>Linker, R; Seginer, I; Gutman, PO</t>
  </si>
  <si>
    <t>Optimal CO2 control in a greenhouse modeled with neural networks</t>
  </si>
  <si>
    <t>10.1016/S0168-1699(98)00008-8</t>
  </si>
  <si>
    <t>PEARCE, F</t>
  </si>
  <si>
    <t>WARMER WINTERS FIT GREENHOUSE MODEL</t>
  </si>
  <si>
    <t>Bai, R; Cui, X; Lu, TB; Zhou, XX; He, JM; Hou, HS; Liu, Y; Li, XB</t>
  </si>
  <si>
    <t>Bai, Ru; Cui, Xiang; Lu, Tiebing; Zhou, Xiangxian; He, Jiamei; Hou, Haisu; Liu, Yang; Li, Xuebao</t>
  </si>
  <si>
    <t>Experimental Study on Ion-Flow Fields Inside Greenhouse Models Underneath the DC Test Wire</t>
  </si>
  <si>
    <t>IEEE TRANSACTIONS ON POWER DELIVERY</t>
  </si>
  <si>
    <t>0885-8977</t>
  </si>
  <si>
    <t>10.1109/TPWRD.2013.2264841</t>
  </si>
  <si>
    <t>Ahamed, MS; Guo, HQ; Tanino, K</t>
  </si>
  <si>
    <t>Ahamed, Md. Shamim; Guo, Huiqing; Tanino, Karen</t>
  </si>
  <si>
    <t>Development of a thermal model for simulation of supplemental heating requirements in Chinese-style solar greenhouses</t>
  </si>
  <si>
    <t>10.1016/j.compag.2018.04.025</t>
  </si>
  <si>
    <t>POLLACK, JB</t>
  </si>
  <si>
    <t>A NONGRAY CO2-H2O GREENHOUSE MODEL OF VENUS</t>
  </si>
  <si>
    <t>10.1016/0019-1035(69)90032-3</t>
  </si>
  <si>
    <t>Golzar, F; Heeren, N; Hellweg, S; Roshandel, R</t>
  </si>
  <si>
    <t>Golzar, Farzin; Heeren, Niko; Hellweg, Stefanie; Roshandel, Ramin</t>
  </si>
  <si>
    <t>A novel integrated framework to evaluate greenhouse energy demand and crop yield production</t>
  </si>
  <si>
    <t>10.1016/j.rser.2018.06.046</t>
  </si>
  <si>
    <t>Tiwari, S; Agrawal, S; Tiwari, GN</t>
  </si>
  <si>
    <t>Tiwari, Sumit; Agrawal, Sanjay; Tiwari, G. N.</t>
  </si>
  <si>
    <t>PVT air collector integrated greenhouse dryers</t>
  </si>
  <si>
    <t>10.1016/j.rser.2018.03.043</t>
  </si>
  <si>
    <t>THE GREENHOUSE MODEL : AN OVERVIEW WITH INSIGHTS INTO WORKFLOW AND THE ROLE OF THE NURSE</t>
  </si>
  <si>
    <t>Chauhan, PS; Kumar, A; Nuntadusit, C; Banout, J</t>
  </si>
  <si>
    <t>Chauhan, Prashant Singh; Kumar, Anil; Nuntadusit, Chayut; Banout, Jan</t>
  </si>
  <si>
    <t>Thermal modeling and drying kinetics of bitter gourd flakes drying in modified greenhouse dryer</t>
  </si>
  <si>
    <t>RENEWABLE ENERGY</t>
  </si>
  <si>
    <t>0960-1481</t>
  </si>
  <si>
    <t>10.1016/j.renene.2017.11.069</t>
  </si>
  <si>
    <t>IWASAKI, K</t>
  </si>
  <si>
    <t>A NON-GRAY GREENHOUSE MODEL AND MICROWAVE ABSORPTION IN ATMOSPHERE OF VENUS</t>
  </si>
  <si>
    <t>PUBLICATIONS OF THE ASTRONOMICAL SOCIETY OF JAPAN</t>
  </si>
  <si>
    <t>0004-6264</t>
  </si>
  <si>
    <t>Herrero, JM; Blasco, X; Martinez, M; Ramos, C; Sanchis, J</t>
  </si>
  <si>
    <t>Herrero, J. M.; Blasco, X.; Martinez, M.; Ramos, C.; Sanchis, J.</t>
  </si>
  <si>
    <t>Robust identification of non-linear greenhouse model using evolutionary algorithms</t>
  </si>
  <si>
    <t>CONTROL ENGINEERING PRACTICE</t>
  </si>
  <si>
    <t>0967-0661</t>
  </si>
  <si>
    <t>10.1016/j.conengprac.2007.06.001</t>
  </si>
  <si>
    <t>Choab, N; Allouhi, A; El Maakoul, A; Kousksou, T; Saadeddine, S; Jamil, A</t>
  </si>
  <si>
    <t>Choab, Noureddine; Allouhi, Amine; El Maakoul, Anas; Kousksou, Tarik; Saadeddine, Said; Jamil, Abdelmajid</t>
  </si>
  <si>
    <t>Review on greenhouse microclimate and application: Design parameters, thermal modeling and simulation, climate controlling technologies</t>
  </si>
  <si>
    <t>10.1016/j.solener.2019.08.042</t>
  </si>
  <si>
    <t>Tiwari, S; Bhatti, J; Tiwari, GN; Al-Helal, IM</t>
  </si>
  <si>
    <t>Tiwari, Sumit; Bhatti, Jasleen; Tiwari, G. N.; Al-Helal, I. M.</t>
  </si>
  <si>
    <t>Thermal modelling of photovoltaic thermal (PVT) integrated greenhouse system for biogas heating</t>
  </si>
  <si>
    <t>10.1016/j.solener.2016.07.048</t>
  </si>
  <si>
    <t>Subin, MC; Singh, A; Kalaichelvi, V; Karthikeyan, R; Periasamy, C</t>
  </si>
  <si>
    <t>Subin, Mattara Chalill; Singh, Abhilasha; Kalaichelvi, Venkatesan; Karthikeyan, Ramanujam; Periasamy, Chinnapalaniandi</t>
  </si>
  <si>
    <t>Design and Robustness Analysis of Intelligent Controllers for Commercial Greenhouse</t>
  </si>
  <si>
    <t>MECHANICAL SCIENCES</t>
  </si>
  <si>
    <t>2191-9151</t>
  </si>
  <si>
    <t>10.5194/ms-11-299-2020</t>
  </si>
  <si>
    <t>Srinivasan, G; Muthukumar, P</t>
  </si>
  <si>
    <t>Srinivasan, G.; Muthukumar, P.</t>
  </si>
  <si>
    <t>A review on solar greenhouse dryer: Design, thermal modelling, energy, economic and environmental aspects</t>
  </si>
  <si>
    <t>10.1016/j.solener.2021.04.058</t>
  </si>
  <si>
    <t>Kumari, N; Tiwari, GN; Sodha, MS</t>
  </si>
  <si>
    <t>Effect of phase change material on passive thermal heating of a greenhouse</t>
  </si>
  <si>
    <t>INTERNATIONAL JOURNAL OF ENERGY RESEARCH</t>
  </si>
  <si>
    <t>0363-907X</t>
  </si>
  <si>
    <t>10.1002/er.1132</t>
  </si>
  <si>
    <t>Ghosal, MK; Tiwari, GN; Srivastava, NSL</t>
  </si>
  <si>
    <t>Thermal modeling of a controlled environment greenhouse cum solar distillation for composite and warm humid climates of India</t>
  </si>
  <si>
    <t>DESALINATION</t>
  </si>
  <si>
    <t>0011-9164</t>
  </si>
  <si>
    <t>10.1016/S0011-9164(02)01022-6</t>
  </si>
  <si>
    <t>de Medeiros, MA; Boas, GLV; Vilela, NJ; Carrijo, OA</t>
  </si>
  <si>
    <t>de Medeiros, Maria Alice; Villas Boas, Geni L.; Vilela, Nirlene J.; Carrijo, Osmar A.</t>
  </si>
  <si>
    <t>A preliminar survey on the biological control of South American tomato pinworm with the parasitoid Trichogramma pretiosum in greenhouse models</t>
  </si>
  <si>
    <t>HORTICULTURA BRASILEIRA</t>
  </si>
  <si>
    <t>0102-0536</t>
  </si>
  <si>
    <t>10.1590/S0102-05362009000100016</t>
  </si>
  <si>
    <t>Ganesan, M</t>
  </si>
  <si>
    <t>Effect of poly-greenhouse models on plant growth and yield of tomato (Lycopersicon esculentum)</t>
  </si>
  <si>
    <t>INDIAN JOURNAL OF AGRICULTURAL SCIENCES</t>
  </si>
  <si>
    <t>0019-5022</t>
  </si>
  <si>
    <t>Schillaci, G; Schmidt, U; Miranda, L</t>
  </si>
  <si>
    <t>Schillaci, Guido; Schmidt, Uwe; Miranda, Luis</t>
  </si>
  <si>
    <t>Prediction Error-Driven Memory Consolidation for Continual Learning: On the Case of Adaptive Greenhouse Models</t>
  </si>
  <si>
    <t>KUNSTLICHE INTELLIGENZ</t>
  </si>
  <si>
    <t>0933-1875</t>
  </si>
  <si>
    <t>10.1007/s13218-020-00700-8</t>
  </si>
  <si>
    <t>Ahmad, A; Prakash, O; Kumar, A; Chatterjee, R; Sharma, S; Kumar, V; Kulshreshtha, K; Li, CH; Eldin, EMT</t>
  </si>
  <si>
    <t>Ahmad, Asim; Prakash, Om; Kumar, Anil; Chatterjee, Rajeshwari; Sharma, Shubham; Kumar, Vineet; Kulshreshtha, Kushagra; Li, Changhe; Eldin, Elsayed Mohamed Tag</t>
  </si>
  <si>
    <t>A Comprehensive State-of-the-Art Review on the Recent Developments in Greenhouse Drying</t>
  </si>
  <si>
    <t>ENERGIES</t>
  </si>
  <si>
    <t>1996-1073</t>
  </si>
  <si>
    <t>10.3390/en15249493</t>
  </si>
  <si>
    <t>Guo, Y; Zhao, HJ; Zhang, SH; Wang, Y; Chow, D</t>
  </si>
  <si>
    <t>Guo, Yu; Zhao, Huajian; Zhang, Shanhong; Wang, Yang; Chow, David</t>
  </si>
  <si>
    <t>Modeling and optimization of environment in agricultural greenhouses for improving cleaner and sustainable crop production</t>
  </si>
  <si>
    <t>JOURNAL OF CLEANER PRODUCTION</t>
  </si>
  <si>
    <t>0959-6526</t>
  </si>
  <si>
    <t>10.1016/j.jclepro.2020.124843</t>
  </si>
  <si>
    <t>Kumar, A; Tiwari, GN</t>
  </si>
  <si>
    <t>Kumar, Anil; Tiwari, G. N.</t>
  </si>
  <si>
    <t>Thermal modeling of a natural convection greenhouse drying system for jaggery: An experimental validation</t>
  </si>
  <si>
    <t>10.1016/j.solener.2005.09.011</t>
  </si>
  <si>
    <t>Panwar, NL; Kaushik, SC; Kothari, S</t>
  </si>
  <si>
    <t>Panwar, N. L.; Kaushik, S. C.; Kothari, Surendra</t>
  </si>
  <si>
    <t>Solar greenhouse an option for renewable and sustainable farming</t>
  </si>
  <si>
    <t>10.1016/j.rser.2011.07.030</t>
  </si>
  <si>
    <t>Jain, D; Tiwari, GN</t>
  </si>
  <si>
    <t>Effect of greenhouse on crop drying under natural and forced convection II. Thermal modeling and experimental validation</t>
  </si>
  <si>
    <t>ENERGY CONVERSION AND MANAGEMENT</t>
  </si>
  <si>
    <t>0196-8904</t>
  </si>
  <si>
    <t>10.1016/j.enconman.2003.12.011</t>
  </si>
  <si>
    <t>Vanthoor, BHE; de Visser, PHB; Stanghellini, C; van Henten, EJ</t>
  </si>
  <si>
    <t>Vanthoor, B. H. E.; de Visser, P. H. B.; Stanghellini, C.; van Henten, E. J.</t>
  </si>
  <si>
    <t>A methodology for model-based greenhouse design: Part 2, description and validation of a tomato yield model</t>
  </si>
  <si>
    <t>10.1016/j.biosystemseng.2011.08.005</t>
  </si>
  <si>
    <t>Sethi, VP; Sharma, SK</t>
  </si>
  <si>
    <t>Sethi, V. P.; Sharma, S. K.</t>
  </si>
  <si>
    <t>Thermal modeling of a greenhouse integrated to an aquifer coupled cavity flow heat exchanger system</t>
  </si>
  <si>
    <t>10.1016/j.solener.2006.10.002</t>
  </si>
  <si>
    <t>BRADDOCK, R; FILAR, J; ZAPERT, R; ROTMANS, J; DENELZEN, M</t>
  </si>
  <si>
    <t>THE IMAGE GREENHOUSE MODEL AS A MATHEMATICAL SYSTEM</t>
  </si>
  <si>
    <t>APPLIED MATHEMATICAL MODELLING</t>
  </si>
  <si>
    <t>0307-904X</t>
  </si>
  <si>
    <t>10.1016/0307-904X(94)90332-8</t>
  </si>
  <si>
    <t>Liu, YZ; Teng, GH; Liu, YZ; Xu, TW; Jiao, YQ; Li, CT; Li, Y; Wang, XJ</t>
  </si>
  <si>
    <t>Liu, Yanzheng; Teng, Guanghui; Liu, Yaoze; Xu, Tingwu; Jiao, Youquan; Li, Chunting; Li, Yan; Wang, Xiangjun</t>
  </si>
  <si>
    <t>Comprehensive Simulation for Microclimate Environment with Computational Fluid Dynamics Methods and Its Application for Optimal Sensor Placement in Small-Scale Greenhouse</t>
  </si>
  <si>
    <t>SENSOR LETTERS</t>
  </si>
  <si>
    <t>1546-198X</t>
  </si>
  <si>
    <t>10.1166/sl.2010.1228</t>
  </si>
  <si>
    <t>Jiang, X; Zhao, Y; Wang, R; Zhao, S</t>
  </si>
  <si>
    <t>Jiang, Xuelian; Zhao, Yueling; Wang, Rui; Zhao, Sheng</t>
  </si>
  <si>
    <t>Modeling the Relationship of Tomato Yield Parameters with Deficit Irrigation at Different Growth Stages</t>
  </si>
  <si>
    <t>10.21273/HORTSCI14179-19</t>
  </si>
  <si>
    <t>Jin, TH; Liu, J; Chung, M; Shin, KY</t>
  </si>
  <si>
    <t>Jin, Tae-Hwan; Liu, Jie; Chung, Mo; Shin, Ki-Yeol</t>
  </si>
  <si>
    <t>Comparative Analysis of Thermal Energy Supply System for Smart Farm Complex Planning</t>
  </si>
  <si>
    <t>TRANSACTIONS OF THE KOREAN SOCIETY OF MECHANICAL ENGINEERS B</t>
  </si>
  <si>
    <t>1226-4881</t>
  </si>
  <si>
    <t>10.3795/KSME-B.2020.44.12.751</t>
  </si>
  <si>
    <t>Asgari, N; McDonald, MT; Pearce, JM</t>
  </si>
  <si>
    <t>Asgari, Nima; McDonald, Matthew T.; Pearce, Joshua M.</t>
  </si>
  <si>
    <t>Energy Modeling and Techno-Economic Feasibility Analysis of Greenhouses for Tomato Cultivation Utilizing the Waste Heat of Cryptocurrency Miners</t>
  </si>
  <si>
    <t>10.3390/en16031331</t>
  </si>
  <si>
    <t>Al-Helal, IM; Waheeb, SA; Ibrahim, AA; Shady, MR; Abdel-Ghany, AM</t>
  </si>
  <si>
    <t>Al-Helal, I. M.; Waheeb, S. A.; Ibrahim, A. A.; Shady, M. R.; Abdel-Ghany, A. M.</t>
  </si>
  <si>
    <t>Modified thermal model to predict the natural ventilation of greenhouses</t>
  </si>
  <si>
    <t>ENERGY AND BUILDINGS</t>
  </si>
  <si>
    <t>0378-7788</t>
  </si>
  <si>
    <t>10.1016/j.enbuild.2015.04.013</t>
  </si>
  <si>
    <t>Chauhan, PS; Kumar, A; Nuntadusit, C</t>
  </si>
  <si>
    <t>Chauhan, Prashant Singh; Kumar, Anil; Nuntadusit, Chayut</t>
  </si>
  <si>
    <t>Thermo-environomical and drying kinetics of bitter gourd flakes drying under north wall insulated greenhouse dryer</t>
  </si>
  <si>
    <t>10.1016/j.solener.2018.01.023</t>
  </si>
  <si>
    <t>Barnwal, P; Tiwari, GN</t>
  </si>
  <si>
    <t>Barnwal, P.; Tiwari, G. N.</t>
  </si>
  <si>
    <t>Experimental Validation of Hybrid Photovoltaic-Thermal (PV/T) Greenhouse Dryer under Forced Mode</t>
  </si>
  <si>
    <t>INTERNATIONAL JOURNAL OF FOOD ENGINEERING</t>
  </si>
  <si>
    <t>2194-5764</t>
  </si>
  <si>
    <t>10.2202/1556-3758.1451</t>
  </si>
  <si>
    <t>STOCHASTICITY IN THE IMAGE GREENHOUSE MODEL</t>
  </si>
  <si>
    <t>MATHEMATICAL AND COMPUTER MODELLING</t>
  </si>
  <si>
    <t>0895-7177</t>
  </si>
  <si>
    <t>10-12</t>
  </si>
  <si>
    <t>10.1016/0895-7177(95)00176-3</t>
  </si>
  <si>
    <t>Sethi, VP; Dhiman, M</t>
  </si>
  <si>
    <t>Sethi, V. P.; Dhiman, Mankaran</t>
  </si>
  <si>
    <t>Design, space optimization and modelling of solar-cum-biomass hybrid greenhouse crop dryer using flue gas heat transfer pipe network</t>
  </si>
  <si>
    <t>10.1016/j.solener.2020.06.006</t>
  </si>
  <si>
    <t>Ghosh, D; Jana, BB; Lahiri, S; Bhakta, J; Bhattacharjee, A</t>
  </si>
  <si>
    <t>Ghosh, Debarati; Jana, Bana Bihari; Lahiri, Susmita; Bhakta, Jatridranath; Bhattacharjee, Ankita</t>
  </si>
  <si>
    <t>Assessing the cellulase enzyme heterogeneity of bacterial strains and their feedback to cattle manure degradation in a greenhouse model of in vivo pond ecosystem</t>
  </si>
  <si>
    <t>ENVIRONMENTAL MONITORING AND ASSESSMENT</t>
  </si>
  <si>
    <t>0167-6369</t>
  </si>
  <si>
    <t>10.1007/s10661-018-6821-1</t>
  </si>
  <si>
    <t>Santonicola, L; Napolitano, A; Castelluccio, F; Greco, B; De Maio, M; Farina, M</t>
  </si>
  <si>
    <t>Santonicola, Luigi; Napolitano, Antonietta; Castelluccio, Francesco; Greco, Barbara; De Maio, Michele; Farina, Mario</t>
  </si>
  <si>
    <t>Characterisation of a new greenhouse model: With and without insect-proof screen</t>
  </si>
  <si>
    <t>ITALIAN JOURNAL OF AGRONOMY</t>
  </si>
  <si>
    <t>1125-4718</t>
  </si>
  <si>
    <t>10.4081/ija.2017.932</t>
  </si>
  <si>
    <t>Linderoth, H</t>
  </si>
  <si>
    <t>Cost functions in greenhouse models</t>
  </si>
  <si>
    <t>NATIONALOKONOMISK TIDSSKRIFT</t>
  </si>
  <si>
    <t>0028-0453</t>
  </si>
  <si>
    <t>Bhardwaj, P; Nayak, S; Tiwari, A; Tiwari, GN</t>
  </si>
  <si>
    <t>Bhardwaj, Prashant; Nayak, Sujata; Tiwari, Arvind; Tiwari, G. N.</t>
  </si>
  <si>
    <t>Design and Simulation of a semi-transparent photovoltaic thermal (PVT) indirect solar dryer integrated with kitchen chimney using ANN technique</t>
  </si>
  <si>
    <t>INDIAN JOURNAL OF ENGINEERING AND MATERIALS SCIENCES</t>
  </si>
  <si>
    <t>0971-4588</t>
  </si>
  <si>
    <t>Ghosh, A; Bhattacharya, J</t>
  </si>
  <si>
    <t>Ghosh, Avik; Bhattacharya, Jishnu</t>
  </si>
  <si>
    <t>A solar regenerated liquid desiccant evaporative cooling system for office building application in hot and humid climate</t>
  </si>
  <si>
    <t>THERMAL SCIENCE AND ENGINEERING PROGRESS</t>
  </si>
  <si>
    <t>2451-9049</t>
  </si>
  <si>
    <t>10.1016/j.tsep.2020.100804</t>
  </si>
  <si>
    <t>Non-linear robust identification of a greenhouse model using multi-objective evolutionary algorithms</t>
  </si>
  <si>
    <t>10.1016/j.biosystemseng.2007.06.004</t>
  </si>
  <si>
    <t>Tsai, MH; Lee, YC</t>
  </si>
  <si>
    <t>Tsai, Meng-Hao; Lee, Ying-Chieh</t>
  </si>
  <si>
    <t>Practical Structural Design and Construction of an Innovative Composite Plastic Greenhouse</t>
  </si>
  <si>
    <t>AGRICULTURE-BASEL</t>
  </si>
  <si>
    <t>10.3390/agriculture11111051</t>
  </si>
  <si>
    <t>Shukla, A; Tiwari, GN; Sodha, MS</t>
  </si>
  <si>
    <t>Thermal modeling for greenhouse heating by using thermal curtain and an earth-air heat exchanger</t>
  </si>
  <si>
    <t>BUILDING AND ENVIRONMENT</t>
  </si>
  <si>
    <t>0360-1323</t>
  </si>
  <si>
    <t>10.1016/j.buildenv.2005.04.014</t>
  </si>
  <si>
    <t>Wang, DC; Wang, MH; Qiao, XJ</t>
  </si>
  <si>
    <t>Wang, Dingcheng; Wang, Maohua; Qiao, Xiaoiun</t>
  </si>
  <si>
    <t>Support vector machines regression and modeling of greenhouse environment</t>
  </si>
  <si>
    <t>10.1016/j.compag.2008.12.004</t>
  </si>
  <si>
    <t>Padilla, J; Toledo, C; Lopez-Vicente, R; Montoya, R; Navarro, JR; Abad, J; Urbina, A</t>
  </si>
  <si>
    <t>Padilla, Javier; Toledo, Carlos; Lopez-Vicente, Rodolfo; Montoya, Raquel; Navarro, Jose-Ramon; Abad, Jose; Urbina, Antonio</t>
  </si>
  <si>
    <t>Passive Heating and Cooling of Photovoltaic Greenhouses Including Thermochromic Materials</t>
  </si>
  <si>
    <t>10.3390/en14020438</t>
  </si>
  <si>
    <t>Ghosal, MK; Tiwari, GN</t>
  </si>
  <si>
    <t>Parametric studies for heating performance of an earth to air heat exchanger coupled with a greenhouse</t>
  </si>
  <si>
    <t>10.1002/er.1106</t>
  </si>
  <si>
    <t>Ha, T; Lee, IB; Kwon, KS; Hong, SW</t>
  </si>
  <si>
    <t>Ha, Taehwan; Lee, In-Bok; Kwon, Kyeong-Seok; Hong, Se-Woon</t>
  </si>
  <si>
    <t>Computation and field experiment validation of greenhouse energy load using building energy simulation model</t>
  </si>
  <si>
    <t>INTERNATIONAL JOURNAL OF AGRICULTURAL AND BIOLOGICAL ENGINEERING</t>
  </si>
  <si>
    <t>1934-6344</t>
  </si>
  <si>
    <t>10.3965/j.ijabe.20150806.2037</t>
  </si>
  <si>
    <t>On the selection of shape and orientation of a greenhouse: Thermal modeling and experimental validation</t>
  </si>
  <si>
    <t>10.1016/j.solener.2008.05.018</t>
  </si>
  <si>
    <t>Lee, I; Sase, S; Okushima, L; Ikeguchi, A; Choi, K; Yun, J</t>
  </si>
  <si>
    <t>A wind tunnel study of natural ventilation for multi-span greenhouse scale models using two-dimensional particle image velocimetry (PIV)</t>
  </si>
  <si>
    <t>TRANSACTIONS OF THE ASAE</t>
  </si>
  <si>
    <t>0001-2351</t>
  </si>
  <si>
    <t>Tiwari, GN; Akhtar, MA; Shukla, A; Khan, ME</t>
  </si>
  <si>
    <t>Tiwari, G. N.; Akhtar, M. A.; Shukla, Ashish; Khan, M. Emran</t>
  </si>
  <si>
    <t>Annual thermal performance of greenhouse with an earth-air heat exchanger: An experimental validation</t>
  </si>
  <si>
    <t>10.1016/j.renene.2005.11.006</t>
  </si>
  <si>
    <t>Nayak, S; Tiwari, GN</t>
  </si>
  <si>
    <t>Nayak, Sujata; Tiwari, G. N.</t>
  </si>
  <si>
    <t>Energy and exergy analysis of photovoltaic/thermal integrated with a solar greenhouse</t>
  </si>
  <si>
    <t>10.1016/j.enbuild.2008.05.007</t>
  </si>
  <si>
    <t>Sarkar, B; Tiwari, GN</t>
  </si>
  <si>
    <t>Sarkar, Bikash; Tiwari, G. N.</t>
  </si>
  <si>
    <t>Thermal modeling and parametric studies of a greenhouse fish pond in the Central Himalayan Region</t>
  </si>
  <si>
    <t>18-19</t>
  </si>
  <si>
    <t>10.1016/j.enconman.2006.02.017</t>
  </si>
  <si>
    <t>Speetjens, SL; Stigter, JD; van Straten, G</t>
  </si>
  <si>
    <t>Speetjens, S. L.; Stigter, J. D.; van Straten, G.</t>
  </si>
  <si>
    <t>Towards an adaptive model for greenhouse control</t>
  </si>
  <si>
    <t>1-2</t>
  </si>
  <si>
    <t>10.1016/j.compag.2009.01.012</t>
  </si>
  <si>
    <t>Modeling and parametric studies for thermal performance of an earth to air heat exchanger integrated with a greenhouse</t>
  </si>
  <si>
    <t>13-14</t>
  </si>
  <si>
    <t>10.1016/j.enconman.2005.10.001</t>
  </si>
  <si>
    <t>Zhang, Y; Henke, M; Buck-Sorlin, GH; Li, YM; Xu, H; Liu, XA; Li, TL</t>
  </si>
  <si>
    <t>Zhang, Yue; Henke, Michael; Buck-Sorlin, Gerhard H.; Li, Yiming; Xu, Hui; Liu, Xingan; Li, Tianlai</t>
  </si>
  <si>
    <t>Estimating canopy leaf physiology of tomato plants grown in a solar greenhouse: Evidence from simulations of light and thermal microclimate using a Functional-Structural Plant Model</t>
  </si>
  <si>
    <t>AGRICULTURAL AND FOREST METEOROLOGY</t>
  </si>
  <si>
    <t>0168-1923</t>
  </si>
  <si>
    <t>10.1016/j.agrformet.2021.108494</t>
  </si>
  <si>
    <t>Tiwari, S; Tiwari, GN</t>
  </si>
  <si>
    <t>Tiwari, Sumit; Tiwari, G. N.</t>
  </si>
  <si>
    <t>Exergoeconomic analysis of photovoltaic-thermal (PVT) mixed mode greenhouse solar dryer</t>
  </si>
  <si>
    <t>ENERGY</t>
  </si>
  <si>
    <t>0360-5442</t>
  </si>
  <si>
    <t>10.1016/j.energy.2016.07.132</t>
  </si>
  <si>
    <t>An accurate analytical solution of a zero-dimensional greenhouse model for global warming</t>
  </si>
  <si>
    <t>10.1088/0143-0807/27/4/024</t>
  </si>
  <si>
    <t>Yadav, S; Panda, SK; Tiwari, GN; Al-Helal, IM; Hachem-Vermette, C</t>
  </si>
  <si>
    <t>Yadav, Somil; Panda, S. K.; Tiwari, G. N.; Al-Helal, Ibrahim M.; Hachem-Vermette, Caroline</t>
  </si>
  <si>
    <t>Periodic theory of greenhouse integrated semi-transparent photovoltaic thermal (GiSPVT) system integrated with earth air heat exchanger (EAHE)</t>
  </si>
  <si>
    <t>10.1016/j.renene.2021.11.063</t>
  </si>
  <si>
    <t>GAJEWSKI, RP; THOMPSON, GD; CHIO, EH; ALT, CA; BERARD, DF; GLASS, SJ; KENNEDY, JH; ROBEY, RL; VANLIER, RBL</t>
  </si>
  <si>
    <t>CONTRIBUTIONS TO SOIL INSECTICIDE PERFORMANCE BY PERFLUORINATED ALKYL CARBOXANILIDE ISOMERS</t>
  </si>
  <si>
    <t>ACS SYMPOSIUM SERIES</t>
  </si>
  <si>
    <t>0097-6156</t>
  </si>
  <si>
    <t>Setiawan, A; Albright, LD; Phelan, RM</t>
  </si>
  <si>
    <t>Application of pseudo-derivative-feedback algorithm in greenhouse air temperature control</t>
  </si>
  <si>
    <t>10.1016/S0168-1699(00)00081-8</t>
  </si>
  <si>
    <t>Dimri, N; Tiwari, A; Tiwari, GN</t>
  </si>
  <si>
    <t>Dimri, Neha; Tiwari, Arvind; Tiwari, G. N.</t>
  </si>
  <si>
    <t>Effect of thermoelectric cooler (TEC) integrated at the base of opaque photovoltaic (PV) module to enhance an overall electrical efficiency</t>
  </si>
  <si>
    <t>10.1016/j.solener.2018.03.030</t>
  </si>
  <si>
    <t>Energy and exergy analysis of a mixed-mode greenhouse-type solar dryer, integrated with partially covered N-PVT air collector</t>
  </si>
  <si>
    <t>10.1016/j.energy.2017.04.022</t>
  </si>
  <si>
    <t>Tiwari, S; Tiwari, GN; Al-Helal, IM</t>
  </si>
  <si>
    <t>Tiwari, Sumit; Tiwari, G. N.; Al-Helal, I. M.</t>
  </si>
  <si>
    <t>Development and recent trends in greenhouse dryer: A review</t>
  </si>
  <si>
    <t>10.1016/j.rser.2016.07.070</t>
  </si>
  <si>
    <t>Limtrakarn, W; Boonmongkol, P; Chompupoung, A; Rungprateepthaworn, K; Kruenate, J; Dechaumphai, P</t>
  </si>
  <si>
    <t>Limtrakarn, W.; Boonmongkol, P.; Chompupoung, A.; Rungprateepthaworn, K.; Kruenate, J.; Dechaumphai, P.</t>
  </si>
  <si>
    <t>Computational Fluid Dynamics Modeling to Improve Natural Flow Rate and Sweet Pepper Productivity in Greenhouse</t>
  </si>
  <si>
    <t>ADVANCES IN MECHANICAL ENGINEERING</t>
  </si>
  <si>
    <t>1687-8140</t>
  </si>
  <si>
    <t>10.1155/2012/158563</t>
  </si>
  <si>
    <t>Munoz, M; Guzman, JL; Sanchez-Molina, JA; Rodriguez, F; Torres, M; Berenguel, M</t>
  </si>
  <si>
    <t>Munoz, M.; Guzman, J. L.; Sanchez-Molina, J. A.; Rodriguez, F.; Torres, M.; Berenguel, M.</t>
  </si>
  <si>
    <t>A New IoT-Based Platform for Greenhouse Crop Production</t>
  </si>
  <si>
    <t>IEEE INTERNET OF THINGS JOURNAL</t>
  </si>
  <si>
    <t>2327-4662</t>
  </si>
  <si>
    <t>10.1109/JIOT.2020.2996081</t>
  </si>
  <si>
    <t>Maksarov, D; Chalabi, ZS</t>
  </si>
  <si>
    <t>Computing bounds on greenhouse energy requirements using bounded error approach</t>
  </si>
  <si>
    <t>10.1016/S0967-0661(98)00071-9</t>
  </si>
  <si>
    <t>Yongphet, P; Ramaraj, R; Whangchai, N; Quaye, EK; Wang, DB; Dussadee, N</t>
  </si>
  <si>
    <t>Yongphet, Piyaphong; Ramaraj, Rameshprabu; Whangchai, Niwooti; Quaye, Evans K.; Wang, Dongbao; Dussadee, Natthawud</t>
  </si>
  <si>
    <t>Modeling and implementing the use of aeration to increase water temperature and dissolved oxygen in greenhouse aquaculture cages</t>
  </si>
  <si>
    <t>AQUACULTURAL ENGINEERING</t>
  </si>
  <si>
    <t>0144-8609</t>
  </si>
  <si>
    <t>10.1016/j.aquaeng.2020.102119</t>
  </si>
  <si>
    <t>Haberle, RM</t>
  </si>
  <si>
    <t>Early Mars climate models</t>
  </si>
  <si>
    <t>JOURNAL OF GEOPHYSICAL RESEARCH-PLANETS</t>
  </si>
  <si>
    <t>2169-9097</t>
  </si>
  <si>
    <t>E12</t>
  </si>
  <si>
    <t>10.1029/98JE01396</t>
  </si>
  <si>
    <t>Essahafi, M; Lafkih, MA</t>
  </si>
  <si>
    <t>Essahafi, Mohamed; Ait Lafkih, Mustapha</t>
  </si>
  <si>
    <t>Comparison Between Two Adaptive Controllers Applied to Greenhouse Climate Monitoring</t>
  </si>
  <si>
    <t>INTERNATIONAL JOURNAL OF ADVANCED COMPUTER SCIENCE AND APPLICATIONS</t>
  </si>
  <si>
    <t>2158-107X</t>
  </si>
  <si>
    <t>Katzin, D; Marcelis, LFM; van Mourik, S</t>
  </si>
  <si>
    <t>Katzin, David; Marcelis, Leo F. M.; van Mourik, Simon</t>
  </si>
  <si>
    <t>Energy savings in greenhouses by transition from high-pressure sodium to LED lighting</t>
  </si>
  <si>
    <t>APPLIED ENERGY</t>
  </si>
  <si>
    <t>0306-2619</t>
  </si>
  <si>
    <t>10.1016/j.apenergy.2020.116019</t>
  </si>
  <si>
    <t>Abdel-Ghany, A; Al-Helal, I; Alkoaik, F; Alsadon, A; Shady, M; Ibrahim, A</t>
  </si>
  <si>
    <t>Abdel-Ghany, Ahmed; Al-Helal, Ibrahim; Alkoaik, Fahad; Alsadon, Abdullah; Shady, Mohamed; Ibrahim, Abdullah</t>
  </si>
  <si>
    <t>Predicting the Cooling Potential of Different Shading Methods for Greenhouses in Arid Regions</t>
  </si>
  <si>
    <t>10.3390/en12244716</t>
  </si>
  <si>
    <t>Mamouri, SJ; Tan, X; Klausner, JF; Yang, RG; Benard, A</t>
  </si>
  <si>
    <t>Mamouri, Sina Jahangiri; Tan, Xu; Klausner, James F.; Yang, Ronggui; Benard, Andre</t>
  </si>
  <si>
    <t>Performance of an integrated greenhouse equipped with Light-Splitting material and an HDH desalination unit</t>
  </si>
  <si>
    <t>ENERGY CONVERSION AND MANAGEMENT-X</t>
  </si>
  <si>
    <t>2590-1745</t>
  </si>
  <si>
    <t>10.1016/j.ecmx.2020.100045</t>
  </si>
  <si>
    <t>Delcroix, B; Le Ny, J; Bernier, M; Azam, M; Qu, BR; Venne, JS</t>
  </si>
  <si>
    <t>Delcroix, Benoit; Le Ny, Jerome; Bernier, Michel; Azam, Muhammad; Qu, Bingrui; Venne, Jean-Simon</t>
  </si>
  <si>
    <t>Autoregressive neural networks with exogenous variables for indoor temperature prediction in buildings</t>
  </si>
  <si>
    <t>BUILDING SIMULATION</t>
  </si>
  <si>
    <t>1996-3599</t>
  </si>
  <si>
    <t>10.1007/s12273-019-0597-2</t>
  </si>
  <si>
    <t>Sethi, VP; Dubey, RK</t>
  </si>
  <si>
    <t>Sethi, V. P.; Dubey, R. K.</t>
  </si>
  <si>
    <t>Optimal space utilization of a greenhouse using multi-rack tray system: Thermal modeling and experimental validation</t>
  </si>
  <si>
    <t>10.1016/j.enconman.2008.03.008</t>
  </si>
  <si>
    <t>Effect of Greenhouse Design Parameters on the Heating and Cooling Requirement of Greenhouses in Moroccan Climatic Conditions</t>
  </si>
  <si>
    <t>IEEE ACCESS</t>
  </si>
  <si>
    <t>2169-3536</t>
  </si>
  <si>
    <t>10.1109/ACCESS.2020.3047851</t>
  </si>
  <si>
    <t>Dahlgaard, JJ; Pugna, A; Potra, S; Negrea, R; Mocan, M</t>
  </si>
  <si>
    <t>Dahlgaard, Jens J.; Pugna, Adrian; Potra, Sabina; Negrea, Romeo; Mocan, Marian</t>
  </si>
  <si>
    <t>A greenhouse approach for value cultivation</t>
  </si>
  <si>
    <t>TOTAL QUALITY MANAGEMENT &amp; BUSINESS EXCELLENCE</t>
  </si>
  <si>
    <t>1478-3363</t>
  </si>
  <si>
    <t>7-8</t>
  </si>
  <si>
    <t>10.1080/14783363.2016.1202757</t>
  </si>
  <si>
    <t>Gadhesaria, G; Desai, C; Bhatt, R; Salah, B</t>
  </si>
  <si>
    <t>Gadhesaria, Gauravkumar; Desai, Chinmay; Bhatt, Ravi; Salah, Bashir</t>
  </si>
  <si>
    <t>Thermal Analysis and Experimental Validation of Environmental Condition Inside Greenhouse in Tropical Wet and Dry Climate</t>
  </si>
  <si>
    <t>SUSTAINABILITY</t>
  </si>
  <si>
    <t>10.3390/su12198171</t>
  </si>
  <si>
    <t>Willits, DH</t>
  </si>
  <si>
    <t>The effect of cloth temperature on the cooling efficiency of shade cloths in greenhouses</t>
  </si>
  <si>
    <t>Ghosal, MK; Tiwari, GN; Srivastava, NSL; Sodha, MS</t>
  </si>
  <si>
    <t>Thermal modelling and experimental validation of ground temperature distribution in greenhouse</t>
  </si>
  <si>
    <t>10.1002/er.950</t>
  </si>
  <si>
    <t>Jomaa, M; Abbes, M; Tadeo, F; Mami, A</t>
  </si>
  <si>
    <t>Jomaa, Manel; Abbes, Mehdi; Tadeo, Fernando; Mami, Abdelkader</t>
  </si>
  <si>
    <t>Greenhouse Modeling, Validation and Climate Control based on Fuzzy Logic</t>
  </si>
  <si>
    <t>ENGINEERING TECHNOLOGY &amp; APPLIED SCIENCE RESEARCH</t>
  </si>
  <si>
    <t>2241-4487</t>
  </si>
  <si>
    <t>Din, M; Tiwari, GN; Ghosal, MK; Srivastava, NSL; Khan, MI; Sodha, MS</t>
  </si>
  <si>
    <t>Effect of thermal storage on the performance of greenhouse</t>
  </si>
  <si>
    <t>10.1002/er.855</t>
  </si>
  <si>
    <t>An, Y; Li, XF; Zhang, YJ; Tao, FJ; Zuo, MC; Dong, LH; Yin, YS</t>
  </si>
  <si>
    <t>An, Yan; Li, Xiao-Feng; Zhang, Ying-Jie; Tao, Fu-Jun; Zuo, Min-Chao; Dong, Li-Hua; Yin, Yan-Sheng</t>
  </si>
  <si>
    <t>Fabrication and Application of a New-Type Photothermal Conversion Nano Composite Coating</t>
  </si>
  <si>
    <t>JOURNAL OF NANOSCIENCE AND NANOTECHNOLOGY</t>
  </si>
  <si>
    <t>1533-4880</t>
  </si>
  <si>
    <t>10.1166/jnn.2015.9666</t>
  </si>
  <si>
    <t>Thermal analysis of photovoltaic thermal integrated greenhouse system (PVTIGS) for heating of slurry in potable biogas plant: An experimental study</t>
  </si>
  <si>
    <t>10.1016/j.solener.2017.06.021</t>
  </si>
  <si>
    <t>Dong, SY; Ahamed, MS; Ma, CW; Guo, HQ</t>
  </si>
  <si>
    <t>Dong, Shuyao; Ahamed, Md Shamim; Ma, Chengwei; Guo, Huiqing</t>
  </si>
  <si>
    <t>A Time-Dependent Model for Predicting Thermal Environment of Mono-Slope Solar Greenhouses in Cold Regions</t>
  </si>
  <si>
    <t>10.3390/en14185956</t>
  </si>
  <si>
    <t>Spall, S; Sethi, VP</t>
  </si>
  <si>
    <t>Spall, Saloni; Sethi, V. P.</t>
  </si>
  <si>
    <t>Design, modeling and analysis of efficient multi-rack tray solar cabinet dryer coupled with north wall reflector</t>
  </si>
  <si>
    <t>10.1016/j.solener.2020.10.012</t>
  </si>
  <si>
    <t>Saraz, JAO; Tinoco, IDF; Rocha, KSO; Martins, MA; De Paula, MO</t>
  </si>
  <si>
    <t>Osorio Saraz, Jairo Alexander; Ferreira Tinoco, Ilda De Fatima; Oliveira Rocha, Keller Sullivan; Martins, Marcio Aredes; De Paula, Marcos Oliveira</t>
  </si>
  <si>
    <t>MODELING AND EXPERIMENTAL VALIDATION TO ESTIMATE THE ENERGY BALANCE FOR A POULTRY HOUSE WITH MISTING COOLING</t>
  </si>
  <si>
    <t>DYNA-COLOMBIA</t>
  </si>
  <si>
    <t>0012-7353</t>
  </si>
  <si>
    <t>Moller, M; Tanny, J; Li, Y; Cohen, ST</t>
  </si>
  <si>
    <t>Measuring and predicting evapotranspiration in an insect-proof screenhouse</t>
  </si>
  <si>
    <t>10.1016/j.agrformet.2004.08.002</t>
  </si>
  <si>
    <t>MONTEIL, C; ISSANCHOU, G; AMOUROUX, M</t>
  </si>
  <si>
    <t>ENERGETICAL MODEL FOR GREENHOUSES</t>
  </si>
  <si>
    <t>JOURNAL DE PHYSIQUE III</t>
  </si>
  <si>
    <t>1155-4320</t>
  </si>
  <si>
    <t>10.1051/jp3:1991130</t>
  </si>
  <si>
    <t>Zhao, XX; Han, YQ; Lewlomphaisarl, U; Wang, HY; Hua, J; Wang, XJ; Kang, MZ</t>
  </si>
  <si>
    <t>Zhao, Xiaoxuan; Han, Yingqi; Lewlomphaisarl, Udom; Wang, Haoyu; Hua, Jing; Wang, Xiujuan; Kang, Mengzhen</t>
  </si>
  <si>
    <t>Parallel Control of Greenhouse Climate With a Transferable Prediction Model</t>
  </si>
  <si>
    <t>IEEE JOURNAL OF RADIO FREQUENCY IDENTIFICATION</t>
  </si>
  <si>
    <t>10.1109/JRFID.2022.3204363</t>
  </si>
  <si>
    <t>Thermal modeling of a greenhouse with an integrated earth to air heat exchanger: an experimental validation</t>
  </si>
  <si>
    <t>10.1016/j.enbuild.2003.10.006</t>
  </si>
  <si>
    <t>Vanthoor, BHE; van Henten, EJ; Stanghellini, C; de Visser, PHB</t>
  </si>
  <si>
    <t>Vanthoor, B. H. E.; van Henten, E. J.; Stanghellini, C.; de Visser, P. H. B.</t>
  </si>
  <si>
    <t>A methodology for model-based greenhouse design: Part 3, sensitivity analysis of a combined greenhouse climate-crop yield model</t>
  </si>
  <si>
    <t>10.1016/j.biosystemseng.2011.08.006</t>
  </si>
  <si>
    <t>Guzman-Cruz, R; Castaneda-Miranda, R; Garcia-Escalanta, JJ; Lopez-Cruz, IL; Lara-Herrera, A; de la Rosa, JI</t>
  </si>
  <si>
    <t>Guzman-Cruz, R.; Castaneda-Miranda, R.; Garcia-Escalanta, J. J.; Lopez-Cruz, I. L.; Lara-Herrera, A.; de la Rosa, J. I.</t>
  </si>
  <si>
    <t>Calibration of a greenhouse climate model using evolutionary algorithms</t>
  </si>
  <si>
    <t>10.1016/j.biosystemseng.2009.06.006</t>
  </si>
  <si>
    <t>Semple, L; Carriveau, R; Ting, DSK</t>
  </si>
  <si>
    <t>Semple, Lucas; Carriveau, Rupp; Ting, David S-K.</t>
  </si>
  <si>
    <t>Assessing heating and cooling demands of closed greenhouse systems in a cold climate</t>
  </si>
  <si>
    <t>10.1002/er.3752</t>
  </si>
  <si>
    <t>Singh, AK; Singh, RG; Tiwari, GN</t>
  </si>
  <si>
    <t>Singh, A. K.; Singh, R. G.; Tiwari, G. N.</t>
  </si>
  <si>
    <t>Thermal and electrical performance evaluation of photo-voltaic thermal compound parabolic concentrator integrated fixed dome biogas plant</t>
  </si>
  <si>
    <t>10.1016/j.renene.2020.03.028</t>
  </si>
  <si>
    <t>Lammari, K; Bounaama, F; Ouradj, B; Draoui, B</t>
  </si>
  <si>
    <t>Lammari, K.; Bounaama, F.; Ouradj, B.; Draoui, B.</t>
  </si>
  <si>
    <t>CONSTRAINED GA PI SLIDING MODE CONTROL OF INDOOR CLIMATE COUPLED MIMO GREENHOUSE MODEL</t>
  </si>
  <si>
    <t>JOURNAL OF THERMAL ENGINEERING</t>
  </si>
  <si>
    <t>2148-7847</t>
  </si>
  <si>
    <t>10.18186/thermal.711554</t>
  </si>
  <si>
    <t>VANHENTEN, EJ</t>
  </si>
  <si>
    <t>VALIDATION OF A DYNAMIC LETTUCE GROWTH-MODEL FOR GREENHOUSE CLIMATE CONTROL</t>
  </si>
  <si>
    <t>10.1016/S0308-521X(94)90280-1</t>
  </si>
  <si>
    <t>Katzin, D; van Mourik, S; Kempkes, F; van Henten, EJ</t>
  </si>
  <si>
    <t>Katzin, David; van Mourik, Simon; Kempkes, Frank; van Henten, Eldert J.</t>
  </si>
  <si>
    <t>GreenLight - An open source model for greenhouses with supplemental lighting: Evaluation of heat requirements under LED and HPS lamps</t>
  </si>
  <si>
    <t>10.1016/j.biosystemseng.2020.03.010</t>
  </si>
  <si>
    <t>Tiwari, S</t>
  </si>
  <si>
    <t>Tiwari, Sumit</t>
  </si>
  <si>
    <t>ANN and mathematical modelling for moisture evaporation with thermal modelling of bitter gourd flakes drying in SPVT solar dryer</t>
  </si>
  <si>
    <t>HEAT AND MASS TRANSFER</t>
  </si>
  <si>
    <t>0947-7411</t>
  </si>
  <si>
    <t>10.1007/s00231-020-02886-x</t>
  </si>
  <si>
    <t>Chintala, R; McDonald, LM; Bryan, WB</t>
  </si>
  <si>
    <t>Chintala, Rajesh; McDonald, Louis M.; Bryan, William B.</t>
  </si>
  <si>
    <t>EFFECT OF SOIL WATER AND NUTRIENTS ON PRODUCTIVITY OF KENTUCKY BLUEGRASS SYSTEM IN ACIDIC SOILS</t>
  </si>
  <si>
    <t>JOURNAL OF PLANT NUTRITION</t>
  </si>
  <si>
    <t>0190-4167</t>
  </si>
  <si>
    <t>10.1080/01904167.2012.636131</t>
  </si>
  <si>
    <t>Salah, LB; Fourati, F</t>
  </si>
  <si>
    <t>Salah, Latifa Belhaj; Fourati, Fathi</t>
  </si>
  <si>
    <t>A greenhouse modeling and control using deep neural networks</t>
  </si>
  <si>
    <t>APPLIED ARTIFICIAL INTELLIGENCE</t>
  </si>
  <si>
    <t>0883-9514</t>
  </si>
  <si>
    <t>10.1080/08839514.2021.1995232</t>
  </si>
  <si>
    <t>Pseudo bond graph tunnel greenhouse model with accurate longwave/shortwave radiations model</t>
  </si>
  <si>
    <t>10.1080/13873954.2018.1555172</t>
  </si>
  <si>
    <t>Singh, RD; Tiwari, GN</t>
  </si>
  <si>
    <t>Singh, R. D.; Tiwari, G. N.</t>
  </si>
  <si>
    <t>Energy conservation in the greenhouse system: A steady state analysis</t>
  </si>
  <si>
    <t>10.1016/j.energy.2010.02.003</t>
  </si>
  <si>
    <t>Bello-Robles, JC; Begovich, O; Ruiz-Leon, J; Fuentes-Aguilar, RQ</t>
  </si>
  <si>
    <t>Carlos Bello-Robles, Juan; Begovich, Ofelia; Ruiz-Leon, Javier; Quetziquel Fuentes-Aguilar, Rita</t>
  </si>
  <si>
    <t>MODELING OF THE TEMPERATURE DISTRIBUTION OF A GREENHOUSE USING FINITE ELEMENT DIFFERENTIAL NEURAL NETWORKS</t>
  </si>
  <si>
    <t>KYBERNETIKA</t>
  </si>
  <si>
    <t>0023-5954</t>
  </si>
  <si>
    <t>10.14736/kyb-2018-5-1033</t>
  </si>
  <si>
    <t>Ganguly, A; Ghosh, S</t>
  </si>
  <si>
    <t>Ganguly, A.; Ghosh, S.</t>
  </si>
  <si>
    <t>Modeling and analysis of a fan-pad ventilated floricultural greenhouse</t>
  </si>
  <si>
    <t>10.1016/j.enbuild.2006.12.003</t>
  </si>
  <si>
    <t>Thermal analysis of photovoltaic-thermal (PVT) single slope roof integrated greenhouse solar dryer</t>
  </si>
  <si>
    <t>10.1016/j.solener.2016.09.014</t>
  </si>
  <si>
    <t>Iribarne, L; Torres, JA; Pena, A</t>
  </si>
  <si>
    <t>Iribarne, Luis; Torres, Jose Antonio; Pena, Araceli</t>
  </si>
  <si>
    <t>Using computer modeling techniques to design tunnel greenhouse structures</t>
  </si>
  <si>
    <t>COMPUTERS IN INDUSTRY</t>
  </si>
  <si>
    <t>0166-3615</t>
  </si>
  <si>
    <t>10.1016/j.compind.2006.09.001</t>
  </si>
  <si>
    <t>Ioslovich, I</t>
  </si>
  <si>
    <t>Ioslovich, Ilya</t>
  </si>
  <si>
    <t>Optimal control strategy for greenhouse lettuce: Incorporating supplemental lighting</t>
  </si>
  <si>
    <t>10.1016/j.biosystemseng.2009.01.015</t>
  </si>
  <si>
    <t>Modeling and experimental validation of a greenhouse with evaporative cooling by moving water film over external shade cloth</t>
  </si>
  <si>
    <t>10.1016/S0378-7788(02)00242-6</t>
  </si>
  <si>
    <t>Abdel-Ghany, AM; Al-Helal, IM; Picuno, P; Cidek, MF; Al-Rebeh, A; Shady, MR</t>
  </si>
  <si>
    <t>Abdel-Ghany, A. M.; Al-Helal, I. M.; Picuno, P.; Cidek, M. F.; Al-Rebeh, A.; Shady, M. R.</t>
  </si>
  <si>
    <t>Degradation Characteristics of the Optical Constants of PE-LD Film-Covered Greenhouses in an Arid Climate</t>
  </si>
  <si>
    <t>INTERNATIONAL JOURNAL OF THERMOPHYSICS</t>
  </si>
  <si>
    <t>0195-928X</t>
  </si>
  <si>
    <t>10.1007/s10765-019-2528-y</t>
  </si>
  <si>
    <t>JONES, JW; DAYAN, E; ALLEN, LH; VANKEULEN, H; CHALLA, H</t>
  </si>
  <si>
    <t>A DYNAMIC TOMATO GROWTH AND YIELD MODEL (TOMGRO)</t>
  </si>
  <si>
    <t>Berroug, F; Lakhal, EK; El Omari, M; Faraji, M; El Qarnia, H</t>
  </si>
  <si>
    <t>Berroug, F.; Lakhal, E. K.; El Omari, M.; Faraji, M.; El Qarnia, H.</t>
  </si>
  <si>
    <t>Thermal performance of a greenhouse with a phase change material north wall</t>
  </si>
  <si>
    <t>10.1016/j.enbuild.2011.07.020</t>
  </si>
  <si>
    <t>Hum, JEY; Hollands, KGT; Wright, JL</t>
  </si>
  <si>
    <t>Analytical model for the thermal conductance of double-compound honeycomb transparent insulation, with validation</t>
  </si>
  <si>
    <t>1-3</t>
  </si>
  <si>
    <t>10.1016/j.solener.2003.07.034</t>
  </si>
  <si>
    <t>Jans-Singh, M; Ward, R; Choudhary, R</t>
  </si>
  <si>
    <t>Jans-Singh, Melanie; Ward, Rebecca; Choudhary, Ruchi</t>
  </si>
  <si>
    <t>Co-simulating a greenhouse in a building to quantify co-benefits of different coupled configurations</t>
  </si>
  <si>
    <t>JOURNAL OF BUILDING PERFORMANCE SIMULATION</t>
  </si>
  <si>
    <t>1940-1493</t>
  </si>
  <si>
    <t>10.1080/19401493.2021.1908426</t>
  </si>
  <si>
    <t>Chou, SK; Chua, KJ; Ho, JC; Ooi, CL</t>
  </si>
  <si>
    <t>On the study of an energy-efficient greenhouse for heating, cooling and dehumidification applications</t>
  </si>
  <si>
    <t>10.1016/S0306-2619(03)00157-0</t>
  </si>
  <si>
    <t>Gutierrez-Arias, EM; Flores-Mena, JE; Pere-Osorio, G; Morin-Castillo, MM; Pantle-Cuatle, G; Cordova-Gutierrez, EJ</t>
  </si>
  <si>
    <t>Gutierrez-Arias, E. M.; Flores-Mena, J. E.; Pere-Osorio, G.; Morin-Castillo, M. M.; Pantle-Cuatle, G.; Cordova-Gutierrez, E. J.</t>
  </si>
  <si>
    <t>Design and simulation of a control for the opening and closing of the side ventilation windows in a greenhouse</t>
  </si>
  <si>
    <t>REVISTA MEXICANA DE FISICA</t>
  </si>
  <si>
    <t>0035-001X</t>
  </si>
  <si>
    <t>10.31349/RevMexFis.67.100</t>
  </si>
  <si>
    <t>Performance analysis of photovoltaic-thermal (PVT) mixed mode greenhouse solar dryer</t>
  </si>
  <si>
    <t>10.1016/j.solener.2016.04.033</t>
  </si>
  <si>
    <t>Hassanzadeh, A; Zhang, F; van Aardt, J; Murphy, SP; Pethybridge, SJ</t>
  </si>
  <si>
    <t>Hassanzadeh, Amirhossein; Zhang, Fei; van Aardt, Jan; Murphy, Sean P.; Pethybridge, Sarah J.</t>
  </si>
  <si>
    <t>Broadacre Crop Yield Estimation Using Imaging Spectroscopy from Unmanned Aerial Systems (UAS): A Field-Based Case Study with Snap Bean</t>
  </si>
  <si>
    <t>REMOTE SENSING</t>
  </si>
  <si>
    <t>10.3390/rs13163241</t>
  </si>
  <si>
    <t>Singh, G; Jain, VK; Singh, A</t>
  </si>
  <si>
    <t>Singh, Gurinderpal; Jain, V. K.; Singh, Amanpreet</t>
  </si>
  <si>
    <t>Adaptive network architecture and firefly algorithm for biogas heating model aided by photovoltaic thermal greenhouse system</t>
  </si>
  <si>
    <t>ENERGY &amp; ENVIRONMENT</t>
  </si>
  <si>
    <t>0958-305X</t>
  </si>
  <si>
    <t>10.1177/0958305X18768819</t>
  </si>
  <si>
    <t>Tiwari, GN; Din, M; Srivastava, NSL; Jain, D; Sodha, MS</t>
  </si>
  <si>
    <t>Evaluation of solar fraction (F-n) for the north wall of a controlled environment greenhouse: an experimental validation</t>
  </si>
  <si>
    <t>10.1002/er.776</t>
  </si>
  <si>
    <t>Carr, MH</t>
  </si>
  <si>
    <t>Retention of an atmosphere on early Mars</t>
  </si>
  <si>
    <t>E9</t>
  </si>
  <si>
    <t>10.1029/1999JE001048</t>
  </si>
  <si>
    <t>Papadakis, G; Manolakos, D; Kyritsis, S</t>
  </si>
  <si>
    <t>Solar radiation transmissivity of a single-span greenhouse through measurements on scale models</t>
  </si>
  <si>
    <t>JOURNAL OF AGRICULTURAL ENGINEERING RESEARCH</t>
  </si>
  <si>
    <t>0021-8634</t>
  </si>
  <si>
    <t>10.1006/jaer.1998.0331</t>
  </si>
  <si>
    <t>Campolongo, F; Braddock, R</t>
  </si>
  <si>
    <t>Sensitivity analysis of the IMAGE Greenhouse model</t>
  </si>
  <si>
    <t>ENVIRONMENTAL MODELLING &amp; SOFTWARE</t>
  </si>
  <si>
    <t>1364-8152</t>
  </si>
  <si>
    <t>10.1016/S1364-8152(98)00079-6</t>
  </si>
  <si>
    <t>Lacroix, R; Kok, R</t>
  </si>
  <si>
    <t>Simulation-based control of enclosed ecosystems - A case study: Determination of greenhouse heating setpoints</t>
  </si>
  <si>
    <t>Hussain, MI; Ali, A; Lee, GH</t>
  </si>
  <si>
    <t>Hussain, M. Imtiaz; Ali, Asma; Lee, Gwi Hyun</t>
  </si>
  <si>
    <t>Multi-module concentrated photovoltaic thermal system feasibility for greenhouse heating: Model validation and techno-economic analysis</t>
  </si>
  <si>
    <t>10.1016/j.solener.2016.06.053</t>
  </si>
  <si>
    <t>Shyam; Al-Helal, IM; Singh, AK; Tiwari, GN</t>
  </si>
  <si>
    <t>Shyam; Al-Helal, I. M.; Singh, Anil Kumar; Tiwari, G. N.</t>
  </si>
  <si>
    <t>Performance evaluation of photovoltaic thermal greenhouse dryer and development of characteristic curve</t>
  </si>
  <si>
    <t>JOURNAL OF RENEWABLE AND SUSTAINABLE ENERGY</t>
  </si>
  <si>
    <t>1941-7012</t>
  </si>
  <si>
    <t>10.1063/1.4921408</t>
  </si>
  <si>
    <t>Zhang, Y; Henke, M; Li, YM; Yue, X; Xu, DM; Liu, XG; Li, TL</t>
  </si>
  <si>
    <t>Zhang, Yue; Henke, Michael; Li, Yiming; Yue, Xiang; Xu, Demin; Liu, Xingan; Li, Tianlai</t>
  </si>
  <si>
    <t>High resolution 3D simulation of light climate and thermal performance of a solar greenhouse model under tomato canopy structure</t>
  </si>
  <si>
    <t>10.1016/j.renene.2020.06.144</t>
  </si>
  <si>
    <t>Heymann, T; Raeke, J; Glomb, MA</t>
  </si>
  <si>
    <t>Heymann, Thomas; Raeke, Julia; Glomb, Marcus A.</t>
  </si>
  <si>
    <t>Photoinduced lsomerization of Lycopene and Application to Tomato Cultivation</t>
  </si>
  <si>
    <t>JOURNAL OF AGRICULTURAL AND FOOD CHEMISTRY</t>
  </si>
  <si>
    <t>0021-8561</t>
  </si>
  <si>
    <t>10.1021/jf403694q</t>
  </si>
  <si>
    <t>Chen, C; Shen, T; Weng, Y</t>
  </si>
  <si>
    <t>Chen, C.; Shen, T.; Weng, Y.</t>
  </si>
  <si>
    <t>Simple model to study the effect of temperature on the greenhouse with shading nets</t>
  </si>
  <si>
    <t>AFRICAN JOURNAL OF BIOTECHNOLOGY</t>
  </si>
  <si>
    <t>1684-5315</t>
  </si>
  <si>
    <t>Singh, P; Gaur, MK</t>
  </si>
  <si>
    <t>Singh, Pushpendra; Gaur, M. K.</t>
  </si>
  <si>
    <t>A review on thermal analysis of hybrid greenhouse solar dryer (HGSD)</t>
  </si>
  <si>
    <t>10.14744/jten.2022.xxxx</t>
  </si>
  <si>
    <t>Tanwanichkul, B; Thepa, S; Rordprapat, W</t>
  </si>
  <si>
    <t>Tanwanichkul, B.; Thepa, S.; Rordprapat, W.</t>
  </si>
  <si>
    <t>Thermal modeling of the forced convection Sandwich Greenhouse drying system for rubber sheets</t>
  </si>
  <si>
    <t>10.1016/j.enconman.2013.06.020</t>
  </si>
  <si>
    <t>Rankins, J; Sathe, SK; Spicer, MT</t>
  </si>
  <si>
    <t>Rankins, Jenice; Sathe, Shridhar K.; Spicer, Maria T.</t>
  </si>
  <si>
    <t>Solar drying of mangoes: Preservation of an important source of vitamin A in French-speaking West Africa</t>
  </si>
  <si>
    <t>JOURNAL OF THE AMERICAN DIETETIC ASSOCIATION</t>
  </si>
  <si>
    <t>0002-8223</t>
  </si>
  <si>
    <t>10.1016/j.jada.2008.03.013</t>
  </si>
  <si>
    <t>Ding, XT; Jiang, YP; Hui, DF; He, LZ; Huang, DF; Yu, JZ; Zhou, Q</t>
  </si>
  <si>
    <t>Ding, Xiaotao; Jiang, Yuping; Hui, Dafeng; He, Lizhong; Huang, Danfeng; Yu, Jizhu; Zhou, Qiang</t>
  </si>
  <si>
    <t>Model Simulation of Cucumber Yield and Microclimate Analysis in a Semi-closed Greenhouse in China</t>
  </si>
  <si>
    <t>10.21273/HORTSCI13703-18</t>
  </si>
  <si>
    <t>Bisoniya, TS; Kumar, A; Baredar, P</t>
  </si>
  <si>
    <t>Bisoniya, Trilok Singh; Kumar, Anil; Baredar, Prashant</t>
  </si>
  <si>
    <t>Experimental and analytical studies of earth-air heat exchanger (EAHE) systems in India: A review</t>
  </si>
  <si>
    <t>10.1016/j.rser.2012.11.023</t>
  </si>
  <si>
    <t>Hijjaji, K; Frikha, N; Gabsi, S; Kheiri, A</t>
  </si>
  <si>
    <t>Hijjaji, Karima; Frikha, Nader; Gabsi, Slimane; Kheiri, Abdelhamid</t>
  </si>
  <si>
    <t>Study of a solar HDH desalination unit powered greenhouse for water and humidity self-sufficiency</t>
  </si>
  <si>
    <t>INTERNATIONAL JOURNAL OF ENERGY AND ENVIRONMENTAL ENGINEERING</t>
  </si>
  <si>
    <t>2008-9163</t>
  </si>
  <si>
    <t>10.1007/s40095-022-00520-6</t>
  </si>
  <si>
    <t>CROWLEY, TJ</t>
  </si>
  <si>
    <t>GEOLOGICAL ASSESSMENT OF THE GREENHOUSE-EFFECT</t>
  </si>
  <si>
    <t>BULLETIN OF THE AMERICAN METEOROLOGICAL SOCIETY</t>
  </si>
  <si>
    <t>0003-0007</t>
  </si>
  <si>
    <t>10.1175/1520-0477(1993)074&lt;2363:GAOTGE&gt;2.0.CO;2</t>
  </si>
  <si>
    <t>Mohammadi, S; Khalife, E; Kaveh, M; Sayyah, AHA; Nikbakht, AM; Szymanek, M; Dziwulski, J</t>
  </si>
  <si>
    <t>Mohammadi, Saleh; Khalife, Esmail; Kaveh, Mohammad; Sayyah, Amir Hosein Afkari; Nikbakht, Ali Mohammad; Szymanek, Mariusz; Dziwulski, Jacek</t>
  </si>
  <si>
    <t>Comparison of Optimized and Conventional Models of Passive Solar Greenhouse-Case Study: The Indoor Air Temperature, Irradiation, and Energy Demand</t>
  </si>
  <si>
    <t>10.3390/en14175369</t>
  </si>
  <si>
    <t>Perrigault, T; Weatherford, V; Marti-Herrero, J; Poggio, D</t>
  </si>
  <si>
    <t>Perrigault, Thibault; Weatherford, Vergil; Marti-Herrero, Jaime; Poggio, Davide</t>
  </si>
  <si>
    <t>Towards thermal design optimization of tubular digesters in cold climates: A heat transfer model</t>
  </si>
  <si>
    <t>BIORESOURCE TECHNOLOGY</t>
  </si>
  <si>
    <t>0960-8524</t>
  </si>
  <si>
    <t>10.1016/j.biortech.2012.08.019</t>
  </si>
  <si>
    <t>Sahota, L; Tiwari, GN</t>
  </si>
  <si>
    <t>Sahota, Lovedeep; Tiwari, G. N.</t>
  </si>
  <si>
    <t>Review on series connected photovoltaic thermal (PVT) systems: Analytical and experimental studies</t>
  </si>
  <si>
    <t>10.1016/j.solener.2017.04.023</t>
  </si>
  <si>
    <t>Mandal, C; Ganguly, A</t>
  </si>
  <si>
    <t>Mandal, Chandan; Ganguly, Aritra</t>
  </si>
  <si>
    <t>Thermo-economic analysis of two stages desiccant supported greenhouse cooling system for orchid cultivation in the tropical and sub-tropical region</t>
  </si>
  <si>
    <t>SCIENCE AND TECHNOLOGY FOR THE BUILT ENVIRONMENT</t>
  </si>
  <si>
    <t>2374-4731</t>
  </si>
  <si>
    <t>10.1080/23744731.2022.2038491</t>
  </si>
  <si>
    <t>Chaabene, M; Annabi, M</t>
  </si>
  <si>
    <t>Dynamic thermal model for predicting solar plant adequate energy management</t>
  </si>
  <si>
    <t>3-4</t>
  </si>
  <si>
    <t>10.1016/S0196-8904(96)00196-3</t>
  </si>
  <si>
    <t>Dai, WB; Wang, LN; Wang, BR; Cui, XH; Li, X</t>
  </si>
  <si>
    <t>Dai, Wenbin; Wang, Lina; Wang, Binrui; Cui, Xiaohong; Li, Xue</t>
  </si>
  <si>
    <t>Research on WNN Greenhouse Temperature Prediction Method Based on GA</t>
  </si>
  <si>
    <t>PHYTON-INTERNATIONAL JOURNAL OF EXPERIMENTAL BOTANY</t>
  </si>
  <si>
    <t>0031-9457</t>
  </si>
  <si>
    <t>10.32604/phyton.2022.021096</t>
  </si>
  <si>
    <t>Xu, F; Li, S; Ma, C; Zhao, S; Han, J; Liu, Y; Hu, B; Wang, S</t>
  </si>
  <si>
    <t>Xu, F.; Li, S.; Ma, C.; Zhao, S.; Han, J.; Liu, Y.; Hu, B.; Wang, S.</t>
  </si>
  <si>
    <t>THERMAL ENVIRONMENT OF CHINESE SOLAR GREENHOUSES: ANALYSIS AND SIMULATION</t>
  </si>
  <si>
    <t>APPLIED ENGINEERING IN AGRICULTURE</t>
  </si>
  <si>
    <t>0883-8542</t>
  </si>
  <si>
    <t>Seginer, I</t>
  </si>
  <si>
    <t>Alternative design formulae for the ventilation rate of greenhouses</t>
  </si>
  <si>
    <t>10.1006/jaer.1997.0212</t>
  </si>
  <si>
    <t>Prakash, O; Laguri, V; Pandey, A; Kumar, A; Kumar, A</t>
  </si>
  <si>
    <t>Prakash, Om; Laguri, Vinod; Pandey, Anukul; Kumar, Anil; Kumar, Arbind</t>
  </si>
  <si>
    <t>Review on various modelling techniques for the solar dryers</t>
  </si>
  <si>
    <t>10.1016/j.rser.2016.04.028</t>
  </si>
  <si>
    <t>Esmaeli, H; Roshandel, R</t>
  </si>
  <si>
    <t>Esmaeli, Homa; Roshandel, Ramin</t>
  </si>
  <si>
    <t>Optimal design for solar greenhouses based on climate conditions</t>
  </si>
  <si>
    <t>10.1016/j.renene.2019.06.090</t>
  </si>
  <si>
    <t>Shukla, Ashish; Tiwari, G. N.; Sodha, M. S.</t>
  </si>
  <si>
    <t>Experimental study of effect of an inner thermal curtain in evaporative cooling system of a cascade greenhouse</t>
  </si>
  <si>
    <t>10.1016/j.solener.2007.04.003</t>
  </si>
  <si>
    <t>Wang, JW; Li, SH; Guo, SR; Ma, CW; Wang, J; Jin, S</t>
  </si>
  <si>
    <t>Wang, Junwei; Li, Shuhai; Guo, Shirong; Ma, Chengwei; Wang, Jian; Jin, Sun</t>
  </si>
  <si>
    <t>Simulation and optimization of solar greenhouses in Northern Jiangsu Province of China</t>
  </si>
  <si>
    <t>10.1016/j.enbuild.2014.04.006</t>
  </si>
  <si>
    <t>Ghoulem, M; El Moueddeb, K; Nehdi, E; Zhong, FL; Calautit, J</t>
  </si>
  <si>
    <t>Ghoulem, Marouen; El Moueddeb, Khaled; Nehdi, Ezzedine; Zhong, Fangliang; Calautit, John</t>
  </si>
  <si>
    <t>Design of a Passive Downdraught Evaporative Cooling Windcatcher (PDEC-WC) System for Greenhouses in Hot Climates</t>
  </si>
  <si>
    <t>10.3390/en13112934</t>
  </si>
  <si>
    <t>KOK, R; LACROIX, R; CLARK, G; TAILLEFER, E</t>
  </si>
  <si>
    <t>IMITATION OF A PROCEDURAL GREENHOUSE MODEL WITH AN ARTIFICIAL NEURAL-NETWORK</t>
  </si>
  <si>
    <t>Saini, V; Tiwari, S; Tiwari, GN</t>
  </si>
  <si>
    <t>Saini, Vineet; Tiwari, Sumit; Tiwari, G. N.</t>
  </si>
  <si>
    <t>Environ economic analysis of various types of photovoltaic technologies integrated with greenhouse solar drying system</t>
  </si>
  <si>
    <t>10.1016/j.jclepro.2017.04.044</t>
  </si>
  <si>
    <t>Rasheed, A; Na, WH; Lee, JW; Kim, HT; Lee, HW</t>
  </si>
  <si>
    <t>Rasheed, Adnan; Na, Wook Ho; Lee, Jong Won; Kim, Hyeon Tae; Lee, Hyun Woo</t>
  </si>
  <si>
    <t>Optimization of Greenhouse Thermal Screens for Maximized Energy Conservation</t>
  </si>
  <si>
    <t>10.3390/en12193592</t>
  </si>
  <si>
    <t>Noroozi, A; Veneris, YS</t>
  </si>
  <si>
    <t>Noroozi, Azam; Veneris, Yannis S.</t>
  </si>
  <si>
    <t>Thermal Assessment of a Novel Combine Evaporative Cooling Wind Catcher</t>
  </si>
  <si>
    <t>10.3390/en11020442</t>
  </si>
  <si>
    <t>Altes-Buch, Q; Quoilin, S; Lemort, V</t>
  </si>
  <si>
    <t>Altes-Buch, Queralt; Quoilin, Sylvain; Lemort, Vincent</t>
  </si>
  <si>
    <t>A modeling framework for the integration of electrical and thermal energy systems in greenhouses</t>
  </si>
  <si>
    <t>10.1007/s12273-021-0851-2</t>
  </si>
  <si>
    <t>Jain, D</t>
  </si>
  <si>
    <t>Modeling the performance of greenhouse with packed bed thermal storage on crop drying application</t>
  </si>
  <si>
    <t>JOURNAL OF FOOD ENGINEERING</t>
  </si>
  <si>
    <t>0260-8774</t>
  </si>
  <si>
    <t>10.1016/j.jfoodeng.2004.10.031</t>
  </si>
  <si>
    <t>Dipta, SS; Schoenlaub, J; Rahaman, MH; Uddin, A</t>
  </si>
  <si>
    <t>Dipta, Shahriyar Safat; Schoenlaub, Jean; Rahaman, Md Habibur; Uddin, Ashraf</t>
  </si>
  <si>
    <t>Estimating the potential for semitransparent organic solar cells in agrophotovoltaic greenhouses</t>
  </si>
  <si>
    <t>10.1016/j.apenergy.2022.120208</t>
  </si>
  <si>
    <t>Saberian, A; Sajadiye, SM</t>
  </si>
  <si>
    <t>Saberian, Ayad; Sajadiye, Seyed Majid</t>
  </si>
  <si>
    <t>Assessing the variable performance of fan-and-pad cooling in a subtropical desert greenhouse</t>
  </si>
  <si>
    <t>10.1016/j.applthermaleng.2020.115672</t>
  </si>
  <si>
    <t>Piscia, D; Montero, JI; Bailey, B; Munoz, P; Oliva, A</t>
  </si>
  <si>
    <t>Piscia, D.; Montero, J. I.; Bailey, B.; Munoz, P.; Oliva, A.</t>
  </si>
  <si>
    <t>A new optimisation methodology used to study the effect of cover properties on night-time greenhouse climate</t>
  </si>
  <si>
    <t>10.1016/j.biosystemseng.2013.07.005</t>
  </si>
  <si>
    <t>Dadour, IR; Almanjahie, I; Fowkes, ND; Keady, G; Vijayan, K</t>
  </si>
  <si>
    <t>Dadour, I. R.; Almanjahie, I.; Fowkes, N. D.; Keady, G.; Vijayan, K.</t>
  </si>
  <si>
    <t>Temperature variations in a parked vehicle</t>
  </si>
  <si>
    <t>FORENSIC SCIENCE INTERNATIONAL</t>
  </si>
  <si>
    <t>0379-0738</t>
  </si>
  <si>
    <t>10.1016/j.forsciint.2010.10.009</t>
  </si>
  <si>
    <t>Katsoulas, N; Sapounas, A; De Zwart, F; Dieleman, JA; Stanghellini, C</t>
  </si>
  <si>
    <t>Katsoulas, N.; Sapounas, A.; De Zwart, F.; Dieleman, J. A.; Stanghellini, C.</t>
  </si>
  <si>
    <t>Reducing ventilation requirements in semi-closed greenhouses increases water use efficiency</t>
  </si>
  <si>
    <t>AGRICULTURAL WATER MANAGEMENT</t>
  </si>
  <si>
    <t>0378-3774</t>
  </si>
  <si>
    <t>10.1016/j.agwat.2015.04.003</t>
  </si>
  <si>
    <t>Attar, I; Farhat, A</t>
  </si>
  <si>
    <t>Attar, I.; Farhat, A.</t>
  </si>
  <si>
    <t>Efficiency evaluation of a solar water heating system applied to the greenhouse climate</t>
  </si>
  <si>
    <t>10.1016/j.solener.2015.06.040</t>
  </si>
  <si>
    <t>Kolokotsa, D; Saridakis, G; Dalamagkidis, K; Dolianitis, S; Kaliakatsos, I</t>
  </si>
  <si>
    <t>Kolokotsa, D.; Saridakis, G.; Dalamagkidis, K.; Dolianitis, S.; Kaliakatsos, I.</t>
  </si>
  <si>
    <t>Development of an intelligent indoor environment and energy management system for greenhouses</t>
  </si>
  <si>
    <t>10.1016/j.enconman.2009.09.007</t>
  </si>
  <si>
    <t>Deng, LH; Huang, L; Zhang, Y; Li, AG; Gao, R; Zhang, LH; Lei, WJ</t>
  </si>
  <si>
    <t>Deng, Lianhua; Huang, Lin; Zhang, Ying; Li, Angui; Gao, Ran; Zhang, Linhua; Lei, Wenjun</t>
  </si>
  <si>
    <t>Analytic model for calculation of soil temperature and heat balance of bare soil surface in solar greenhouse</t>
  </si>
  <si>
    <t>10.1016/j.solener.2022.11.030</t>
  </si>
  <si>
    <t>Gharghory, SM</t>
  </si>
  <si>
    <t>Gharghory, Sawsan Morkos</t>
  </si>
  <si>
    <t>Deep Network based on Long Short-Term Memory for Time Series Prediction of Microclimate Data inside the Greenhouse</t>
  </si>
  <si>
    <t>INTERNATIONAL JOURNAL OF COMPUTATIONAL INTELLIGENCE AND APPLICATIONS</t>
  </si>
  <si>
    <t>1469-0268</t>
  </si>
  <si>
    <t>10.1142/S1469026820500133</t>
  </si>
  <si>
    <t>Mahmood, F; Govindan, R; Bermak, A; Yang, D; Khadra, C; Al-Ansari, T</t>
  </si>
  <si>
    <t>Mahmood, Farhat; Govindan, Rajesh; Bermak, Amine; Yang, David; Khadra, Carol; Al-Ansari, Tareq</t>
  </si>
  <si>
    <t>Energy utilization assessment of a semi-closed greenhouse using data-driven model predictive control</t>
  </si>
  <si>
    <t>10.1016/j.jclepro.2021.129172</t>
  </si>
  <si>
    <t>Barnes, T; Parajuli, R; Leggett, Z; Suchoff, D</t>
  </si>
  <si>
    <t>Barnes, Thomas; Parajuli, Rajan; Leggett, Zakiya; Suchoff, David</t>
  </si>
  <si>
    <t>Assessing the financial viability of growing industrial hemp with loblolly pine plantations in the southeastern United States</t>
  </si>
  <si>
    <t>FRONTIERS IN FORESTS AND GLOBAL CHANGE</t>
  </si>
  <si>
    <t>10.3389/ffgc.2023.1148221</t>
  </si>
  <si>
    <t>Ma, DD; Carpenter, N; Maki, H; Rehman, TU; Tuinstra, MR; Jin, J</t>
  </si>
  <si>
    <t>Ma, Dongdong; Carpenter, Neal; Maki, Hideki; Rehman, Tanzeel U.; Tuinstra, Mitchell R.; Jin, Jian</t>
  </si>
  <si>
    <t>Greenhouse environment modeling and simulation for microclimate control</t>
  </si>
  <si>
    <t>10.1016/j.compag.2019.04.013</t>
  </si>
  <si>
    <t>Chen, LH; Xu, LH; Wei, RH</t>
  </si>
  <si>
    <t>Chen, Lihan; Xu, Lihong; Wei, Ruihua</t>
  </si>
  <si>
    <t>Energy-Saving Control Algorithm of Venlo Greenhouse Skylight and Wet Curtain Fan Based on Reinforcement Learning with Soft Action Mask</t>
  </si>
  <si>
    <t>10.3390/agriculture13010141</t>
  </si>
  <si>
    <t>Mathematical modeling for greenhouse heating by using thermal curtain and geothermal energy</t>
  </si>
  <si>
    <t>10.1016/j.solener.2003.12.004</t>
  </si>
  <si>
    <t>Guesbaya, M; Garcia-Manas, F; Megherbi, H; Rodriguez, F</t>
  </si>
  <si>
    <t>Guesbaya, Mounir; Garcia-Manas, Francisco; Megherbi, Hassina; Rodriguez, Francisco</t>
  </si>
  <si>
    <t>Real-time adaptation of a greenhouse microclimate model using an online parameter estimator based on a bat algorithm variant</t>
  </si>
  <si>
    <t>10.1016/j.compag.2021.106627</t>
  </si>
  <si>
    <t>Vanthoor, BHE; Gazquez, JC; Magan, JJ; Ruijs, MNA; Baeza, E; Stanghellini, C; van Henten, EJ; de Visser, PHB</t>
  </si>
  <si>
    <t>Vanthoor, Bram H. E.; Gazquez, Juan C.; Magan, Juan J.; Ruijs, Marc N. A.; Baeza, Esteban; Stanghellini, Cecilia; van Henten, Eldert J.; de Visser, Pieter H. B.</t>
  </si>
  <si>
    <t>A methodology for model-based greenhouse design: Part 4, economic evaluation of different greenhouse designs: A Spanish case</t>
  </si>
  <si>
    <t>10.1016/j.biosystemseng.2011.12.008</t>
  </si>
  <si>
    <t>Nurmalisa, M; Tokairin, T; Kumazaki, T; Takayama, K; Inoue, T</t>
  </si>
  <si>
    <t>Nurmalisa, Moliya; Tokairin, Takayuki; Kumazaki, Tadashi; Takayama, Kotaro; Inoue, Takanobu</t>
  </si>
  <si>
    <t>CO2 Distribution under CO2 Enrichment Using Computational Fluid Dynamics Considering Photosynthesis in a Tomato Greenhouse</t>
  </si>
  <si>
    <t>APPLIED SCIENCES-BASEL</t>
  </si>
  <si>
    <t>10.3390/app12157756</t>
  </si>
  <si>
    <t>Razumovskiy, MV; Rodin, AV</t>
  </si>
  <si>
    <t>Razumovskiy, M. V.; Rodin, A. V.</t>
  </si>
  <si>
    <t>Modeling the Atmospheres of Tidally Locked Super-Earths Orbiting Low-Mass Host Stars Using a Nonhydrostatic General Circulation Model</t>
  </si>
  <si>
    <t>ASTRONOMY LETTERS-A JOURNAL OF ASTRONOMY AND SPACE ASTROPHYSICS</t>
  </si>
  <si>
    <t>1063-7737</t>
  </si>
  <si>
    <t>10.1134/S1063773720060080</t>
  </si>
  <si>
    <t>Shamshiri, RR; Kalantari, F; Ting, KC; Thorp, KR; Hameed, IA; Weltzien, C; Ahmad, D; Shad, ZM</t>
  </si>
  <si>
    <t>Shamshiri, Redmond Ramin; Kalantari, Fatemeh; Ting, K. C.; Thorp, Kelly R.; Hameed, Ibrahim A.; Weltzien, Cornelia; Ahmad, Desa; Shad, Zahra Mojgan</t>
  </si>
  <si>
    <t>Advances in greenhouse automation and controlled environment agriculture: A transition to plant factories and urban agriculture</t>
  </si>
  <si>
    <t>10.25165/j.ijabe.20181101.3210</t>
  </si>
  <si>
    <t>Chen, C; Yu, N; Yang, FG; Mahkamov, K; Han, FT; Li, YR; Ling, HS</t>
  </si>
  <si>
    <t>Chen, Chao; Yu, Nan; Yang, Fengguang; Mahkamov, Khamid; Han, Fengtao; Li, Yaru; Ling, Haoshu</t>
  </si>
  <si>
    <t>Theoretical and experimental study on selection of physical dimensions of passive solar greenhouses for enhanced energy performance</t>
  </si>
  <si>
    <t>10.1016/j.solener.2019.07.089</t>
  </si>
  <si>
    <t>Wang, LN; Wang, BR</t>
  </si>
  <si>
    <t>Wang, Lina; Wang, Binrui</t>
  </si>
  <si>
    <t>Construction of greenhouse environment temperature adaptive model based on parameter identification</t>
  </si>
  <si>
    <t>10.1016/j.compag.2020.105477</t>
  </si>
  <si>
    <t>Young, SN; Kayacan, E; Peschel, JM</t>
  </si>
  <si>
    <t>Young, Sierra N.; Kayacan, Erkan; Peschel, Joshua M.</t>
  </si>
  <si>
    <t>Design and field evaluation of a ground robot for high-throughput phenotyping of energy sorghum</t>
  </si>
  <si>
    <t>PRECISION AGRICULTURE</t>
  </si>
  <si>
    <t>1385-2256</t>
  </si>
  <si>
    <t>10.1007/s11119-018-9601-6</t>
  </si>
  <si>
    <t>Abbes, M; Farhat, A; Mami, A; Dauphin-Tanguy, G</t>
  </si>
  <si>
    <t>Abbes, M.; Farhat, A.; Mami, A.; Dauphin-Tanguy, G.</t>
  </si>
  <si>
    <t>Pseudo bond graph model of coupled heat and mass transfers in a plastic tunnel greenhouse</t>
  </si>
  <si>
    <t>SIMULATION MODELLING PRACTICE AND THEORY</t>
  </si>
  <si>
    <t>1569-190X</t>
  </si>
  <si>
    <t>10.1016/j.simpat.2010.05.006</t>
  </si>
  <si>
    <t>Hu, HG; Xu, LH; Zhu, BK; Wei, RH</t>
  </si>
  <si>
    <t>Hu, Haigen; Xu, Lihong; Zhu, Bingkun; Wei, Rhihua</t>
  </si>
  <si>
    <t>A Compatible Control Algorithm for Greenhouse Environment Control Based on MOCC Strategy</t>
  </si>
  <si>
    <t>SENSORS</t>
  </si>
  <si>
    <t>10.3390/s110303281</t>
  </si>
  <si>
    <t>Davidsson, BJR; Skorov, YV</t>
  </si>
  <si>
    <t>On the light-absorbing surface layer of cometary nuclei - II. Thermal modeling</t>
  </si>
  <si>
    <t>10.1006/icar.2002.6912</t>
  </si>
  <si>
    <t>Alinejad, T; Yaghoubi, M; Vadiee, A</t>
  </si>
  <si>
    <t>Alinejad, T.; Yaghoubi, M.; Vadiee, A.</t>
  </si>
  <si>
    <t>Thermo-environomic assessment of an integrated greenhouse with an adjustable solar photovoltaic blind system</t>
  </si>
  <si>
    <t>10.1016/j.renene.2020.04.070</t>
  </si>
  <si>
    <t>Chen, B; Lu, TB; Bai, B; Shen, NX; Zhang, YH; Wang, DL</t>
  </si>
  <si>
    <t>Chen, Bo; Lu, Tiebing; Bai, Bin; Shen, Nanxuan; Zhang, Yuanhang; Wang, Donglai</t>
  </si>
  <si>
    <t>The influence of greenhouse support structures on ion flow field under overhead high voltage direct current lines</t>
  </si>
  <si>
    <t>ELECTRIC POWER SYSTEMS RESEARCH</t>
  </si>
  <si>
    <t>0378-7796</t>
  </si>
  <si>
    <t>10.1016/j.epsr.2021.107260</t>
  </si>
  <si>
    <t>Jain, Dilip</t>
  </si>
  <si>
    <t>Modeling the thermal performance of an aquaculture pond heating with greenhouse</t>
  </si>
  <si>
    <t>10.1016/j.buildenv.2005.09.019</t>
  </si>
  <si>
    <t>D'Arpa, S; Colangelo, G; Starace, G; Petrosillo, I; Bruno, DE; Uricchio, V; Zurlini, G</t>
  </si>
  <si>
    <t>D'Arpa, Stefania; Colangelo, Gianpiero; Starace, Giuseppe; Petrosillo, Irene; Bruno, Delia Evelina; Uricchio, Vito; Zurlini, Giovanni</t>
  </si>
  <si>
    <t>Heating requirements in greenhouse farming in southern Italy: evaluation of ground-source heat pump utilization compared to traditional heating systems</t>
  </si>
  <si>
    <t>ENERGY EFFICIENCY</t>
  </si>
  <si>
    <t>1570-646X</t>
  </si>
  <si>
    <t>10.1007/s12053-015-9410-y</t>
  </si>
  <si>
    <t>Ogunlowo, QO; Na, WH; Rabiu, A; Adesanya, MA; Akpenpuun, TD; Kim, HT; Lee, HW</t>
  </si>
  <si>
    <t>Ogunlowo, Qazeem Opeyemi; Na, Wook Ho; Rabiu, Anis; Adesanya, Misbaudeen Aderemi; Akpenpuun, Timothy Denen; Kim, Hyeon Tae; Lee, Hyun Woo</t>
  </si>
  <si>
    <t>Effect of envelope characteristics on the accuracy of discretised greenhouse model in TRNSYS</t>
  </si>
  <si>
    <t>JOURNAL OF AGRICULTURAL ENGINEERING</t>
  </si>
  <si>
    <t>1974-7071</t>
  </si>
  <si>
    <t>10.4081/jae.2022.1420</t>
  </si>
  <si>
    <t>Kumar, KS; Jha, MK; Tiwari, KN; Singh, A</t>
  </si>
  <si>
    <t>Kumar, K. S.; Jha, Madan K.; Tiwari, K. N.; Singh, Amanpreet</t>
  </si>
  <si>
    <t>Modeling and evaluation of greenhouse for floriculture in subtropics</t>
  </si>
  <si>
    <t>10.1016/j.enbuild.2010.01.021</t>
  </si>
  <si>
    <t>Ghosh, A; Ganguly, A</t>
  </si>
  <si>
    <t>Ghosh, Avik; Ganguly, A.</t>
  </si>
  <si>
    <t>Performance analysis of a partially closed solar regenerated desiccant assisted cooling system for greenhouse lettuce cultivation</t>
  </si>
  <si>
    <t>10.1016/j.solener.2017.10.030</t>
  </si>
  <si>
    <t>De Ridder, F; van Roy, J; Vanlommel, W; Van Calenberge, B; Vliex, M; De Win, J; De Schutter, B; Binnemans, S; De Pauw, M</t>
  </si>
  <si>
    <t>De Ridder, Fjo; van Roy, Jeroen; Vanlommel, Wendy; Van Calenberge, Bart; Vliex, Maarten; De Win, Jonas; De Schutter, Bert; Binnemans, Simon; De Pauw, Margot</t>
  </si>
  <si>
    <t>Convex parameter estimator for grey-box models, applied to characterise heat flows in greenhouses</t>
  </si>
  <si>
    <t>10.1016/j.biosystemseng.2019.12.009</t>
  </si>
  <si>
    <t>Qiu, Q; Zheng, CF; Wang, WP; Qiao, XJ; Bai, H; Yu, JQ; Shi, K</t>
  </si>
  <si>
    <t>Qiu, Quan; Zheng, Chenfei; Wang, Wenping; Qiao, Xiaojun; Bai, He; Yu, Jingquan; Shi, Kai</t>
  </si>
  <si>
    <t>A New Strategy in Observer Modeling for Greenhouse Cucumber Seedling Growth</t>
  </si>
  <si>
    <t>FRONTIERS IN PLANT SCIENCE</t>
  </si>
  <si>
    <t>1664-462X</t>
  </si>
  <si>
    <t>10.3389/fpls.2017.01297</t>
  </si>
  <si>
    <t>BARTOS, JM; MULLINS, GL; WILLIAMS, JC; SIKORA, FJ; COPELAND, JP</t>
  </si>
  <si>
    <t>WATER-INSOLUBLE IMPURITY EFFECTS ON PHOSPHORUS AVAILABILITY IN MONOAMMONIUM PHOSPHATE FERTILIZERS</t>
  </si>
  <si>
    <t>SOIL SCIENCE SOCIETY OF AMERICA JOURNAL</t>
  </si>
  <si>
    <t>0361-5995</t>
  </si>
  <si>
    <t>10.2136/sssaj1992.03615995005600030048x</t>
  </si>
  <si>
    <t>Liu, R; Li, M; Guzman, JL; Rodriguez, F</t>
  </si>
  <si>
    <t>Liu, R.; Li, M.; Guzman, J. L.; Rodriguez, F.</t>
  </si>
  <si>
    <t>A fast and practical one-dimensional transient model for greenhouse temperature and humidity</t>
  </si>
  <si>
    <t>10.1016/j.compag.2021.106186</t>
  </si>
  <si>
    <t>Joudi, KA; Farhan, AA</t>
  </si>
  <si>
    <t>Joudi, Khalid A.; Farhan, Ammar A.</t>
  </si>
  <si>
    <t>A dynamic model and an experimental study for the internal air and soil temperatures in an innovative greenhouse</t>
  </si>
  <si>
    <t>10.1016/j.enconman.2014.11.052</t>
  </si>
  <si>
    <t>Rabhy, OO; Adam, IG; Youssef, ME; Rashad, AB; Hassan, GE</t>
  </si>
  <si>
    <t>Rabhy, Omar O.; Adam, I. G.; Youssef, M. Elsayed; Rashad, A. B.; Hassan, Gasser E.</t>
  </si>
  <si>
    <t>Numerical and experimental analyses of a transparent solar distiller for an agricultural greenhouse</t>
  </si>
  <si>
    <t>10.1016/j.apenergy.2019.113564</t>
  </si>
  <si>
    <t>Mercier, T; Grosskopf, C; Martin, S</t>
  </si>
  <si>
    <t>Mercier, Thierry; Grosskopf, Claudia; Martin, Sabine</t>
  </si>
  <si>
    <t>Potential operator dermal exposure during foliar indoor application: a comparison between knapsack, trolley sprayer and lance equipment</t>
  </si>
  <si>
    <t>JOURNAL OF CONSUMER PROTECTION AND FOOD SAFETY</t>
  </si>
  <si>
    <t>1661-5751</t>
  </si>
  <si>
    <t>10.1007/s00003-018-1194-5</t>
  </si>
  <si>
    <t>Saikai, K; MacGuidwin, AE</t>
  </si>
  <si>
    <t>Saikai, Kanan; MacGuidwin, Ann E.</t>
  </si>
  <si>
    <t>Impact of Pratylenchus penetrans on Soybean Grown in Wisconsin, USA</t>
  </si>
  <si>
    <t>PLANT DISEASE</t>
  </si>
  <si>
    <t>0191-2917</t>
  </si>
  <si>
    <t>10.1094/PDIS-09-21-1888-RE</t>
  </si>
  <si>
    <t>Seginer, I; van Straten, G; van Beveren, PJM</t>
  </si>
  <si>
    <t>Seginer, Ido; van Straten, Gerrit; van Beveren, Peter J. M.</t>
  </si>
  <si>
    <t>Day-to-night heat storage in greenhouses: 4. Changing the environmental bounds</t>
  </si>
  <si>
    <t>10.1016/j.biosystemseng.2020.01.005</t>
  </si>
  <si>
    <t>Nayak, S; Tiwari, GM</t>
  </si>
  <si>
    <t>Nayak, Sujata; Tiwari, G. M.</t>
  </si>
  <si>
    <t>Theoretical performance assessment of an integrated photovoltaic and earth air heat exchanger greenhouse using energy and exergy analysis methods</t>
  </si>
  <si>
    <t>10.1016/j.enbuild.2009.03.012</t>
  </si>
  <si>
    <t>Yeo, UH; Lee, SY; Park, SJ; Kim, JG; Choi, YB; Kim, RW; Shin, JH; Lee, IB</t>
  </si>
  <si>
    <t>Yeo, Uk-Hyeon; Lee, Sang-Yeon; Park, Se-Jun; Kim, Jun-Gyu; Choi, Young-Bae; Kim, Rack-Woo; Shin, Jong Hwa; Lee, In-Bok</t>
  </si>
  <si>
    <t>Rooftop Greenhouse: (1) Design and Validation of a BES Model for a Plastic-Covered Greenhouse Considering the Tomato Crop Model and Natural Ventilation Characteristics</t>
  </si>
  <si>
    <t>10.3390/agriculture12070903</t>
  </si>
  <si>
    <t>Meressa, BH; Dehne, HW; Hallmann, J</t>
  </si>
  <si>
    <t>Meressa, Beira-Hailu; Dehne, Heinz-Wilhelm; Hallmann, Johannes</t>
  </si>
  <si>
    <t>Population Dynamics and Damage Potential of Meloidogyne hapla to Rose Rootstock Species</t>
  </si>
  <si>
    <t>JOURNAL OF PHYTOPATHOLOGY</t>
  </si>
  <si>
    <t>0931-1785</t>
  </si>
  <si>
    <t>10.1111/jph.12492</t>
  </si>
  <si>
    <t>Banik, P; Ganguly, A</t>
  </si>
  <si>
    <t>Banik, P.; Ganguly, A.</t>
  </si>
  <si>
    <t>Performance and economic analysis of a floricultural greenhouse with distributed fan-pad evaporative cooling coupled with solar desiccation</t>
  </si>
  <si>
    <t>10.1016/j.solener.2017.03.057</t>
  </si>
  <si>
    <t>Abdel-Ghany, AM; Al-Helal, IM; Kumar, A; Alsadon, AA; Shady, MR; Ibrahim, AA</t>
  </si>
  <si>
    <t>Abdel-Ghany, A. M.; Al-Helal, I. M.; Kumar, Anil; Alsadon, A. A.; Shady, M. R.; Ibrahim, A. A.</t>
  </si>
  <si>
    <t>Effect of Aging on the Spectral Radiative Properties of Plastic Film-Covered Greenhouse under Arid Conditions</t>
  </si>
  <si>
    <t>10.1007/s10765-018-2434-8</t>
  </si>
  <si>
    <t>Wacker, JD; Verheul, MJ; Righini, I; Maessen, H; Stanghellini, C</t>
  </si>
  <si>
    <t>Wacker, Jan-David; Verheul, Michel J.; Righini, Isabella; Maessen, Henk; Stanghellini, Cecilia</t>
  </si>
  <si>
    <t>Optimisation of supplemental light systems in Norwegian tomato greenhouses-A simulation study</t>
  </si>
  <si>
    <t>10.1016/j.biosystemseng.2021.12.020</t>
  </si>
  <si>
    <t>Berroug, F; Bellaziz, Y; Ouazzani, N; Nouh, FA; Hejjaj, A; Boukhattem, L; Idlimam, A; El Mahmoudi, H; Mandi, L</t>
  </si>
  <si>
    <t>Berroug, Fatiha; Bellaziz, Yassir; Ouazzani, Naaila; Nouh, Fatima Ait; Hejjaj, Abdessamad; Boukhattem, Lahcen; Idlimam, Ali; El Mahmoudi, Hamid; Mandi, Laila</t>
  </si>
  <si>
    <t>Experimental and Numerical Investigations on Conductive Drying of Phosphate Washing Waste Clay</t>
  </si>
  <si>
    <t>MINERALS</t>
  </si>
  <si>
    <t>10.3390/min11050482</t>
  </si>
  <si>
    <t>Analysis of passive downdraught evaporative cooling windcatcher for greenhouses in hot climatic conditions: Parametric study and impact of neighbouring structures</t>
  </si>
  <si>
    <t>10.1016/j.biosystemseng.2020.06.016</t>
  </si>
  <si>
    <t>Xu, XM; Sun, Y; Krishnamoorthy, S; Chandran, K</t>
  </si>
  <si>
    <t>Xu, Xiumei; Sun, Yu; Krishnamoorthy, Sujatha; Chandran, Karthik</t>
  </si>
  <si>
    <t>An Empirical Analysis of Green Technology Innovation and Ecological Efficiency Based on a Greenhouse Evolutionary Ventilation Algorithm Fuzzy-Model</t>
  </si>
  <si>
    <t>10.3390/su12093886</t>
  </si>
  <si>
    <t>Davies, PA; Paton, C</t>
  </si>
  <si>
    <t>The Seawater Greenhouse in the United Arab Emirates: thermal modelling and evaluation of design options</t>
  </si>
  <si>
    <t>10.1016/j.desal.2004.06.211</t>
  </si>
  <si>
    <t>Bonuso, S; Panico, S; Baglivo, C; Mazzeo, D; Matera, N; Congedo, PM; Oliveti, G</t>
  </si>
  <si>
    <t>Bonuso, Sara; Panico, Simone; Baglivo, Cristina; Mazzeo, Domenico; Matera, Nicoletta; Congedo, Paolo Maria; Oliveti, Giuseppe</t>
  </si>
  <si>
    <t>Dynamic Analysis of the Natural and Mechanical Ventilation of a Solar Greenhouse by Coupling Controlled Mechanical Ventilation (CMV) with an Earth-to-Air Heat Exchanger (EAHX)</t>
  </si>
  <si>
    <t>10.3390/en13143676</t>
  </si>
  <si>
    <t>Liu, AH; Henke, M; Li, YM; Zhang, Y; Xu, DM; Liu, XA; Li, TL</t>
  </si>
  <si>
    <t>Liu, Anhua; Henke, Michael; Li, Yiming; Zhang, Yue; Xu, Demin; Liu, Xingan; Li, Tianlai</t>
  </si>
  <si>
    <t>Investigation of the impact of supplemental reflective films to improve micro-light climate within tomato plant canopy in solar greenhouses</t>
  </si>
  <si>
    <t>10.3389/fpls.2022.966596</t>
  </si>
  <si>
    <t>Qiu, RJ; Du, TS; Kang, SZ; Chen, RQ; Wu, LS</t>
  </si>
  <si>
    <t>Qiu, Rangjian; Du, Taisheng; Kang, Shaozhong; Chen, Renqiang; Wu, Laosheng</t>
  </si>
  <si>
    <t>Assessing the SIMDualKc model for estimating evapotranspiration of hot pepper grown in a solar greenhouse in Northwest China</t>
  </si>
  <si>
    <t>10.1016/j.agsy.2015.05.001</t>
  </si>
  <si>
    <t>Huang, L; Deng, LH; Li, AG; Gao, R; Zhang, LH; Lei, WJ</t>
  </si>
  <si>
    <t>Huang, Lin; Deng, Lianhua; Li, Angui; Gao, Ran; Zhang, Linhua; Lei, Wenjun</t>
  </si>
  <si>
    <t>A novel approach for solar greenhouse air temperature and heating load prediction based on Laplace transform</t>
  </si>
  <si>
    <t>JOURNAL OF BUILDING ENGINEERING</t>
  </si>
  <si>
    <t>10.1016/j.jobe.2021.102682</t>
  </si>
  <si>
    <t>Boulard, T; Lamrani, MA; Roy, JC; Jaffrin, A; Bouirden, L</t>
  </si>
  <si>
    <t>Natural ventilation by thermal effect in a one-half scale model mono-span greenhouse</t>
  </si>
  <si>
    <t>Rasheed, A; Kim, HT; Lee, HW</t>
  </si>
  <si>
    <t>Rasheed, Adnan; Kim, Hyeon Tae; Lee, Hyun Woo</t>
  </si>
  <si>
    <t>Modeling-Based Energy Performance Assessment and Validation of Air-To-Water Heat Pump System Integrated with Multi-Span Greenhouse on Cooling Mode</t>
  </si>
  <si>
    <t>AGRONOMY-BASEL</t>
  </si>
  <si>
    <t>10.3390/agronomy12061374</t>
  </si>
  <si>
    <t>Trouwborst, G; Schapendonk, AHCM; Rappoldt, K; Pot, S; Hogewoning, SW; van Ieperen, W</t>
  </si>
  <si>
    <t>Trouwborst, Govert; Schapendonk, Ad H. C. M.; Rappoldt, Kees; Pot, Sander; Hogewoning, Sander W.; van Ieperen, Wim</t>
  </si>
  <si>
    <t>The effect of intracanopy lighting on cucumber fruit yield-Model analysis</t>
  </si>
  <si>
    <t>SCIENTIA HORTICULTURAE</t>
  </si>
  <si>
    <t>0304-4238</t>
  </si>
  <si>
    <t>10.1016/j.scienta.2011.03.042</t>
  </si>
  <si>
    <t>Payne, HJ; Hemming, S; van Rens, BAP; van Henten, EJ; van Mourik, S</t>
  </si>
  <si>
    <t>Payne, Henry J.; Hemming, Silke; van Rens, Bram A. P.; van Henten, Eldert J.; van Mourik, Simon</t>
  </si>
  <si>
    <t>Quantifying the role of weather forecast error on the uncertainty of greenhouse energy prediction and power market trading</t>
  </si>
  <si>
    <t>10.1016/j.biosystemseng.2022.09.009</t>
  </si>
  <si>
    <t>Al-Helal, I; Alsadon, A; Shady, M; Ibrahim, A; Abdel-Ghany, A</t>
  </si>
  <si>
    <t>Al-Helal, Ibrahim; Alsadon, Abdullah; Shady, Mohamed; Ibrahim, Abdullah; Abdel-Ghany, Ahmed</t>
  </si>
  <si>
    <t>Diffusion Characteristics of Solar Beams Radiation Transmitting through Greenhouse Covers in Arid Climates</t>
  </si>
  <si>
    <t>10.3390/en13020472</t>
  </si>
  <si>
    <t>Willits, DH; Gurjer, YR</t>
  </si>
  <si>
    <t>Heat pumps for the heating and night-cooling of greenhouse crops: A simulation study</t>
  </si>
  <si>
    <t>Rasheed, A; Kwak, CS; Kim, HT; Lee, HW</t>
  </si>
  <si>
    <t>Rasheed, Adnan; Kwak, Cheul Soon; Kim, Hyeon Tae; Lee, Hyun Woo</t>
  </si>
  <si>
    <t>Building Energy an Simulation Model for Analyzing Energy Saving Options of Multi-Span Greenhouses</t>
  </si>
  <si>
    <t>10.3390/app10196884</t>
  </si>
  <si>
    <t>Vanthoor, BHE; Stanghellini, C; van Henten, EJ; de Visser, PHB</t>
  </si>
  <si>
    <t>Vanthoor, B. H. E.; Stanghellini, C.; van Henten, E. J.; de Visser, P. H. B.</t>
  </si>
  <si>
    <t>A methodology for model-based greenhouse design: Part 1, a greenhouse climate model for a broad range of designs and climates</t>
  </si>
  <si>
    <t>10.1016/j.biosystemseng.2011.06.001</t>
  </si>
  <si>
    <t>Kumar, M; Prakash, O; Kasana, KS</t>
  </si>
  <si>
    <t>Kumar, M.; Prakash, O.; Kasana, K. S.</t>
  </si>
  <si>
    <t>EXPERIMENTAL INVESTIGATION ON NATURAL CONVECTIVE HEATING OF MILK</t>
  </si>
  <si>
    <t>JOURNAL OF FOOD PROCESS ENGINEERING</t>
  </si>
  <si>
    <t>0145-8876</t>
  </si>
  <si>
    <t>10.1111/j.1745-4530.2010.00620.x</t>
  </si>
  <si>
    <t>Li, JY; Li, L; Wang, HH; Ferentinos, KP; Li, MZ; Sigrimis, N</t>
  </si>
  <si>
    <t>Li, Jieyu; Li, Li; Wang, Haihua; Ferentinos, Konstantinos P.; Li, Minzan; Sigrimis, Nick</t>
  </si>
  <si>
    <t>Proactive energy management of solar greenhouses with risk assessment to enhance smart specialisation in China</t>
  </si>
  <si>
    <t>10.1016/j.biosystemseng.2017.03.007</t>
  </si>
  <si>
    <t>Zhang, GS; Ding, XM; Li, TH; Pu, WY; Lou, W; Hou, JL</t>
  </si>
  <si>
    <t>Zhang, Guanshan; Ding, Xiaoming; Li, Tianhua; Pu, Wenyang; Lou, Wei; Hou, Jialin</t>
  </si>
  <si>
    <t>Dynamic energy balance model of a glass greenhouse: An experimental validation and solar energy analysis</t>
  </si>
  <si>
    <t>10.1016/j.energy.2020.117281</t>
  </si>
  <si>
    <t>Kasili, S; Kutima, H; Mwandawiro, C; Ngumbi, PM; Anjili, CO</t>
  </si>
  <si>
    <t>Kasili, Sichangi; Kutima, Helen; Mwandawiro, Charles; Ngumbi, Philip M.; Anjili, Christopher O.</t>
  </si>
  <si>
    <t>Laboratory and semi-field evaluation of long-lasting insecticidal nets against leishmaniasis vector, Phlebotomus (Phlebotomus) duboscqi in Kenya</t>
  </si>
  <si>
    <t>JOURNAL OF VECTOR BORNE DISEASES</t>
  </si>
  <si>
    <t>0972-9062</t>
  </si>
  <si>
    <t>Swanger, KM; Marchant, DR</t>
  </si>
  <si>
    <t>Swanger, Kate M.; Marchant, David R.</t>
  </si>
  <si>
    <t>Sensitivity of lee-cemented Antarctic soils to greenhouse-induced thawing: Are terrestrial archives at risk?</t>
  </si>
  <si>
    <t>EARTH AND PLANETARY SCIENCE LETTERS</t>
  </si>
  <si>
    <t>0012-821X</t>
  </si>
  <si>
    <t>10.1016/j.epsl.2007.04.046</t>
  </si>
  <si>
    <t>Irmak, A; Jones, JW</t>
  </si>
  <si>
    <t>Use of crop simulation to evaluate antitranspirant effects on tomato growth and yield</t>
  </si>
  <si>
    <t>Karaoglu, O</t>
  </si>
  <si>
    <t>Karaoglu, Ozgur</t>
  </si>
  <si>
    <t>A numerical approach to verify the reservoir temperature of the Afyon geothermal fields, Turkey</t>
  </si>
  <si>
    <t>TURKISH JOURNAL OF EARTH SCIENCES</t>
  </si>
  <si>
    <t>1300-0985</t>
  </si>
  <si>
    <t>10.3906/yer-2101-21</t>
  </si>
  <si>
    <t>Kelson, JR; Watford, D; Bataille, C; Huntington, KW; Hyland, E; Bowen, GJ</t>
  </si>
  <si>
    <t>Kelson, Julia R.; Watford, Dylana; Bataille, Clement; Huntington, Katharine W.; Hyland, Ethan; Bowen, Gabriel J.</t>
  </si>
  <si>
    <t>Warm Terrestrial Subtropics During the Paleocene and Eocene: Carbonate Clumped Isotope (Delta(47)) Evidence From the Tornillo Basin, Texas (USA)</t>
  </si>
  <si>
    <t>PALEOCEANOGRAPHY AND PALEOCLIMATOLOGY</t>
  </si>
  <si>
    <t>2572-4517</t>
  </si>
  <si>
    <t>10.1029/2018PA003391</t>
  </si>
  <si>
    <t>Zhou, HP; Chen, JL; Wang, F; Li, XJ; Genard, M; Kang, SZ</t>
  </si>
  <si>
    <t>Zhou, Huiping; Chen, Jinliang; Wang, Feng; Li, Xiaojuan; Genard, Michel; Kang, Shaozhong</t>
  </si>
  <si>
    <t>An integrated irrigation strategy for water-saving and quality-improving of cash crops: Theory and practice in China</t>
  </si>
  <si>
    <t>10.1016/j.agwat.2020.106331</t>
  </si>
  <si>
    <t>Koenig, R; Buttner, G</t>
  </si>
  <si>
    <t>Strategies for the detection of potential Beet necrotic yellow vein virus genome recombinations which might arise as a result of growing A type coat protein gene-expressing sugarbeets in soil containing B type virus</t>
  </si>
  <si>
    <t>TRANSGENIC RESEARCH</t>
  </si>
  <si>
    <t>0962-8819</t>
  </si>
  <si>
    <t>10.1023/B:TRAG.0000017156.78152.08</t>
  </si>
  <si>
    <t>Liu, J; Chen, YN; Wang, BL; Wu, XY; Na, Y</t>
  </si>
  <si>
    <t>Liu, Jian; Chen, Yini; Wang, Baolong; Wu, Xuyong; Na, Yi</t>
  </si>
  <si>
    <t>Simulation and Experimental Study of Light and Thermal Environment of Photovoltaic Greenhouse in Tropical Area Based on Design Builder</t>
  </si>
  <si>
    <t>10.3390/app112210785</t>
  </si>
  <si>
    <t>Carone, L; Keppens, R; Decin, L</t>
  </si>
  <si>
    <t>Carone, L.; Keppens, R.; Decin, L.</t>
  </si>
  <si>
    <t>Connecting the dots: a versatile model for the atmospheres of tidally locked Super-Earths</t>
  </si>
  <si>
    <t>MONTHLY NOTICES OF THE ROYAL ASTRONOMICAL SOCIETY</t>
  </si>
  <si>
    <t>0035-8711</t>
  </si>
  <si>
    <t>10.1093/mnras/stu1793</t>
  </si>
  <si>
    <t>Attar, I; Naili, N; Khalifa, N; Hazami, M; Lazaar, M; Farhat, A</t>
  </si>
  <si>
    <t>Attar, I.; Naili, N.; Khalifa, N.; Hazami, M.; Lazaar, M.; Farhat, A.</t>
  </si>
  <si>
    <t>Experimental study of an air conditioning system to control a greenhouse microclimate</t>
  </si>
  <si>
    <t>10.1016/j.enconman.2013.12.023</t>
  </si>
  <si>
    <t>Meadows, VS; Crisp, D</t>
  </si>
  <si>
    <t>Ground-based near-infrared observations of the Venus nightside: The thermal structure and water abundance near the surface</t>
  </si>
  <si>
    <t>E2</t>
  </si>
  <si>
    <t>10.1029/95JE03567</t>
  </si>
  <si>
    <t>Smith, TE; Grattan, SR; Grieve, CM; Poss, JA; Suarez, DL</t>
  </si>
  <si>
    <t>Smith, T. E.; Grattan, S. R.; Grieve, C. M.; Poss, J. A.; Suarez, D. L.</t>
  </si>
  <si>
    <t>Salinity's influence on boron toxicity in broccoli: I. Impacts on yield, biomass distribution, and water use</t>
  </si>
  <si>
    <t>10.1016/j.agwat.2010.01.014</t>
  </si>
  <si>
    <t>Abdel-Ghany, AM; Al-Helal, IM</t>
  </si>
  <si>
    <t>Abdel-Ghany, A. M.; Al-Helal, I. M.</t>
  </si>
  <si>
    <t>Solar energy utilization by a greenhouse: General relations</t>
  </si>
  <si>
    <t>10.1016/j.renene.2010.06.020</t>
  </si>
  <si>
    <t>Ioslovich, I; Seginer, I</t>
  </si>
  <si>
    <t>Acceptable nitrate concentration of greenhouse lettuce: Two optimal control policies</t>
  </si>
  <si>
    <t>10.1006/bioe.2002.0112</t>
  </si>
  <si>
    <t>Korner, O; Fanourakis, D; Hwang, MCR; Hyldgaard, B; Tsaniklidis, G; Nikoloudakis, N; Larsen, DH; Ottosen, CO; Rosenqvist, E</t>
  </si>
  <si>
    <t>Koerner, Oliver; Fanourakis, Dimitrios; Hwang, Michael Chung-Rung; Hyldgaard, Benita; Tsaniklidis, Georgios; Nikoloudakis, Nikolaos; Larsen, Dorthe Horn; Ottosen, Carl-Otto; Rosenqvist, Eva</t>
  </si>
  <si>
    <t>Incorporating cultivar-specific stomatal traits into stomatal conductance models improves the estimation of evapotranspiration enhancing greenhouse climate management</t>
  </si>
  <si>
    <t>10.1016/j.biosystemseng.2021.05.010</t>
  </si>
  <si>
    <t>Torne, M; Jimenez-Munt, I; Negredo, AM; Fullea, J; Verges, J; Marzan, I; Alcalde, J; Gomez-Rivas, E; de la Noceda, CG</t>
  </si>
  <si>
    <t>Torne, M.; Jimenez-Munt, I.; Negredo, A. M.; Fullea, J.; Verges, J.; Marzan, I.; Alcalde, J.; Gomez-Rivas, E.; de la Noceda, C. Garcia</t>
  </si>
  <si>
    <t>Advances in the modeling of the Iberian thermal lithosphere and perspectives on deep geothermal studies</t>
  </si>
  <si>
    <t>GEOTHERMAL ENERGY</t>
  </si>
  <si>
    <t>2195-9706</t>
  </si>
  <si>
    <t>10.1186/s40517-023-00246-6</t>
  </si>
  <si>
    <t>Li, SH; Willits, DH; Browdy, CL; Timmons, MB; Losordo, TM</t>
  </si>
  <si>
    <t>Li, Shuhai; Willits, Daniel H.; Browdy, Craig L.; Timmons, Michael B.; Losordo, Thomas M.</t>
  </si>
  <si>
    <t>Thermal modeling of greenhouse aquaculture raceway systems</t>
  </si>
  <si>
    <t>10.1016/j.aquaeng.2009.04.002</t>
  </si>
  <si>
    <t>Perez-Gonzalez, A; Begovich-Mendoza, O; Ruiz-Leon, J</t>
  </si>
  <si>
    <t>Perez-Gonzalez, Alfonso; Begovich-Mendoza, Ofelia; Ruiz-Leon, Javier</t>
  </si>
  <si>
    <t>Modeling of a greenhouse prototype using PSO and differential evolution algorithms based on a real-time LabView (TM) application</t>
  </si>
  <si>
    <t>APPLIED SOFT COMPUTING</t>
  </si>
  <si>
    <t>1568-4946</t>
  </si>
  <si>
    <t>10.1016/j.asoc.2017.10.023</t>
  </si>
  <si>
    <t>Hassanzadeh, A; van Aardt, J; Murphy, SP; Pethybridge, SJ</t>
  </si>
  <si>
    <t>Hassanzadeh, Amirhossein; van Aardt, Jan; Murphy, Sean Patrick; Pethybridge, Sarah Jane</t>
  </si>
  <si>
    <t>Yield modeling of snap bean based on hyperspectral sensing: a greenhouse study</t>
  </si>
  <si>
    <t>JOURNAL OF APPLIED REMOTE SENSING</t>
  </si>
  <si>
    <t>10.1117/1.JRS.14.024519</t>
  </si>
  <si>
    <t>Auclair-Desrotour, P; Deitrick, R; Heng, K</t>
  </si>
  <si>
    <t>Auclair-Desrotour, P.; Deitrick, R.; Heng, K.</t>
  </si>
  <si>
    <t>Meta-modelling the climate of dry tide-locked rocky planets</t>
  </si>
  <si>
    <t>ASTRONOMY &amp; ASTROPHYSICS</t>
  </si>
  <si>
    <t>0004-6361</t>
  </si>
  <si>
    <t>10.1051/0004-6361/202243099</t>
  </si>
  <si>
    <t>Yang, ZQ; Li, YX; Xue, XP; Huang, CR; Zhang, B</t>
  </si>
  <si>
    <t>Yang, Zai Q.; Li, Yong X.; Xue, Xiao P.; Huang, Chuan R.; Zhang, Bo</t>
  </si>
  <si>
    <t>Wind Loads on Single-span Plastic Greenhouses and Solar Greenhouses</t>
  </si>
  <si>
    <t>HORTTECHNOLOGY</t>
  </si>
  <si>
    <t>1063-0198</t>
  </si>
  <si>
    <t>10.21273/HORTTECH.23.5.622</t>
  </si>
  <si>
    <t>Li, S; Willits, DH</t>
  </si>
  <si>
    <t>Li, S.; Willits, D. H.</t>
  </si>
  <si>
    <t>MODELING THERMAL STRATIFICATION IN FAN-VENTILATED GREENHOUSES</t>
  </si>
  <si>
    <t>TRANSACTIONS OF THE ASABE</t>
  </si>
  <si>
    <t>2151-0032</t>
  </si>
  <si>
    <t>Wagner, NC; Maxwell, BD; Taper, ML; Rew, LJ</t>
  </si>
  <si>
    <t>Wagner, N. C.; Maxwell, B. D.; Taper, M. L.; Rew, L. J.</t>
  </si>
  <si>
    <t>Developing an empirical yield-prediction model based on wheat and wild oat (Avena fatua) density, nitrogen and herbicide rate, and growing-season precipitation</t>
  </si>
  <si>
    <t>WEED SCIENCE</t>
  </si>
  <si>
    <t>0043-1745</t>
  </si>
  <si>
    <t>10.1614/WS-05-018.1</t>
  </si>
  <si>
    <t>Su, YP; Xu, LH; Li, DW</t>
  </si>
  <si>
    <t>Su, Yuanping; Xu, Lihong; Li, Dawei</t>
  </si>
  <si>
    <t>Adaptive Fuzzy Control of a Class of MIMO Nonlinear System With Actuator Saturation for Greenhouse Climate Control Problem</t>
  </si>
  <si>
    <t>IEEE TRANSACTIONS ON AUTOMATION SCIENCE AND ENGINEERING</t>
  </si>
  <si>
    <t>1545-5955</t>
  </si>
  <si>
    <t>10.1109/TASE.2015.2392161</t>
  </si>
  <si>
    <t>Chen, JL; Kang, SZ; Du, TS; Guo, P; Qiu, RJ; Chen, RQ; Gu, F</t>
  </si>
  <si>
    <t>Chen, Jinliang; Kang, Shaozhong; Du, Taisheng; Guo, Ping; Qiu, Rangjian; Chen, Renqiang; Gu, Feng</t>
  </si>
  <si>
    <t>Modeling relations of tomato yield and fruit quality with water deficit at different growth stages under greenhouse condition</t>
  </si>
  <si>
    <t>10.1016/j.agwat.2014.07.026</t>
  </si>
  <si>
    <t>Holling, CS; Bailey, JL; Heuvel, BV; Kinney, CA</t>
  </si>
  <si>
    <t>Holling, Cheryl S.; Bailey, Jonathon L.; Heuvel, Brian Vanden; Kinney, Chad A.</t>
  </si>
  <si>
    <t>Uptake of human pharmaceuticals and personal care products by cabbage (Brassica campestris) from fortified and biosolids-amended soils</t>
  </si>
  <si>
    <t>JOURNAL OF ENVIRONMENTAL MONITORING</t>
  </si>
  <si>
    <t>1464-0325</t>
  </si>
  <si>
    <t>10.1039/c2em30456b</t>
  </si>
  <si>
    <t>ELUSZKIEWICZ, J</t>
  </si>
  <si>
    <t>ON THE MICROPHYSICAL STATE OF THE SURFACE OF TRITON</t>
  </si>
  <si>
    <t>10.1029/91JA01858</t>
  </si>
  <si>
    <t>Harris, AD; Covault, JA; Baumgardner, S; Sun, T; Granjeon, D</t>
  </si>
  <si>
    <t>Harris, Ashley D.; Covault, Jacob A.; Baumgardner, Sarah; Sun, Tao; Granjeon, Didier</t>
  </si>
  <si>
    <t>Numerical modeling of icehouse and greenhouse sea-level changes on a continental margin: Sea-level modulation of deltaic avulsion processes</t>
  </si>
  <si>
    <t>MARINE AND PETROLEUM GEOLOGY</t>
  </si>
  <si>
    <t>0264-8172</t>
  </si>
  <si>
    <t>10.1016/j.marpetgeo.2019.08.055</t>
  </si>
  <si>
    <t>Bargach, MN; Tadili, R; Dahman, AS; Boukallouch, M</t>
  </si>
  <si>
    <t>Survey of thermal performances of a solar system used for the heating of agricultural greenhouses in Morocco</t>
  </si>
  <si>
    <t>10.1016/S0960-1481(99)00118-4</t>
  </si>
  <si>
    <t>Ahamed, Md Shamim; Guo, Huiqing; Tanino, Karen</t>
  </si>
  <si>
    <t>Modeling heating demands in a Chinese-style solar greenhouse using the transient building energy simulation model TRNSYS</t>
  </si>
  <si>
    <t>10.1016/j.jobe.2019.101114</t>
  </si>
  <si>
    <t>Carlini, M; Castellucci, S; Guerrieri, M; Honorati, T</t>
  </si>
  <si>
    <t>Carlini, Maurizio; Castellucci, Sonia; Guerrieri, Mirko; Honorati, Tommaso</t>
  </si>
  <si>
    <t>Stability and Control for Energy Production Parametric Dependence</t>
  </si>
  <si>
    <t>10.1155/2010/842380</t>
  </si>
  <si>
    <t>BALLING, RC; SKINDLOV, JA; PHILLIPS, DH</t>
  </si>
  <si>
    <t>THE IMPACT OF INCREASING SUMMER MEAN TEMPERATURES ON EXTREME MAXIMUM AND MINIMUM TEMPERATURES IN PHOENIX, ARIZONA</t>
  </si>
  <si>
    <t>JOURNAL OF CLIMATE</t>
  </si>
  <si>
    <t>0894-8755</t>
  </si>
  <si>
    <t>10.1175/1520-0442(1990)003&lt;1491:TIOISM&gt;2.0.CO;2</t>
  </si>
  <si>
    <t>Freney, M; Soebarto, V; Williamson, T</t>
  </si>
  <si>
    <t>Freney, Martin; Soebarto, Veronica; Williamson, Terence</t>
  </si>
  <si>
    <t>Earthship monitoring and thermal simulation</t>
  </si>
  <si>
    <t>ARCHITECTURAL SCIENCE REVIEW</t>
  </si>
  <si>
    <t>0003-8628</t>
  </si>
  <si>
    <t>10.1080/00038628.2013.809688</t>
  </si>
  <si>
    <t>Collins, DA; Karoly, DJ</t>
  </si>
  <si>
    <t>Eddy transports in a greenhouse climate simulation</t>
  </si>
  <si>
    <t>AUSTRALIAN METEOROLOGICAL MAGAZINE</t>
  </si>
  <si>
    <t>0004-9743</t>
  </si>
  <si>
    <t>Bibbiani, C; Campiotti, A; Lo Faso, M</t>
  </si>
  <si>
    <t>Bibbiani, Carlo; Campiotti, Alessandro; Lo Faso, Mirko</t>
  </si>
  <si>
    <t>BIOCLIMATIC GREENHOUSES FOR ENERGY EFFICIENCY AND SUSTAINABILITY</t>
  </si>
  <si>
    <t>QUALITY-ACCESS TO SUCCESS</t>
  </si>
  <si>
    <t>1582-2559</t>
  </si>
  <si>
    <t>Energy-efficient design of greenhouse for Canadian Prairies using a heating simulation model</t>
  </si>
  <si>
    <t>10.1002/er.4019</t>
  </si>
  <si>
    <t>JONES, P; JONES, JW; HWANG, Y</t>
  </si>
  <si>
    <t>SIMULATION FOR DETERMINING GREENHOUSE TEMPERATURE SETPOINTS</t>
  </si>
  <si>
    <t>Thorpe, RB; Bigg, GR</t>
  </si>
  <si>
    <t>Modelling the sensitivity of Mediterranean Outflow to anthropogenically forced climate change</t>
  </si>
  <si>
    <t>CLIMATE DYNAMICS</t>
  </si>
  <si>
    <t>0930-7575</t>
  </si>
  <si>
    <t>10.1007/s003820050333</t>
  </si>
  <si>
    <t>MIHALAKAKOU, G; SANTAMOURIS, M; ASIMAKOPOULOS, D</t>
  </si>
  <si>
    <t>MODELING THE THERMAL PERFORMANCE OF EARTH-TO-AIR HEAT-EXCHANGERS</t>
  </si>
  <si>
    <t>10.1016/0038-092X(94)90636-X</t>
  </si>
  <si>
    <t>Mohammadi, B; Ranjbar, SF; Ajabshirchi, Y</t>
  </si>
  <si>
    <t>Mohammadi, B.; Ranjbar, S. F.; Ajabshirchi, Y.</t>
  </si>
  <si>
    <t>Comprehensive evaluation of a semi-solar greenhouse: Energy, exergy, and economic analyses with experimental validation</t>
  </si>
  <si>
    <t>SCIENTIA IRANICA</t>
  </si>
  <si>
    <t>1026-3098</t>
  </si>
  <si>
    <t>10.24200/sci.2021.53709.3375</t>
  </si>
  <si>
    <t>Saberi, M; Modarres-Sanavy, SAM; Zare, R; Ghomi, H</t>
  </si>
  <si>
    <t>Saberi, M.; Modarres-Sanavy, S. A. M.; Zare, R.; Ghomi, H.</t>
  </si>
  <si>
    <t>Improvement of Photosynthesis and Photosynthetic Productivity of Winter Wheat by Cold Plasma Treatment under Haze Condition</t>
  </si>
  <si>
    <t>JOURNAL OF AGRICULTURAL SCIENCE AND TECHNOLOGY</t>
  </si>
  <si>
    <t>1680-7073</t>
  </si>
  <si>
    <t>Price, GD; Valdes, PJ; Sellwood, BW</t>
  </si>
  <si>
    <t>A comparison of GCM simulated Cretaceous 'greenhouse' and 'icehouse' climates: implications for the sedimentary record</t>
  </si>
  <si>
    <t>PALAEOGEOGRAPHY PALAEOCLIMATOLOGY PALAEOECOLOGY</t>
  </si>
  <si>
    <t>0031-0182</t>
  </si>
  <si>
    <t>10.1016/S0031-0182(98)00061-3</t>
  </si>
  <si>
    <t>Ward, RM; Choudhary, R</t>
  </si>
  <si>
    <t>Ward, R. M.; Choudhary, R.</t>
  </si>
  <si>
    <t>A bottom-up energy analysis across a diverse urban building portfolio: retrofits for the buildings at the Royal Botanic Gardens, Kew, UK</t>
  </si>
  <si>
    <t>10.1016/j.buildenv.2013.12.018</t>
  </si>
  <si>
    <t>Jacovides, CP; Mihalakakou, G</t>
  </si>
  <si>
    <t>An underground pipe system as an energy source for cooling heating purposes</t>
  </si>
  <si>
    <t>10.1016/0960-1481(95)00101-7</t>
  </si>
  <si>
    <t>GAUTHIER, L</t>
  </si>
  <si>
    <t>AN OBJECT-ORIENTED GREENHOUSE SIMULATION SOFTWARE SYSTEM .2. DESCRIPTION, VALIDATION AND USE OF A SIMPLE-MODEL</t>
  </si>
  <si>
    <t>Murray, C; Walsh, J</t>
  </si>
  <si>
    <t>Murray, Colin; Walsh, John</t>
  </si>
  <si>
    <t>A Model Ensemble Assessment of the Enhancement of Arctic Warming by Sea Ice Retreat</t>
  </si>
  <si>
    <t>SOLA</t>
  </si>
  <si>
    <t>1349-6476</t>
  </si>
  <si>
    <t>10.2151/sola.2005-016</t>
  </si>
  <si>
    <t>Villagran, E</t>
  </si>
  <si>
    <t>Villagran, Edwin</t>
  </si>
  <si>
    <t>Thermal Simulation of a Screenhouse Proposed for Fruit and Vegetable Production in the Lowlands of Panama</t>
  </si>
  <si>
    <t>INTERNATIONAL JOURNAL OF HEAT AND TECHNOLOGY</t>
  </si>
  <si>
    <t>0392-8764</t>
  </si>
  <si>
    <t>10.18280/ijht.390407</t>
  </si>
  <si>
    <t>GORDON, HB; HUNT, BG</t>
  </si>
  <si>
    <t>CLIMATIC VARIABILITY WITHIN AN EQUILIBRIUM GREENHOUSE SIMULATION</t>
  </si>
  <si>
    <t>4-5</t>
  </si>
  <si>
    <t>AN OBJECT-ORIENTED GREENHOUSE SIMULATION SOFTWARE SYSTEM .1. ARCHITECTURE AND FUNCTIONAL DESCRIPTION</t>
  </si>
  <si>
    <t>Sensitivity analysis of CSGHEAT model for estimation of heating consumption in a Chinese-style solar greenhouse</t>
  </si>
  <si>
    <t>10.1016/j.compag.2018.08.040</t>
  </si>
  <si>
    <t>Rahayu, SE; Leksono, AS; Gama, ZP; Tarno, H</t>
  </si>
  <si>
    <t>Rahayu, Sofia Ery; Leksono, Amin Setyo; Gama, Zulfaidah Penata; Tarno, Hagus</t>
  </si>
  <si>
    <t>The Effect of Papaya Leaf Extract (Carica papaya L.) on the Mortality Rate of Spodoptera litura Fabricius Larvae and the Level of Damage to Soybean Leaves in Malang, Indonesia: A Greenhouse Simulation</t>
  </si>
  <si>
    <t>AGRIVITA</t>
  </si>
  <si>
    <t>0126-0537</t>
  </si>
  <si>
    <t>10.17503/agrivita.v45i1.3745</t>
  </si>
  <si>
    <t>Curry, N; Pillay, P</t>
  </si>
  <si>
    <t>Curry, Nathan; Pillay, Pragasen</t>
  </si>
  <si>
    <t>Integrating solar energy into an urban small-scale anaerobic digester for improved performance</t>
  </si>
  <si>
    <t>10.1016/j.renene.2015.03.073</t>
  </si>
  <si>
    <t>Cai, WJ; Whetton, PH; Karoly, DJ</t>
  </si>
  <si>
    <t>The response of the Antarctic Oscillation to increasing and stabilized atmospheric CO2</t>
  </si>
  <si>
    <t>10.1175/1520-0442-16.10.1525</t>
  </si>
  <si>
    <t>Jones, C; Huang, CY; Wu, CF</t>
  </si>
  <si>
    <t>Quantification of the effects of management factors on maize (Zea mays L.) and cotton (Gossypium hirsutum L.) residues decomposition rate</t>
  </si>
  <si>
    <t>JOURNAL OF ENVIRONMENTAL SCIENCES</t>
  </si>
  <si>
    <t>1001-0742</t>
  </si>
  <si>
    <t>Rasheed, A; Kwak, CS; Na, WH; Lee, JW; Kim, HT; Lee, HW</t>
  </si>
  <si>
    <t>Rasheed, Adnan; Kwak, Cheul Soon; Na, Wook Ho; Lee, Jong Won; Kim, Hyeon Tae; Lee, Hyun Woo</t>
  </si>
  <si>
    <t>Development of a Building Energy Simulation Model for Control of Multi-Span Greenhouse Microclimate</t>
  </si>
  <si>
    <t>10.3390/agronomy10091236</t>
  </si>
  <si>
    <t>Grossmann, M; Kiessling, F; Singer, J; Schoeman, H; Schroder, MB; von Wallbrunn, C</t>
  </si>
  <si>
    <t>Grossmann, Manfred; Kiessling, Falk; Singer, Julian; Schoeman, Heidi; Schroeder, Max-Bernd; von Wallbrunn, Christian</t>
  </si>
  <si>
    <t>Genetically modified wine yeasts and risk assessment studies covering different steps within the wine making process</t>
  </si>
  <si>
    <t>ANNALS OF MICROBIOLOGY</t>
  </si>
  <si>
    <t>1590-4261</t>
  </si>
  <si>
    <t>10.1007/s13213-010-0088-2</t>
  </si>
  <si>
    <t>Choukai, O; Zejli, D</t>
  </si>
  <si>
    <t>Choukai, Oumaima; Zejli, Driss</t>
  </si>
  <si>
    <t>Solar pond driven seawater greenhouse - simulations on different Moroccan locations</t>
  </si>
  <si>
    <t>DESALINATION AND WATER TREATMENT</t>
  </si>
  <si>
    <t>1944-3994</t>
  </si>
  <si>
    <t>10.5004/dwt.2020.25001</t>
  </si>
  <si>
    <t>Vavrus, S</t>
  </si>
  <si>
    <t>An alternative method to calculate cloud radiative forcing: Implications for quantifying cloud feedbacks</t>
  </si>
  <si>
    <t>GEOPHYSICAL RESEARCH LETTERS</t>
  </si>
  <si>
    <t>0094-8276</t>
  </si>
  <si>
    <t>10.1029/2005GL024723</t>
  </si>
  <si>
    <t>Timlin, MS; Walsh, JE</t>
  </si>
  <si>
    <t>Timlin, Michael S.; Walsh, John E.</t>
  </si>
  <si>
    <t>Historical and projected distributions of daily temperature and pressure in the Arctic</t>
  </si>
  <si>
    <t>ARCTIC</t>
  </si>
  <si>
    <t>0004-0843</t>
  </si>
  <si>
    <t>Fernandez, MD; Rodriguez, MR; Diaz, F</t>
  </si>
  <si>
    <t>Fernandez, M. D.; Rodriguez, M. R.; Diaz, F.</t>
  </si>
  <si>
    <t>Modeling heat transfer in substrates heated by electric cable depending on heating cable spacing</t>
  </si>
  <si>
    <t>Complete greenhouse dynamic simulation tool to assess the crop thermal well-being and energy needs</t>
  </si>
  <si>
    <t>10.1016/j.applthermaleng.2020.115698</t>
  </si>
  <si>
    <t>Mohammadi, B; Ranjbar, F; Ajabshirchi, Y</t>
  </si>
  <si>
    <t>Mohammadi, Behzad; Ranjbar, Faramarz; Ajabshirchi, Yahya</t>
  </si>
  <si>
    <t>Exergoeconomic analysis and multi-objective optimization of a semi-solar greenhouse with experimental validation</t>
  </si>
  <si>
    <t>10.1016/j.applthermaleng.2019.114563</t>
  </si>
  <si>
    <t>Feuermann, D; Kopel, R; Zeroni, M; Levi, S; Gale, J</t>
  </si>
  <si>
    <t>Theory and validation of a liquid radiation filter greenhouse simulation for performance prediction</t>
  </si>
  <si>
    <t>Chicco, JM; Fonte, L; Mandrone, G; Tartaglino, A; Vacha, D</t>
  </si>
  <si>
    <t>Chicco, Jessica Maria; Fonte, Leonardo; Mandrone, Giuseppe; Tartaglino, Andrea; Vacha, Damiano</t>
  </si>
  <si>
    <t>Hybrid (Gas and Geothermal) Greenhouse Simulations Aimed at Optimizing Investment and Operative Costs: A Case Study in NW Italy</t>
  </si>
  <si>
    <t>10.3390/en16093931</t>
  </si>
  <si>
    <t>Fernandez, MD; Rodriguez, MR; Maseda, F; Velo, R</t>
  </si>
  <si>
    <t>Validation of temperature simulation based on finite element analysis in substrates heated by electric cable</t>
  </si>
  <si>
    <t>Nguyen, KC; Walsh, KJE</t>
  </si>
  <si>
    <t>Interannual, decadal, and transient greenhouse simulation of tropical cyclone-like vortices in a regional climate model of the South Pacific</t>
  </si>
  <si>
    <t>10.1175/1520-0442(2001)014&lt;3043:IDATGS&gt;2.0.CO;2</t>
  </si>
  <si>
    <t>Korner, O; Challa, H</t>
  </si>
  <si>
    <t>Design for an improved temperature integration concept in greenhouse cultivation</t>
  </si>
  <si>
    <t>10.1016/S0168-1699(03)00006-1</t>
  </si>
  <si>
    <t>A comparative study on the environmental impact of greenhouses: A probabilistic approach</t>
  </si>
  <si>
    <t>SCIENCE OF THE TOTAL ENVIRONMENT</t>
  </si>
  <si>
    <t>0048-9697</t>
  </si>
  <si>
    <t>10.1016/j.scitotenv.2019.04.092</t>
  </si>
  <si>
    <t>El Wardi, FZ; Khabbazi, A; Cherki, AB; Khaldoun, A</t>
  </si>
  <si>
    <t>El Wardi, Fatima Zohra; Khabbazi, Abdelhamid; Cherki, Abou-Bakr; Khaldoun, Asmae</t>
  </si>
  <si>
    <t>Thermomechanical study of a sandwich material with ecological additives</t>
  </si>
  <si>
    <t>CONSTRUCTION AND BUILDING MATERIALS</t>
  </si>
  <si>
    <t>0950-0618</t>
  </si>
  <si>
    <t>10.1016/j.conbuildmat.2020.119093</t>
  </si>
  <si>
    <t>Xu, D; Du, SF; van Willigenburg, LG</t>
  </si>
  <si>
    <t>Xu, Dan; Du, Shangfeng; van Willigenburg, L. Gerard</t>
  </si>
  <si>
    <t>Optimal control of Chinese solar greenhouse cultivation</t>
  </si>
  <si>
    <t>10.1016/j.biosystemseng.2018.05.002</t>
  </si>
  <si>
    <t>Xu, D; Du, SF; van Willigenburg, G</t>
  </si>
  <si>
    <t>Xu, Dan; Du, Shangfeng; van Willigenburg, Gerard</t>
  </si>
  <si>
    <t>Double closed-loop optimal control of greenhouse cultivation</t>
  </si>
  <si>
    <t>10.1016/j.conengprac.2019.01.010</t>
  </si>
  <si>
    <t>Jin, C; Mao, HP; Chen, Y; Shi, Q; Wang, QR; Ma, GX; Liu, Y</t>
  </si>
  <si>
    <t>Jin, Chun; Mao, Hanping; Chen, Yong; Shi, Qiang; Wang, Qirui; Ma, Guoxing; Liu, Yong</t>
  </si>
  <si>
    <t>Engineering-oriented dynamic optimal control of a greenhouse environment using an improved genetic algorithm with engineering constraint rules</t>
  </si>
  <si>
    <t>10.1016/j.compag.2020.105698</t>
  </si>
  <si>
    <t>de Graaf, SC; Stigter, JD; van Straten, G</t>
  </si>
  <si>
    <t>Test of ACW-gradient optimisation algorithm in computation of an optimal control policy for achieving acceptable nitrate concentration of greenhouse lettuce</t>
  </si>
  <si>
    <t>MATHEMATICS AND COMPUTERS IN SIMULATION</t>
  </si>
  <si>
    <t>0378-4754</t>
  </si>
  <si>
    <t>10.1016/j.matcom.2003.09.020</t>
  </si>
  <si>
    <t>GAL, S; ANGEL, A; SEGINER, I</t>
  </si>
  <si>
    <t>OPTIMAL-CONTROL OF GREENHOUSE CLIMATE - METHODOLOGY</t>
  </si>
  <si>
    <t>EUROPEAN JOURNAL OF OPERATIONAL RESEARCH</t>
  </si>
  <si>
    <t>0377-2217</t>
  </si>
  <si>
    <t>10.1016/0377-2217(84)90007-9</t>
  </si>
  <si>
    <t>Ioslovich, I; Gutman, PO</t>
  </si>
  <si>
    <t>Optimal control of crop spacing in a plant factory</t>
  </si>
  <si>
    <t>AUTOMATICA</t>
  </si>
  <si>
    <t>0005-1098</t>
  </si>
  <si>
    <t>10.1016/S0005-1098(00)00086-8</t>
  </si>
  <si>
    <t>Xu, D; Li, YF; Dai, AG; Zhao, SM; Song, WT</t>
  </si>
  <si>
    <t>Xu, Dan; Li, Yanfeng; Dai, Anguo; Zhao, Shumei; Song, Weitang</t>
  </si>
  <si>
    <t>Closed-Loop Optimal Control of Greenhouse Cultivation Based on Two-Time-Scale Decomposition: A Simulation Study in Lhasa</t>
  </si>
  <si>
    <t>10.3390/agronomy13010102</t>
  </si>
  <si>
    <t>Xu, D; Ahmed, HA; Tong, YX; Yang, QC; van Willigenburg, LG</t>
  </si>
  <si>
    <t>Xu, Dan; Ahmed, Hesham A.; Tong, Yuxin; Yang, Qichang; van Willigenburg, L. Gerard</t>
  </si>
  <si>
    <t>Optimal control as a tool to investigate the profitability of a Chinese plant factory - lettuce production system</t>
  </si>
  <si>
    <t>10.1016/j.biosystemseng.2021.05.014</t>
  </si>
  <si>
    <t>VanHenten, EJ; Bontsema, J; VanStraten, G</t>
  </si>
  <si>
    <t>Improving the efficiency of greenhouse climate control: an optimal control approach</t>
  </si>
  <si>
    <t>NETHERLANDS JOURNAL OF AGRICULTURAL SCIENCE</t>
  </si>
  <si>
    <t>0028-2928</t>
  </si>
  <si>
    <t>Chalabi, ZS; Biro, A; Bailey, BJ; Aikman, DP; Cockshull, KE</t>
  </si>
  <si>
    <t>Optimal control strategies for carbon dioxide enrichment in greenhouse tomato crops part 1: Using pure carbon dioxide</t>
  </si>
  <si>
    <t>10.1006/bioe.2001.0108</t>
  </si>
  <si>
    <t>Ioslovich, I; Gutman, PO; Linker, R</t>
  </si>
  <si>
    <t>Ioslovich, Ilya; Gutman, Per-Olof; Linker, Raphael</t>
  </si>
  <si>
    <t>Hamilton-Jacobi-Bellman formalism for optimal climate control of greenhouse crop</t>
  </si>
  <si>
    <t>10.1016/j.automatica.2008.12.024</t>
  </si>
  <si>
    <t>Su, YP; Xu, LH; Goodman, ED</t>
  </si>
  <si>
    <t>Su, Yuanping; Xu, Lihong; Goodman, Erik D.</t>
  </si>
  <si>
    <t>Nearly dynamic programming NN-approximation-based optimal control for greenhouse climate: A simulation study</t>
  </si>
  <si>
    <t>OPTIMAL CONTROL APPLICATIONS &amp; METHODS</t>
  </si>
  <si>
    <t>0143-2087</t>
  </si>
  <si>
    <t>10.1002/oca.2370</t>
  </si>
  <si>
    <t>Li, KJ; Mi, YH; Zheng, W</t>
  </si>
  <si>
    <t>Li, Kangji; Mi, Yanhui; Zheng, Wen</t>
  </si>
  <si>
    <t>An Optimal Control Method for Greenhouse Climate Management Considering Crop Growth's Spatial Distribution and Energy Consumption</t>
  </si>
  <si>
    <t>10.3390/en16093925</t>
  </si>
  <si>
    <t>van Beveren, PJM; Bontsema, J; van Straten, G; van Henten, EJ</t>
  </si>
  <si>
    <t>van Beveren, P. J. M.; Bontsema, J.; van Straten, G.; van Henten, E. J.</t>
  </si>
  <si>
    <t>Optimal control of greenhouse climate using minimal energy and grower defined bounds</t>
  </si>
  <si>
    <t>10.1016/j.apenergy.2015.09.012</t>
  </si>
  <si>
    <t>Seginer, I; Ioslovich, I</t>
  </si>
  <si>
    <t>Seasonal optimization of the greenhouse environment for a simple two-stage crop growth model</t>
  </si>
  <si>
    <t>10.1006/jaer.1997.0261</t>
  </si>
  <si>
    <t>Pucheta, JA; Schugurensky, C; Fullana, R; Patino, H; Kuchen, B</t>
  </si>
  <si>
    <t>Optimal greenhouse control of tomato-seedling crops</t>
  </si>
  <si>
    <t>10.1016/j.compag.2005.09.002</t>
  </si>
  <si>
    <t>Seginer, Ido</t>
  </si>
  <si>
    <t>Sub-optimal control of the greenhouse environment: Crop models with and without an assimilates buffer</t>
  </si>
  <si>
    <t>10.1016/j.biosystemseng.2022.06.011</t>
  </si>
  <si>
    <t>Van Henten, EJ</t>
  </si>
  <si>
    <t>Sensitivity analysis of an optimal control problem in greenhouse climate management</t>
  </si>
  <si>
    <t>10.1016/S1537-5110(03)00068-0</t>
  </si>
  <si>
    <t>Shibata, S; Mizuno, R; Mineno, H</t>
  </si>
  <si>
    <t>Shibata, S.; Mizuno, R.; Mineno, H.</t>
  </si>
  <si>
    <t>Semisupervised Deep State-Space Model for Plant Growth Modeling</t>
  </si>
  <si>
    <t>PLANT PHENOMICS</t>
  </si>
  <si>
    <t>2643-6515</t>
  </si>
  <si>
    <t>10.34133/2020/4261965</t>
  </si>
  <si>
    <t>van Straten, G; van Willigenburg, LG; Tap, RF</t>
  </si>
  <si>
    <t>The significance of crop co-states for receding horizon optimal control of greenhouse climate</t>
  </si>
  <si>
    <t>van Straten, G; Challa, H; Buwalda, F</t>
  </si>
  <si>
    <t>Towards user accepted optimal control of greenhouse climate</t>
  </si>
  <si>
    <t>10.1016/S0168-1699(00)00077-6</t>
  </si>
  <si>
    <t>Chalabi, ZS; Bailey, BJ; Wilkinson, DJ</t>
  </si>
  <si>
    <t>A real-time optimal control algorithm for greenhouse heating</t>
  </si>
  <si>
    <t>10.1016/0168-1699(95)00053-4</t>
  </si>
  <si>
    <t>Adaptive two time-scale receding horizon optimal control for greenhouse lettuce cultivation</t>
  </si>
  <si>
    <t>10.1016/j.compag.2018.02.001</t>
  </si>
  <si>
    <t>Van Henten, EJ; Bontsema, J</t>
  </si>
  <si>
    <t>Van Henten, E. J.; Bontsema, J.</t>
  </si>
  <si>
    <t>Time-scale decomposition of an optimal control problem in greenhouse climate management</t>
  </si>
  <si>
    <t>10.1016/j.conengprac.2008.05.008</t>
  </si>
  <si>
    <t>Optimal control strategies for carbon dioxide enrichment in greenhouse tomato crops - Part 1: Using pure carbon dioxide</t>
  </si>
  <si>
    <t>10.1006/bioe.2001.0039</t>
  </si>
  <si>
    <t>Kuijpers, WJP; Katzin, D; van Mourik, S; Antunes, DJ; Hemming, S; van de Molengraft, MJG</t>
  </si>
  <si>
    <t>Kuijpers, Wouter J. P.; Katzin, David; van Mourik, Simon; Antunes, Duarte J.; Hemming, Silke; van de Molengraft, Marinus J. G.</t>
  </si>
  <si>
    <t>Lighting systems and strategies compared in an optimally controlled greenhouse</t>
  </si>
  <si>
    <t>10.1016/j.biosystemseng.2020.12.006</t>
  </si>
  <si>
    <t>Fernandez, FJ; Garay, J; Mori, TF; Csiszar, V; Varga, Z; Lopez, I; Gamez, M; Cabello, T</t>
  </si>
  <si>
    <t>Fernandez, Francisco J.; Garay, Jozsef; Mori, Tamas F.; Csiszar, Villo; Varga, Zoltan; Lopez, Inmaculada; Gamez, Manuel; Cabello, Tomas</t>
  </si>
  <si>
    <t>Theoretical Foundation of the Control of Pollination by Hoverflies in a Greenhouse</t>
  </si>
  <si>
    <t>10.3390/agronomy11010167</t>
  </si>
  <si>
    <t>Jorgensen, C; Ravn, HF</t>
  </si>
  <si>
    <t>Optimal feedback solution of a constrained stochastic one-storage model</t>
  </si>
  <si>
    <t>Optimal utilization of a boiler, combined heat and power installation, and heat buffers in horticultural greenhouses</t>
  </si>
  <si>
    <t>10.1016/j.compag.2019.05.040</t>
  </si>
  <si>
    <t>Kuijpers, WJPJ; Antunes, D; van Mourik, S; van Henten, EJ; van de Molengraft, MJG</t>
  </si>
  <si>
    <t>Kuijpers, Wouter J. P. J.; Antunes, Duarte; van Mourik, Simon; van Henten, Eldert J.; van de Molengraft, Marinus J. G.</t>
  </si>
  <si>
    <t>Weather forecast error modelling and performance analysis of automatic greenhouse climate control</t>
  </si>
  <si>
    <t>10.1016/j.biosystemseng.2021.12.014</t>
  </si>
  <si>
    <t>Van Beveren, PJM; Bontsema, J; Van Straten, G; Van Henten, EJ</t>
  </si>
  <si>
    <t>Van Beveren, P. J. M.; Bontsema, J.; Van Straten, G.; Van Henten, E. J.</t>
  </si>
  <si>
    <t>Minimal heating and cooling in a modern rose greenhouse</t>
  </si>
  <si>
    <t>10.1016/j.apenergy.2014.09.083</t>
  </si>
  <si>
    <t>Optimal control strategies for carbon dioxide enrichment in greenhouse tomato crops, part II: Using the exhaust gases of natural gas fired boilers</t>
  </si>
  <si>
    <t>10.1006/bioe.2001.0020</t>
  </si>
  <si>
    <t>Gehring, K; Krings, W; Hepting, L</t>
  </si>
  <si>
    <t>Efficiency of different herbicides to control potatoes</t>
  </si>
  <si>
    <t>ZEITSCHRIFT FUR PFLANZENKRANKHEITEN UND PFLANZENSCHUTZ-JOURNAL OF PLANT DISEASES AND PROTECTION</t>
  </si>
  <si>
    <t>0340-8159</t>
  </si>
  <si>
    <t>Su, YP; Xu, LH</t>
  </si>
  <si>
    <t>Su, Yuanping; Xu, Lihong</t>
  </si>
  <si>
    <t>Greenhouse Climate Setpoint Optimization: An Online Decision Strategy</t>
  </si>
  <si>
    <t>10.1109/ACCESS.2021.3119295</t>
  </si>
  <si>
    <t>Kuijpers, WJP; Antunes, DJ; Hemming, S; van Henten, EJ; van de Molengraft, MJG</t>
  </si>
  <si>
    <t>Kuijpers, Wouter J. P.; Antunes, Duarte J.; Hemming, Silke; van Henten, Eldert J.; van de Molengraft, Marinus J. G.</t>
  </si>
  <si>
    <t>Fruit development modelling and performance analysis of automatic greenhouse control</t>
  </si>
  <si>
    <t>10.1016/j.biosystemseng.2021.06.002</t>
  </si>
  <si>
    <t>Dynamic model for predicting solar plant performance and optimum control</t>
  </si>
  <si>
    <t>10.1016/S0360-5442(96)00141-7</t>
  </si>
  <si>
    <t>On the botanic model of plant growth with intermediate vegetative-reproductive stage</t>
  </si>
  <si>
    <t>THEORETICAL POPULATION BIOLOGY</t>
  </si>
  <si>
    <t>0040-5809</t>
  </si>
  <si>
    <t>10.1016/j.tpb.2005.06.003</t>
  </si>
  <si>
    <t>Gurban, EH; Andreescu, GD</t>
  </si>
  <si>
    <t>Gurban, Eugen Horatiu; Andreescu, Gheorghe-Daniel</t>
  </si>
  <si>
    <t>GREENHOUSE ENVIRONMENT MONITORING AND CONTROL: STATE OF THE ART AND CURRENT TRENDS</t>
  </si>
  <si>
    <t>ENVIRONMENTAL ENGINEERING AND MANAGEMENT JOURNAL</t>
  </si>
  <si>
    <t>1582-9596</t>
  </si>
  <si>
    <t>Day-to-night heat storage in greenhouses: 2 Sub-optimal solution for realistic weather</t>
  </si>
  <si>
    <t>10.1016/j.biosystemseng.2017.06.023</t>
  </si>
  <si>
    <t>Day-to-night heat storage in greenhouses: 1 Optimisation for periodic weather</t>
  </si>
  <si>
    <t>10.1016/j.biosystemseng.2017.06.024</t>
  </si>
  <si>
    <t>Ioslovich, I; Gutman, PO; Seginer, I</t>
  </si>
  <si>
    <t>A non-linear optimal greenhouse control problem with heating and ventilation</t>
  </si>
  <si>
    <t>10.1002/(SICI)1099-1514(199607/09)17:3&lt;157::AID-OCA570&gt;3.3.CO;2-O</t>
  </si>
  <si>
    <t>Pinon, S; Camacho, EF; Kuchen, B; Pena, M</t>
  </si>
  <si>
    <t>Constrained predictive control of a greenhouse</t>
  </si>
  <si>
    <t>10.1016/j.compag.2005.08.007</t>
  </si>
  <si>
    <t>El Ghoumari, MY; Tantau, HJ; Serrano, JS</t>
  </si>
  <si>
    <t>Non-linear constrained MPC: Real-time implementation of greenhouse air temperature control</t>
  </si>
  <si>
    <t>10.1016/j.compag.2005.08.005</t>
  </si>
  <si>
    <t>Andrews, R; Pearce, JM</t>
  </si>
  <si>
    <t>Andrews, R.; Pearce, J. M.</t>
  </si>
  <si>
    <t>Environmental and economic assessment of a greenhouse waste heat exchange</t>
  </si>
  <si>
    <t>10.1016/j.jclepro.2011.04.016</t>
  </si>
  <si>
    <t>Pucheta, J; Patino, H; Fullana, R; Schugurensky, C; Kuchen, B</t>
  </si>
  <si>
    <t>Pucheta, J.; Patino, H.; Fullana, R.; Schugurensky, C.; Kuchen, B.</t>
  </si>
  <si>
    <t>A neuro-dynamic programming-based optimal controller for tomato seedling growth in greenhouse systems</t>
  </si>
  <si>
    <t>NEURAL PROCESSING LETTERS</t>
  </si>
  <si>
    <t>1370-4621</t>
  </si>
  <si>
    <t>10.1007/s11063-006-9022-9</t>
  </si>
  <si>
    <t>Takeya, S; Muromachi, S; Maekawa, T; Yamamoto, Y; Mimachi, H; Kinoshita, T; Murayama, T; Umeda, H; Ahn, DH; Iwasaki, Y; Hashimoto, H; Yamaguchi, T; Okaya, K; Matsuo, S</t>
  </si>
  <si>
    <t>Takeya, Satoshi; Muromachi, Sanehiro; Maekawa, Tatsuo; Yamamoto, Yoshitaka; Mimachi, Hiroko; Kinoshita, Takahiro; Murayama, Tetsuro; Umeda, Hiroki; Ahn, Dong-Hyuk; Iwasaki, Yasunaga; Hashimoto, Hidenori; Yamaguchi, Tsutomu; Okaya, Katsunori; Matsuo, Seiji</t>
  </si>
  <si>
    <t>Design of Ecological CO2 Enrichment System for Greenhouse Production using TBAB + CO2 Semi-Clathrate Hydrate</t>
  </si>
  <si>
    <t>10.3390/en10070927</t>
  </si>
  <si>
    <t>Gonzalez, R; Rodriguez, F; Guzman, JL; Berenguel, M</t>
  </si>
  <si>
    <t>Gonzalez, Ramon; Rodriguez, Francisco; Luis Guzman, Jose; Berenguel, Manuel</t>
  </si>
  <si>
    <t>Robust constrained economic receding horizon control applied to the two time-scale dynamics problem of a greenhouse</t>
  </si>
  <si>
    <t>10.1002/oca.2080</t>
  </si>
  <si>
    <t>Mohamed, S; Hameed, IA</t>
  </si>
  <si>
    <t>Mohamed, S.; Hameed, I. A.</t>
  </si>
  <si>
    <t>A GA-Based Adaptive Neuro-Fuzzy Controller for Greenhouse Climate Control System</t>
  </si>
  <si>
    <t>ALEXANDRIA ENGINEERING JOURNAL</t>
  </si>
  <si>
    <t>1110-0168</t>
  </si>
  <si>
    <t>10.1016/j.aej.2014.04.009</t>
  </si>
  <si>
    <t>Li, YB; Sun, GX; Wang, XC</t>
  </si>
  <si>
    <t>Li, Yongbo; Sun, Guoxiang; Wang, Xiaochan</t>
  </si>
  <si>
    <t>Temperature Field-Wind Velocity Field Optimum Control of Greenhouse Environment Based on CFD Model</t>
  </si>
  <si>
    <t>10.1155/2014/949128</t>
  </si>
  <si>
    <t>Hu, YG; Li, PP; Zhang, XL; Wang, JZ; Chen, LF; Liu, WH</t>
  </si>
  <si>
    <t>Hu, Yongguang; Li, Pingping; Zhang, Xiliang; Wang, Jizhang; Chen, Lanfang; Liu, Weihong</t>
  </si>
  <si>
    <t>Integration of an environment information acquisition system with a greenhouse management expert system</t>
  </si>
  <si>
    <t>NEW ZEALAND JOURNAL OF AGRICULTURAL RESEARCH</t>
  </si>
  <si>
    <t>0028-8233</t>
  </si>
  <si>
    <t>10.1080/00288230709510360</t>
  </si>
  <si>
    <t>Efficient greenhouse design:Evapotranspiration approximated by a linear function of global radiation</t>
  </si>
  <si>
    <t>10.1016/j.biosystemseng.2022.09.007</t>
  </si>
  <si>
    <t>Achour, Y; Ouammi, A; Zejli, D; Sayadi, S</t>
  </si>
  <si>
    <t>Achour, Yasmine; Ouammi, Ahmed; Zejli, Driss; Sayadi, Sami</t>
  </si>
  <si>
    <t>Supervisory Model Predictive Control for Optimal Operation of a Greenhouse Indoor Environment Coping With Food-Energy-Water Nexus</t>
  </si>
  <si>
    <t>10.1109/ACCESS.2020.3037222</t>
  </si>
  <si>
    <t>Duarte-Galvan, C; Torres-Pacheco, I; Guevara-Gonzalez, RG; Romero-Troncoso, RJ; Contreras-Medina, LM; Rios-Alcaraz, MA; Mian-Amaraz, JR</t>
  </si>
  <si>
    <t>Duarte-Galvan, C.; Torres-Pacheco, I.; Guevara-Gonzalez, R. G.; Romero-Troncoso, R. J.; Contreras-Medina, L. M.; Rios-Alcaraz, M. A.; Mian-Amaraz, J. R.</t>
  </si>
  <si>
    <t>Review. Advantages and disadvantages of control theories applied in greenhouse climate control systems</t>
  </si>
  <si>
    <t>SPANISH JOURNAL OF AGRICULTURAL RESEARCH</t>
  </si>
  <si>
    <t>1695-971X</t>
  </si>
  <si>
    <t>10.5424/sjar/2012104-487-11</t>
  </si>
  <si>
    <t>Liu, HL; Lu, LC; Sun, DP; Liu, P; Li, YM; Li, TL; Liu, XA</t>
  </si>
  <si>
    <t>Liu, Hanlin; Lu, Liangchen; Sun, Dapeng; Liu, Peng; Li, Yiming; Li, Tianlai; Liu, Xingan</t>
  </si>
  <si>
    <t>A Two-Factor Thermal Screen Control Strategy for Chinese Solar Greenhouses in High-Latitude Areas</t>
  </si>
  <si>
    <t>10.3390/agronomy13030821</t>
  </si>
  <si>
    <t>Li, KJ; Xue, WP; Mao, HP; Chen, X; Jiang, H; Tan, G</t>
  </si>
  <si>
    <t>Li, Kangji; Xue, Wenping; Mao, Hanping; Chen, Xu; Jiang, Hui; Tan, Gang</t>
  </si>
  <si>
    <t>Optimizing the 3D Distributed Climate inside Greenhouses Using Multi-Objective Optimization Algorithms and Computer Fluid Dynamics</t>
  </si>
  <si>
    <t>10.3390/en12152873</t>
  </si>
  <si>
    <t>Fernandez, MD; Rodriguez, MR; Maseda, F; Velo, R; Gonzalez, MA</t>
  </si>
  <si>
    <t>Modelling the transient thermal behaviour of sand substrate heated by electric cables</t>
  </si>
  <si>
    <t>10.1016/j.biosystemseng.2004.11.005</t>
  </si>
  <si>
    <t>Benli, H</t>
  </si>
  <si>
    <t>Benli, Huseyin</t>
  </si>
  <si>
    <t>Performance prediction between horizontal and vertical source heat pump systems for greenhouse heating with the use of artificial neural networks</t>
  </si>
  <si>
    <t>10.1007/s00231-015-1723-z</t>
  </si>
  <si>
    <t>Afzali, S; Mosharafian, S; van Iersel, MW; Velni, JM</t>
  </si>
  <si>
    <t>Afzali, Shirin; Mosharafian, Sahand; van Iersel, Marc W.; Mohammadpour Velni, Javad</t>
  </si>
  <si>
    <t>Development and Implementation of an IoT-Enabled Optimal and Predictive Lighting Control Strategy in Greenhouses</t>
  </si>
  <si>
    <t>PLANTS-BASEL</t>
  </si>
  <si>
    <t>10.3390/plants10122652</t>
  </si>
  <si>
    <t>IOSLOVICH, I; SEGINER, I; GUTMAN, PO; BORSHCHEVSKY, M</t>
  </si>
  <si>
    <t>SUBOPTIMAL CO2 ENRICHMENT OF GREENHOUSES</t>
  </si>
  <si>
    <t>10.1006/jaer.1995.1006</t>
  </si>
  <si>
    <t>SEGINER, I; MCCLENDON, RW</t>
  </si>
  <si>
    <t>METHODS FOR OPTIMAL-CONTROL OF THE GREENHOUSE ENVIRONMENT</t>
  </si>
  <si>
    <t>Cai, W; Wen, X; Tu, Q</t>
  </si>
  <si>
    <t>Cai, W.; Wen, X.; Tu, Q.</t>
  </si>
  <si>
    <t>DESIGNING AN INTELLIGENT GREENHOUSE MONITORING SYSTEM BASED ON THE INTERNET OF THINGS</t>
  </si>
  <si>
    <t>APPLIED ECOLOGY AND ENVIRONMENTAL RESEARCH</t>
  </si>
  <si>
    <t>1589-1623</t>
  </si>
  <si>
    <t>10.15666/aeer/1704_84498464</t>
  </si>
  <si>
    <t>Dion, LM; Lefsrud, M; Orsat, V</t>
  </si>
  <si>
    <t>Dion, Louis-Martin; Lefsrud, Mark; Orsat, Valerie</t>
  </si>
  <si>
    <t>Review of CO2 recovery methods from the exhaust gas of biomass heating systems for safe enrichment in greenhouses</t>
  </si>
  <si>
    <t>BIOMASS &amp; BIOENERGY</t>
  </si>
  <si>
    <t>0961-9534</t>
  </si>
  <si>
    <t>10.1016/j.biombioe.2011.06.013</t>
  </si>
  <si>
    <t>Nielsen, B; Madsen, H</t>
  </si>
  <si>
    <t>Identification of a linear continuous time stochastic model of the heat dynamics of a greenhouse</t>
  </si>
  <si>
    <t>10.1006/jaer.1998.0322</t>
  </si>
  <si>
    <t>KOOL, MTN; VANDEPOL, PA</t>
  </si>
  <si>
    <t>CONTROLLING THE PLANT DEVELOPMENT OF ROSA-HYBRIDA MOTREA</t>
  </si>
  <si>
    <t>10.1016/0304-4238(93)90072-X</t>
  </si>
  <si>
    <t>Chen, WH; You, FQ</t>
  </si>
  <si>
    <t>Chen, Wei-Han; You, Fengqi</t>
  </si>
  <si>
    <t>Smart greenhouse control under harsh climate conditions based on data-driven robust model predictive control with principal component analysis and kernel density estimation</t>
  </si>
  <si>
    <t>JOURNAL OF PROCESS CONTROL</t>
  </si>
  <si>
    <t>0959-1524</t>
  </si>
  <si>
    <t>10.1016/j.jprocont.2021.10.004</t>
  </si>
  <si>
    <t>Aji, GK; Hatou, K; Morimoto, T</t>
  </si>
  <si>
    <t>Aji, Galih Kusuma; Hatou, Kenji; Morimoto, Tetsuo</t>
  </si>
  <si>
    <t>Modeling the Dynamic Response of Plant Growth to Root Zone Temperature in Hydroponic Chili Pepper Plant Using Neural Networks</t>
  </si>
  <si>
    <t>10.3390/agriculture10060234</t>
  </si>
  <si>
    <t>Le Floch, G; Tambong, J; Vallance, J; Tirilly, Y; Levesque, A; Rey, P</t>
  </si>
  <si>
    <t>Le Floch, Gaetan; Tambong, James; Vallance, Jessica; Tirilly, Yves; Levesque, Andre; Rey, Patrice</t>
  </si>
  <si>
    <t>Rhizosphere persistence of three Pythium oligandrum strains in tomato soilless culture assessed by DNA macroarray and real-time PCR</t>
  </si>
  <si>
    <t>FEMS MICROBIOLOGY ECOLOGY</t>
  </si>
  <si>
    <t>0168-6496</t>
  </si>
  <si>
    <t>10.1111/j.1574-6941.2007.00348.x</t>
  </si>
  <si>
    <t>Hemming, S; de Zwart, F; Elings, A; Righini, I; Petropoulou, A</t>
  </si>
  <si>
    <t>Hemming, Silke; de Zwart, Feije; Elings, Anne; Righini, Isabella; Petropoulou, Anna</t>
  </si>
  <si>
    <t>Remote Control of Greenhouse Vegetable Production with Artificial IntelligenceGreenhouse Climate, Irrigation, and Crop Production</t>
  </si>
  <si>
    <t>10.3390/s19081807</t>
  </si>
  <si>
    <t>Mosharafian, S; Afzali, S; Weaver, GM; van Iersel, M; Velni, JM</t>
  </si>
  <si>
    <t>Mosharafian, Sahand; Afzali, Shirin; Weaver, Geoffrey M.; van Iersel, Marc; Velni, Javad Mohammadpour</t>
  </si>
  <si>
    <t>Optimal lighting control in greenhouse by incorporating sunlight prediction</t>
  </si>
  <si>
    <t>10.1016/j.compag.2021.106300</t>
  </si>
  <si>
    <t>Garay, J; Sebestyen, Z; Varga, Z; Gamez, M; Torres, A; Belda, JE; Cabello, T</t>
  </si>
  <si>
    <t>Garay, Jozsef; Sebestyen, Zoltan; Varga, Zoltan; Gamez, Manuel; Torres, Alejandro; Belda, Jose E.; Cabello, Tomas</t>
  </si>
  <si>
    <t>A new multistage dynamic model for biological control exemplified by the host-parasitoid system Spodoptera exigua-Chelonus oculator</t>
  </si>
  <si>
    <t>JOURNAL OF PEST SCIENCE</t>
  </si>
  <si>
    <t>1612-4758</t>
  </si>
  <si>
    <t>10.1007/s10340-014-0609-z</t>
  </si>
  <si>
    <t>Kuroyanagi, T; Yasuba, K; Higashide, T; Iwasaki, Y; Takaichi, M</t>
  </si>
  <si>
    <t>Kuroyanagi, Takeshi; Yasuba, Ken-ichiro; Higashide, Tadahisa; Iwasaki, Yasunaga; Takaichi, Masuyuki</t>
  </si>
  <si>
    <t>Efficiency of carbon dioxide enrichment in an unventilated greenhouse</t>
  </si>
  <si>
    <t>10.1016/j.biosystemseng.2014.01.007</t>
  </si>
  <si>
    <t>Approximate seasonal optimization of the greenhouse environment for a multi-state-variable tomato model</t>
  </si>
  <si>
    <t>Lopez-Cruz, IL; Hernandez-Larragoiti, L</t>
  </si>
  <si>
    <t>Lopez-Cruz, Irineo L.; Hernandez-Larragoiti, Leopoldo</t>
  </si>
  <si>
    <t>NEURO-FUZZY MODELS FOR AIR TEMPERATURE AND HUMIDITY OF ARCHED AND VENLO TYPE GREENHOUSES IN CENTRAL MEXICO</t>
  </si>
  <si>
    <t>AGROCIENCIA</t>
  </si>
  <si>
    <t>1405-3195</t>
  </si>
  <si>
    <t>Deepagoda, TKKC; Lopez, JCC; Moldrup, P; de Jonge, LW; Tuller, M</t>
  </si>
  <si>
    <t>Deepagoda, T. K. K. Chamindu; Lopez, Jose Choc Chen; Moldrup, Per; de Jonge, Lis Wollesen; Tuller, Markus</t>
  </si>
  <si>
    <t>Integral parameters for characterizing water, energy, and aeration properties of soilless plant growth media</t>
  </si>
  <si>
    <t>JOURNAL OF HYDROLOGY</t>
  </si>
  <si>
    <t>0022-1694</t>
  </si>
  <si>
    <t>10.1016/j.jhydrol.2013.08.031</t>
  </si>
  <si>
    <t>Jones, JW; Kenig, A; Vallejos, CE</t>
  </si>
  <si>
    <t>Reduced state-variable tomato growth model</t>
  </si>
  <si>
    <t>Hemming, S; de Zwart, F; Elings, A; Petropoulou, A; Righini, I</t>
  </si>
  <si>
    <t>Hemming, Silke; de Zwart, Feije; Elings, Anne; Petropoulou, Anna; Righini, Isabella</t>
  </si>
  <si>
    <t>Cherry Tomato Production in Intelligent Greenhouses-Sensors and AI for Control of Climate, Irrigation, Crop Yield, and Quality</t>
  </si>
  <si>
    <t>10.3390/s20226430</t>
  </si>
  <si>
    <t>Chen, WH; Mattson, NS; You, FQ</t>
  </si>
  <si>
    <t>Chen, Wei-Han; Mattson, Neil S.; You, Fengqi</t>
  </si>
  <si>
    <t>Intelligent control and energy optimization in controlled environment agriculture via nonlinear model predictive control of semi-closed greenhouse</t>
  </si>
  <si>
    <t>10.1016/j.apenergy.2022.119334</t>
  </si>
  <si>
    <t>Montoya, AP; Guzman, JL; Rodriguez, F; Sanchez-Molina, JA</t>
  </si>
  <si>
    <t>Montoya, A. P.; Guzman, J. L.; Rodriguez, F.; Sanchez-Molina, J. A.</t>
  </si>
  <si>
    <t>A hybrid-controlled approach for maintaining nocturnal greenhouse temperature: Simulation study</t>
  </si>
  <si>
    <t>10.1016/j.compag.2016.02.014</t>
  </si>
  <si>
    <t>Lu, LR; Wen, FS; Ledwich, G; Huang, JS</t>
  </si>
  <si>
    <t>Lu, Lingrong; Wen, Fushuan; Ledwich, Gerard; Huang, Jiansheng</t>
  </si>
  <si>
    <t>Unit commitment in power systems with plug-in hybrid electric vehicles</t>
  </si>
  <si>
    <t>INTERNATIONAL TRANSACTIONS ON ELECTRICAL ENERGY SYSTEMS</t>
  </si>
  <si>
    <t>2050-7038</t>
  </si>
  <si>
    <t>10.1002/etep.1653</t>
  </si>
  <si>
    <t>Semiclosed Greenhouse Climate Control Under Uncertainty via Machine Learning and Data-Driven Robust Model Predictive Control</t>
  </si>
  <si>
    <t>IEEE TRANSACTIONS ON CONTROL SYSTEMS TECHNOLOGY</t>
  </si>
  <si>
    <t>1063-6536</t>
  </si>
  <si>
    <t>10.1109/TCST.2021.3094999</t>
  </si>
  <si>
    <t>Bersani, C; Fossa, M; Priarone, A; Sacile, R; Zero, E</t>
  </si>
  <si>
    <t>Bersani, Chiara; Fossa, Marco; Priarone, Antonella; Sacile, Roberto; Zero, Enrico</t>
  </si>
  <si>
    <t>Model Predictive Control versus Traditional Relay Control in a High Energy Efficiency Greenhouse</t>
  </si>
  <si>
    <t>10.3390/en14113353</t>
  </si>
  <si>
    <t>Diaz, BM; Barrios, L; Fereres, A</t>
  </si>
  <si>
    <t>Diaz, B. M.; Barrios, L.; Fereres, A.</t>
  </si>
  <si>
    <t>Interplant movement and spatial distribution of alate and apterous morphs of Nasonovia ribisnigri (Homoptera: Aphididae) on lettuce</t>
  </si>
  <si>
    <t>BULLETIN OF ENTOMOLOGICAL RESEARCH</t>
  </si>
  <si>
    <t>0007-4853</t>
  </si>
  <si>
    <t>10.1017/S0007485311000745</t>
  </si>
  <si>
    <t>Legras, S; Zaccour, G</t>
  </si>
  <si>
    <t>Legras, Sophie; Zaccour, Georges</t>
  </si>
  <si>
    <t>Temporal flexibility of permit trading when pollutants are correlated</t>
  </si>
  <si>
    <t>10.1016/j.automatica.2011.01.057</t>
  </si>
  <si>
    <t>Li, LQ; Sousek, M; Reicher, Z; Gaussoin, R</t>
  </si>
  <si>
    <t>Li, Luqi; Sousek, Matthew; Reicher, Zachary; Gaussoin, Roch</t>
  </si>
  <si>
    <t>Strategies for increased yellow nutsedge (Cyperus esculentus) control in turfgrass with halosulfuron, sulfentrazone, and physical removal</t>
  </si>
  <si>
    <t>WEED TECHNOLOGY</t>
  </si>
  <si>
    <t>0890-037X</t>
  </si>
  <si>
    <t>10.1017/wet.2021.43</t>
  </si>
  <si>
    <t>Janjai, S; Bala, BK</t>
  </si>
  <si>
    <t>Janjai, S.; Bala, B. K.</t>
  </si>
  <si>
    <t>Solar Drying Technology</t>
  </si>
  <si>
    <t>FOOD ENGINEERING REVIEWS</t>
  </si>
  <si>
    <t>1866-7910</t>
  </si>
  <si>
    <t>10.1007/s12393-011-9044-6</t>
  </si>
  <si>
    <t>Blom-Zandstra, M; Metselaar, K</t>
  </si>
  <si>
    <t>Infrared thermometry for early detection of drought stress in Chrysanthemum</t>
  </si>
  <si>
    <t>10.21273/HORTSCI.41.1.136</t>
  </si>
  <si>
    <t>Multi-layer hierarchical optimisation of greenhouse climate setpoints for energy conservation and improvement of crop yield</t>
  </si>
  <si>
    <t>10.1016/j.biosystemseng.2021.03.004</t>
  </si>
  <si>
    <t>Wen, XY; Xu, LH; Wei, RH</t>
  </si>
  <si>
    <t>Wen, Xinyu; Xu, Lihong; Wei, Ruihua</t>
  </si>
  <si>
    <t>Research on Control Strategy of Light and CO2 in Blueberry Greenhouse Based on Coordinated Optimization Model</t>
  </si>
  <si>
    <t>10.3390/agronomy12122988</t>
  </si>
  <si>
    <t>Lopez-Cruz, IL; Fitz-Rodriguez, E; Salazar-Moreno, R; Rojano-Aguilar, A; Kacira, M</t>
  </si>
  <si>
    <t>Lopez-Cruz, I. L.; Fitz-Rodriguez, E.; Salazar-Moreno, R.; Rojano-Aguilar, A.; Kacira, M.</t>
  </si>
  <si>
    <t>Development and analysis of dynamical mathematical models of greenhouse climate: A review</t>
  </si>
  <si>
    <t>EUROPEAN JOURNAL OF HORTICULTURAL SCIENCE</t>
  </si>
  <si>
    <t>1611-4426</t>
  </si>
  <si>
    <t>10.17660/eJHS.2018/83.5.1</t>
  </si>
  <si>
    <t>de Ridder, F; van Roy, J; de Schutter, B; Mazairac, W</t>
  </si>
  <si>
    <t>de Ridder, Fjo; van Roy, Jeroen; de Schutter, Bert; Mazairac, Wiet</t>
  </si>
  <si>
    <t>An exploration of shared heat storage systems in the greenhouse horticulture industry</t>
  </si>
  <si>
    <t>10.1016/j.energy.2021.121425</t>
  </si>
  <si>
    <t>Wu, Y; Li, L; Li, SS; Wang, HK; Zhang, M; Sun, H; Sygrimis, N; Li, MZ</t>
  </si>
  <si>
    <t>Wu, Yong; Li, Li; Li, Shuaishuai; Wang, Hongkang; Zhang, Man; Sun, Hong; Sygrimis, Nikolaos; Li, Minzan</t>
  </si>
  <si>
    <t>Optimal control algorithm of fertigation system in greenhouse based on EC model</t>
  </si>
  <si>
    <t>10.25165/j.ijabe.20191203.4680</t>
  </si>
  <si>
    <t>Shamshiri, RR; Bojic, I; van Henten, E; Balasundram, SK; Dworak, V; Sultan, M; Weltzien, C</t>
  </si>
  <si>
    <t>Shamshiri, Redmond R.; Bojic, Iva; van Henten, Eldert; Balasundram, Siva K.; Dworak, Volker; Sultan, Muhammad; Weltzien, Cornelia</t>
  </si>
  <si>
    <t>Model-based evaluation of greenhouse microclimate using IoT-Sensor data fusion for energy efficient crop production</t>
  </si>
  <si>
    <t>10.1016/j.jclepro.2020.121303</t>
  </si>
  <si>
    <t>Ouammi, A; Achour, Y; Zejli, D; Dagdougui, H</t>
  </si>
  <si>
    <t>Ouammi, Ahmed; Achour, Yasmine; Zejli, Driss; Dagdougui, Hanane</t>
  </si>
  <si>
    <t>Supervisory Model Predictive Control for Optimal Energy Management of Networked Smart Greenhouses Integrated Microgrid</t>
  </si>
  <si>
    <t>10.1109/TASE.2019.2910756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</si>
</sst>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savedrecs!$Y$6:$Y$73</c:f>
              <c:numCache>
                <c:formatCode>General</c:formatCode>
                <c:ptCount val="68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  <c:pt idx="66">
                  <c:v>2021</c:v>
                </c:pt>
                <c:pt idx="67">
                  <c:v>2022</c:v>
                </c:pt>
              </c:numCache>
            </c:numRef>
          </c:cat>
          <c:val>
            <c:numRef>
              <c:f>savedrecs!$Z$6:$Z$73</c:f>
              <c:numCache>
                <c:formatCode>General</c:formatCode>
                <c:ptCount val="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2</c:v>
                </c:pt>
                <c:pt idx="35">
                  <c:v>4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10</c:v>
                </c:pt>
                <c:pt idx="44">
                  <c:v>4</c:v>
                </c:pt>
                <c:pt idx="45">
                  <c:v>7</c:v>
                </c:pt>
                <c:pt idx="46">
                  <c:v>1</c:v>
                </c:pt>
                <c:pt idx="47">
                  <c:v>10</c:v>
                </c:pt>
                <c:pt idx="48">
                  <c:v>8</c:v>
                </c:pt>
                <c:pt idx="49">
                  <c:v>10</c:v>
                </c:pt>
                <c:pt idx="50">
                  <c:v>9</c:v>
                </c:pt>
                <c:pt idx="51">
                  <c:v>13</c:v>
                </c:pt>
                <c:pt idx="52">
                  <c:v>11</c:v>
                </c:pt>
                <c:pt idx="53">
                  <c:v>6</c:v>
                </c:pt>
                <c:pt idx="54">
                  <c:v>12</c:v>
                </c:pt>
                <c:pt idx="55">
                  <c:v>10</c:v>
                </c:pt>
                <c:pt idx="56">
                  <c:v>15</c:v>
                </c:pt>
                <c:pt idx="57">
                  <c:v>9</c:v>
                </c:pt>
                <c:pt idx="58">
                  <c:v>12</c:v>
                </c:pt>
                <c:pt idx="59">
                  <c:v>8</c:v>
                </c:pt>
                <c:pt idx="60">
                  <c:v>12</c:v>
                </c:pt>
                <c:pt idx="61">
                  <c:v>13</c:v>
                </c:pt>
                <c:pt idx="62">
                  <c:v>13</c:v>
                </c:pt>
                <c:pt idx="63">
                  <c:v>25</c:v>
                </c:pt>
                <c:pt idx="64">
                  <c:v>24</c:v>
                </c:pt>
                <c:pt idx="65">
                  <c:v>46</c:v>
                </c:pt>
                <c:pt idx="66">
                  <c:v>40</c:v>
                </c:pt>
                <c:pt idx="67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F6-4C00-AC5B-88D934AC0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963456"/>
        <c:axId val="464966736"/>
      </c:lineChart>
      <c:catAx>
        <c:axId val="46496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64966736"/>
        <c:crosses val="autoZero"/>
        <c:auto val="1"/>
        <c:lblAlgn val="ctr"/>
        <c:lblOffset val="100"/>
        <c:noMultiLvlLbl val="0"/>
      </c:catAx>
      <c:valAx>
        <c:axId val="46496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64963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107156</xdr:colOff>
      <xdr:row>10</xdr:row>
      <xdr:rowOff>9525</xdr:rowOff>
    </xdr:from>
    <xdr:to>
      <xdr:col>41</xdr:col>
      <xdr:colOff>238125</xdr:colOff>
      <xdr:row>37</xdr:row>
      <xdr:rowOff>130968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125B5D-0B42-8644-CCD3-98D7402D43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M411" totalsRowShown="0">
  <autoFilter ref="A1:M411" xr:uid="{00000000-0009-0000-0100-000001000000}"/>
  <sortState xmlns:xlrd2="http://schemas.microsoft.com/office/spreadsheetml/2017/richdata2" ref="A2:M411">
    <sortCondition ref="G1:G411"/>
  </sortState>
  <tableColumns count="13">
    <tableColumn id="1" xr3:uid="{00000000-0010-0000-0000-000001000000}" name="Publication Type"/>
    <tableColumn id="2" xr3:uid="{00000000-0010-0000-0000-000002000000}" name="Authors"/>
    <tableColumn id="6" xr3:uid="{00000000-0010-0000-0000-000006000000}" name="Author Full Names"/>
    <tableColumn id="9" xr3:uid="{00000000-0010-0000-0000-000009000000}" name="Article Title"/>
    <tableColumn id="10" xr3:uid="{00000000-0010-0000-0000-00000A000000}" name="Source Title"/>
    <tableColumn id="41" xr3:uid="{00000000-0010-0000-0000-000029000000}" name="ISSN"/>
    <tableColumn id="47" xr3:uid="{00000000-0010-0000-0000-00002F000000}" name="Publication Year"/>
    <tableColumn id="48" xr3:uid="{00000000-0010-0000-0000-000030000000}" name="Volume"/>
    <tableColumn id="49" xr3:uid="{00000000-0010-0000-0000-000031000000}" name="Issue"/>
    <tableColumn id="54" xr3:uid="{00000000-0010-0000-0000-000036000000}" name="Start Page"/>
    <tableColumn id="55" xr3:uid="{00000000-0010-0000-0000-000037000000}" name="End Page"/>
    <tableColumn id="57" xr3:uid="{00000000-0010-0000-0000-000039000000}" name="DOI"/>
    <tableColumn id="58" xr3:uid="{00000000-0010-0000-0000-00003A000000}" name="DOI Link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11"/>
  <sheetViews>
    <sheetView tabSelected="1" zoomScale="80" zoomScaleNormal="80" workbookViewId="0">
      <selection activeCell="Z73" sqref="Z71:Z73"/>
    </sheetView>
  </sheetViews>
  <sheetFormatPr defaultRowHeight="12.75" x14ac:dyDescent="0.2"/>
  <cols>
    <col min="1" max="1" width="18.42578125" customWidth="1"/>
    <col min="2" max="2" width="10" customWidth="1"/>
    <col min="3" max="3" width="19.85546875" customWidth="1"/>
    <col min="4" max="4" width="13.5703125" customWidth="1"/>
    <col min="5" max="5" width="14.140625" customWidth="1"/>
    <col min="7" max="7" width="18.140625" customWidth="1"/>
    <col min="8" max="8" width="10.140625" customWidth="1"/>
    <col min="10" max="10" width="12.7109375" customWidth="1"/>
    <col min="11" max="11" width="11.85546875" customWidth="1"/>
    <col min="13" max="13" width="10.85546875" customWidth="1"/>
  </cols>
  <sheetData>
    <row r="1" spans="1:3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T1">
        <v>1955</v>
      </c>
      <c r="U1">
        <v>1960</v>
      </c>
      <c r="V1">
        <v>1965</v>
      </c>
      <c r="W1">
        <v>1970</v>
      </c>
      <c r="X1">
        <v>1975</v>
      </c>
      <c r="Y1">
        <v>1980</v>
      </c>
      <c r="Z1">
        <v>1985</v>
      </c>
      <c r="AA1">
        <v>1990</v>
      </c>
      <c r="AB1">
        <v>1995</v>
      </c>
      <c r="AC1">
        <v>2000</v>
      </c>
      <c r="AD1">
        <v>2005</v>
      </c>
      <c r="AE1">
        <v>2010</v>
      </c>
      <c r="AF1">
        <v>2015</v>
      </c>
      <c r="AG1">
        <v>2020</v>
      </c>
      <c r="AH1">
        <v>2025</v>
      </c>
    </row>
    <row r="2" spans="1:34" x14ac:dyDescent="0.2">
      <c r="A2" t="s">
        <v>13</v>
      </c>
      <c r="B2" t="s">
        <v>37</v>
      </c>
      <c r="C2" t="s">
        <v>37</v>
      </c>
      <c r="D2" t="s">
        <v>38</v>
      </c>
      <c r="E2" t="s">
        <v>39</v>
      </c>
      <c r="F2" t="s">
        <v>40</v>
      </c>
      <c r="G2">
        <v>1964</v>
      </c>
      <c r="H2">
        <v>69</v>
      </c>
      <c r="I2">
        <v>1</v>
      </c>
      <c r="J2">
        <v>165</v>
      </c>
      <c r="K2" t="s">
        <v>41</v>
      </c>
      <c r="L2" t="s">
        <v>42</v>
      </c>
      <c r="M2" t="str">
        <f>HYPERLINK("http://dx.doi.org/10.1029/JZ069i001p00165","http://dx.doi.org/10.1029/JZ069i001p00165")</f>
        <v>http://dx.doi.org/10.1029/JZ069i001p00165</v>
      </c>
      <c r="T2">
        <f>COUNTIFS($G:$G,"&gt;"&amp;T1,$G:$G,"&lt;="&amp;U1)</f>
        <v>0</v>
      </c>
      <c r="U2">
        <f t="shared" ref="U2:AE2" si="0">COUNTIFS($G:$G,"&gt;"&amp;U1,$G:$G,"&lt;="&amp;V1)</f>
        <v>1</v>
      </c>
      <c r="V2">
        <f t="shared" si="0"/>
        <v>2</v>
      </c>
      <c r="W2">
        <f t="shared" si="0"/>
        <v>2</v>
      </c>
      <c r="X2">
        <f t="shared" si="0"/>
        <v>2</v>
      </c>
      <c r="Y2">
        <f t="shared" si="0"/>
        <v>1</v>
      </c>
      <c r="Z2">
        <f t="shared" si="0"/>
        <v>7</v>
      </c>
      <c r="AA2">
        <f t="shared" si="0"/>
        <v>21</v>
      </c>
      <c r="AB2">
        <f t="shared" si="0"/>
        <v>30</v>
      </c>
      <c r="AC2">
        <f t="shared" si="0"/>
        <v>38</v>
      </c>
      <c r="AD2">
        <f t="shared" si="0"/>
        <v>52</v>
      </c>
      <c r="AE2">
        <f t="shared" si="0"/>
        <v>56</v>
      </c>
      <c r="AF2">
        <f t="shared" ref="AF2" si="1">COUNTIFS($G:$G,"&gt;"&amp;AF1,$G:$G,"&lt;="&amp;AG1)</f>
        <v>121</v>
      </c>
      <c r="AG2">
        <f t="shared" ref="AG2" si="2">COUNTIFS($G:$G,"&gt;"&amp;AG1,$G:$G,"&lt;="&amp;AH1)</f>
        <v>77</v>
      </c>
    </row>
    <row r="3" spans="1:34" x14ac:dyDescent="0.2">
      <c r="A3" t="s">
        <v>13</v>
      </c>
      <c r="B3" t="s">
        <v>54</v>
      </c>
      <c r="C3" t="s">
        <v>54</v>
      </c>
      <c r="D3" t="s">
        <v>55</v>
      </c>
      <c r="E3" t="s">
        <v>56</v>
      </c>
      <c r="F3" t="s">
        <v>57</v>
      </c>
      <c r="G3">
        <v>1968</v>
      </c>
      <c r="H3">
        <v>73</v>
      </c>
      <c r="I3" t="s">
        <v>58</v>
      </c>
      <c r="J3" t="s">
        <v>59</v>
      </c>
      <c r="K3" t="s">
        <v>60</v>
      </c>
      <c r="L3" t="s">
        <v>15</v>
      </c>
      <c r="M3" t="s">
        <v>15</v>
      </c>
    </row>
    <row r="4" spans="1:34" x14ac:dyDescent="0.2">
      <c r="A4" t="s">
        <v>13</v>
      </c>
      <c r="B4" t="s">
        <v>164</v>
      </c>
      <c r="C4" t="s">
        <v>164</v>
      </c>
      <c r="D4" t="s">
        <v>165</v>
      </c>
      <c r="E4" t="s">
        <v>45</v>
      </c>
      <c r="F4" t="s">
        <v>46</v>
      </c>
      <c r="G4">
        <v>1969</v>
      </c>
      <c r="H4">
        <v>10</v>
      </c>
      <c r="I4">
        <v>2</v>
      </c>
      <c r="J4">
        <v>314</v>
      </c>
      <c r="K4" t="s">
        <v>60</v>
      </c>
      <c r="L4" t="s">
        <v>166</v>
      </c>
      <c r="M4" t="str">
        <f>HYPERLINK("http://dx.doi.org/10.1016/0019-1035(69)90032-3","http://dx.doi.org/10.1016/0019-1035(69)90032-3")</f>
        <v>http://dx.doi.org/10.1016/0019-1035(69)90032-3</v>
      </c>
    </row>
    <row r="5" spans="1:34" x14ac:dyDescent="0.2">
      <c r="A5" t="s">
        <v>13</v>
      </c>
      <c r="B5" t="s">
        <v>182</v>
      </c>
      <c r="C5" t="s">
        <v>182</v>
      </c>
      <c r="D5" t="s">
        <v>183</v>
      </c>
      <c r="E5" t="s">
        <v>184</v>
      </c>
      <c r="F5" t="s">
        <v>185</v>
      </c>
      <c r="G5">
        <v>1971</v>
      </c>
      <c r="H5">
        <v>23</v>
      </c>
      <c r="I5">
        <v>3</v>
      </c>
      <c r="J5">
        <v>387</v>
      </c>
      <c r="K5" t="s">
        <v>60</v>
      </c>
      <c r="L5" t="s">
        <v>15</v>
      </c>
      <c r="M5" t="s">
        <v>15</v>
      </c>
    </row>
    <row r="6" spans="1:34" x14ac:dyDescent="0.2">
      <c r="A6" t="s">
        <v>13</v>
      </c>
      <c r="B6" t="s">
        <v>43</v>
      </c>
      <c r="C6" t="s">
        <v>43</v>
      </c>
      <c r="D6" t="s">
        <v>44</v>
      </c>
      <c r="E6" t="s">
        <v>45</v>
      </c>
      <c r="F6" t="s">
        <v>46</v>
      </c>
      <c r="G6">
        <v>1973</v>
      </c>
      <c r="H6">
        <v>19</v>
      </c>
      <c r="I6">
        <v>2</v>
      </c>
      <c r="J6">
        <v>244</v>
      </c>
      <c r="K6">
        <v>246</v>
      </c>
      <c r="L6" t="s">
        <v>47</v>
      </c>
      <c r="M6" t="str">
        <f>HYPERLINK("http://dx.doi.org/10.1016/0019-1035(73)90128-0","http://dx.doi.org/10.1016/0019-1035(73)90128-0")</f>
        <v>http://dx.doi.org/10.1016/0019-1035(73)90128-0</v>
      </c>
      <c r="Y6">
        <v>1955</v>
      </c>
      <c r="Z6">
        <f>COUNTIF(G:G,"="&amp;Y6)</f>
        <v>0</v>
      </c>
    </row>
    <row r="7" spans="1:34" x14ac:dyDescent="0.2">
      <c r="A7" t="s">
        <v>13</v>
      </c>
      <c r="B7" t="s">
        <v>19</v>
      </c>
      <c r="C7" t="s">
        <v>20</v>
      </c>
      <c r="D7" t="s">
        <v>21</v>
      </c>
      <c r="E7" t="s">
        <v>22</v>
      </c>
      <c r="F7" t="s">
        <v>23</v>
      </c>
      <c r="G7">
        <v>1980</v>
      </c>
      <c r="H7">
        <v>85</v>
      </c>
      <c r="I7" t="s">
        <v>24</v>
      </c>
      <c r="J7">
        <v>8219</v>
      </c>
      <c r="K7">
        <v>8222</v>
      </c>
      <c r="L7" t="s">
        <v>25</v>
      </c>
      <c r="M7" t="str">
        <f>HYPERLINK("http://dx.doi.org/10.1029/JA085iA13p08219","http://dx.doi.org/10.1029/JA085iA13p08219")</f>
        <v>http://dx.doi.org/10.1029/JA085iA13p08219</v>
      </c>
      <c r="Y7">
        <v>1956</v>
      </c>
      <c r="Z7">
        <f t="shared" ref="Z7:Z70" si="3">COUNTIF(G:G,"="&amp;Y7)</f>
        <v>0</v>
      </c>
    </row>
    <row r="8" spans="1:34" x14ac:dyDescent="0.2">
      <c r="A8" t="s">
        <v>13</v>
      </c>
      <c r="B8" t="s">
        <v>61</v>
      </c>
      <c r="C8" t="s">
        <v>62</v>
      </c>
      <c r="D8" t="s">
        <v>63</v>
      </c>
      <c r="E8" t="s">
        <v>22</v>
      </c>
      <c r="F8" t="s">
        <v>23</v>
      </c>
      <c r="G8">
        <v>1980</v>
      </c>
      <c r="H8">
        <v>85</v>
      </c>
      <c r="I8" t="s">
        <v>24</v>
      </c>
      <c r="J8">
        <v>8223</v>
      </c>
      <c r="K8">
        <v>8231</v>
      </c>
      <c r="L8" t="s">
        <v>64</v>
      </c>
      <c r="M8" t="str">
        <f>HYPERLINK("http://dx.doi.org/10.1029/JA085iA13p08223","http://dx.doi.org/10.1029/JA085iA13p08223")</f>
        <v>http://dx.doi.org/10.1029/JA085iA13p08223</v>
      </c>
      <c r="Y8">
        <v>1957</v>
      </c>
      <c r="Z8">
        <f t="shared" si="3"/>
        <v>0</v>
      </c>
    </row>
    <row r="9" spans="1:34" x14ac:dyDescent="0.2">
      <c r="A9" t="s">
        <v>13</v>
      </c>
      <c r="B9" t="s">
        <v>1442</v>
      </c>
      <c r="C9" t="s">
        <v>1442</v>
      </c>
      <c r="D9" t="s">
        <v>1443</v>
      </c>
      <c r="E9" t="s">
        <v>1444</v>
      </c>
      <c r="F9" t="s">
        <v>1445</v>
      </c>
      <c r="G9">
        <v>1984</v>
      </c>
      <c r="H9">
        <v>17</v>
      </c>
      <c r="I9">
        <v>1</v>
      </c>
      <c r="J9">
        <v>45</v>
      </c>
      <c r="K9">
        <v>56</v>
      </c>
      <c r="L9" t="s">
        <v>1446</v>
      </c>
      <c r="M9" t="str">
        <f>HYPERLINK("http://dx.doi.org/10.1016/0377-2217(84)90007-9","http://dx.doi.org/10.1016/0377-2217(84)90007-9")</f>
        <v>http://dx.doi.org/10.1016/0377-2217(84)90007-9</v>
      </c>
      <c r="Y9">
        <v>1958</v>
      </c>
      <c r="Z9">
        <f t="shared" si="3"/>
        <v>0</v>
      </c>
    </row>
    <row r="10" spans="1:34" x14ac:dyDescent="0.2">
      <c r="A10" t="s">
        <v>13</v>
      </c>
      <c r="B10" t="s">
        <v>66</v>
      </c>
      <c r="C10" t="s">
        <v>66</v>
      </c>
      <c r="D10" t="s">
        <v>67</v>
      </c>
      <c r="E10" t="s">
        <v>68</v>
      </c>
      <c r="F10" t="s">
        <v>69</v>
      </c>
      <c r="G10">
        <v>1988</v>
      </c>
      <c r="H10">
        <v>30</v>
      </c>
      <c r="I10">
        <v>1</v>
      </c>
      <c r="J10">
        <v>143</v>
      </c>
      <c r="K10">
        <v>149</v>
      </c>
      <c r="L10" t="s">
        <v>15</v>
      </c>
      <c r="M10" t="s">
        <v>15</v>
      </c>
      <c r="Y10">
        <v>1959</v>
      </c>
      <c r="Z10">
        <f t="shared" si="3"/>
        <v>0</v>
      </c>
    </row>
    <row r="11" spans="1:34" x14ac:dyDescent="0.2">
      <c r="A11" t="s">
        <v>13</v>
      </c>
      <c r="B11" t="s">
        <v>84</v>
      </c>
      <c r="C11" t="s">
        <v>84</v>
      </c>
      <c r="D11" t="s">
        <v>85</v>
      </c>
      <c r="E11" t="s">
        <v>86</v>
      </c>
      <c r="F11" t="s">
        <v>87</v>
      </c>
      <c r="G11">
        <v>1989</v>
      </c>
      <c r="H11">
        <v>244</v>
      </c>
      <c r="I11">
        <v>4908</v>
      </c>
      <c r="J11">
        <v>1042</v>
      </c>
      <c r="K11">
        <v>1042</v>
      </c>
      <c r="L11" t="s">
        <v>88</v>
      </c>
      <c r="M11" t="str">
        <f>HYPERLINK("http://dx.doi.org/10.1126/science.244.4908.1042","http://dx.doi.org/10.1126/science.244.4908.1042")</f>
        <v>http://dx.doi.org/10.1126/science.244.4908.1042</v>
      </c>
      <c r="Y11">
        <v>1960</v>
      </c>
      <c r="Z11">
        <f t="shared" si="3"/>
        <v>0</v>
      </c>
    </row>
    <row r="12" spans="1:34" x14ac:dyDescent="0.2">
      <c r="A12" t="s">
        <v>13</v>
      </c>
      <c r="B12" t="s">
        <v>84</v>
      </c>
      <c r="C12" t="s">
        <v>84</v>
      </c>
      <c r="D12" t="s">
        <v>125</v>
      </c>
      <c r="E12" t="s">
        <v>86</v>
      </c>
      <c r="F12" t="s">
        <v>87</v>
      </c>
      <c r="G12">
        <v>1989</v>
      </c>
      <c r="H12">
        <v>243</v>
      </c>
      <c r="I12">
        <v>4887</v>
      </c>
      <c r="J12">
        <v>28</v>
      </c>
      <c r="K12">
        <v>29</v>
      </c>
      <c r="L12" t="s">
        <v>126</v>
      </c>
      <c r="M12" t="str">
        <f>HYPERLINK("http://dx.doi.org/10.1126/science.243.4887.28","http://dx.doi.org/10.1126/science.243.4887.28")</f>
        <v>http://dx.doi.org/10.1126/science.243.4887.28</v>
      </c>
      <c r="Y12">
        <v>1961</v>
      </c>
      <c r="Z12">
        <f t="shared" si="3"/>
        <v>0</v>
      </c>
    </row>
    <row r="13" spans="1:34" x14ac:dyDescent="0.2">
      <c r="A13" t="s">
        <v>13</v>
      </c>
      <c r="B13" t="s">
        <v>14</v>
      </c>
      <c r="C13" t="s">
        <v>14</v>
      </c>
      <c r="D13" t="s">
        <v>16</v>
      </c>
      <c r="E13" t="s">
        <v>17</v>
      </c>
      <c r="F13" t="s">
        <v>18</v>
      </c>
      <c r="G13">
        <v>1990</v>
      </c>
      <c r="H13">
        <v>19</v>
      </c>
      <c r="I13">
        <v>4</v>
      </c>
      <c r="J13">
        <v>275</v>
      </c>
      <c r="K13">
        <v>293</v>
      </c>
      <c r="L13" t="s">
        <v>15</v>
      </c>
      <c r="M13" t="s">
        <v>15</v>
      </c>
      <c r="Y13">
        <v>1962</v>
      </c>
      <c r="Z13">
        <f t="shared" si="3"/>
        <v>0</v>
      </c>
    </row>
    <row r="14" spans="1:34" x14ac:dyDescent="0.2">
      <c r="A14" t="s">
        <v>13</v>
      </c>
      <c r="B14" t="s">
        <v>14</v>
      </c>
      <c r="C14" t="s">
        <v>14</v>
      </c>
      <c r="D14" t="s">
        <v>65</v>
      </c>
      <c r="E14" t="s">
        <v>17</v>
      </c>
      <c r="F14" t="s">
        <v>18</v>
      </c>
      <c r="G14">
        <v>1990</v>
      </c>
      <c r="H14">
        <v>19</v>
      </c>
      <c r="I14">
        <v>3</v>
      </c>
      <c r="J14">
        <v>185</v>
      </c>
      <c r="K14">
        <v>209</v>
      </c>
      <c r="L14" t="s">
        <v>15</v>
      </c>
      <c r="M14" t="s">
        <v>15</v>
      </c>
      <c r="Y14">
        <v>1963</v>
      </c>
      <c r="Z14">
        <f t="shared" si="3"/>
        <v>0</v>
      </c>
    </row>
    <row r="15" spans="1:34" x14ac:dyDescent="0.2">
      <c r="A15" t="s">
        <v>13</v>
      </c>
      <c r="B15" t="s">
        <v>1274</v>
      </c>
      <c r="C15" t="s">
        <v>1274</v>
      </c>
      <c r="D15" t="s">
        <v>1275</v>
      </c>
      <c r="E15" t="s">
        <v>1276</v>
      </c>
      <c r="F15" t="s">
        <v>1277</v>
      </c>
      <c r="G15">
        <v>1990</v>
      </c>
      <c r="H15">
        <v>3</v>
      </c>
      <c r="I15">
        <v>12</v>
      </c>
      <c r="J15">
        <v>1491</v>
      </c>
      <c r="K15">
        <v>1494</v>
      </c>
      <c r="L15" t="s">
        <v>1278</v>
      </c>
      <c r="M15" t="str">
        <f>HYPERLINK("http://dx.doi.org/10.1175/1520-0442(1990)003&lt;1491:TIOISM&gt;2.0.CO;2","http://dx.doi.org/10.1175/1520-0442(1990)003&lt;1491:TIOISM&gt;2.0.CO;2")</f>
        <v>http://dx.doi.org/10.1175/1520-0442(1990)003&lt;1491:TIOISM&gt;2.0.CO;2</v>
      </c>
      <c r="Y15">
        <v>1964</v>
      </c>
      <c r="Z15">
        <f t="shared" si="3"/>
        <v>1</v>
      </c>
    </row>
    <row r="16" spans="1:34" x14ac:dyDescent="0.2">
      <c r="A16" t="s">
        <v>13</v>
      </c>
      <c r="B16" t="s">
        <v>1296</v>
      </c>
      <c r="C16" t="s">
        <v>1296</v>
      </c>
      <c r="D16" t="s">
        <v>1297</v>
      </c>
      <c r="E16" t="s">
        <v>379</v>
      </c>
      <c r="F16" t="s">
        <v>380</v>
      </c>
      <c r="G16">
        <v>1990</v>
      </c>
      <c r="H16">
        <v>33</v>
      </c>
      <c r="I16">
        <v>5</v>
      </c>
      <c r="J16">
        <v>1722</v>
      </c>
      <c r="K16">
        <v>1728</v>
      </c>
      <c r="L16" t="s">
        <v>15</v>
      </c>
      <c r="M16" t="s">
        <v>15</v>
      </c>
      <c r="Y16">
        <v>1965</v>
      </c>
      <c r="Z16">
        <f t="shared" si="3"/>
        <v>0</v>
      </c>
    </row>
    <row r="17" spans="1:26" x14ac:dyDescent="0.2">
      <c r="A17" t="s">
        <v>13</v>
      </c>
      <c r="B17" t="s">
        <v>152</v>
      </c>
      <c r="C17" t="s">
        <v>152</v>
      </c>
      <c r="D17" t="s">
        <v>153</v>
      </c>
      <c r="E17" t="s">
        <v>82</v>
      </c>
      <c r="F17" t="s">
        <v>83</v>
      </c>
      <c r="G17">
        <v>1991</v>
      </c>
      <c r="H17">
        <v>129</v>
      </c>
      <c r="I17">
        <v>1752</v>
      </c>
      <c r="J17">
        <v>20</v>
      </c>
      <c r="K17">
        <v>20</v>
      </c>
      <c r="L17" t="s">
        <v>15</v>
      </c>
      <c r="M17" t="s">
        <v>15</v>
      </c>
      <c r="Y17">
        <v>1966</v>
      </c>
      <c r="Z17">
        <f t="shared" si="3"/>
        <v>0</v>
      </c>
    </row>
    <row r="18" spans="1:26" x14ac:dyDescent="0.2">
      <c r="A18" t="s">
        <v>13</v>
      </c>
      <c r="B18" t="s">
        <v>420</v>
      </c>
      <c r="C18" t="s">
        <v>420</v>
      </c>
      <c r="D18" t="s">
        <v>421</v>
      </c>
      <c r="E18" t="s">
        <v>422</v>
      </c>
      <c r="F18" t="s">
        <v>423</v>
      </c>
      <c r="G18">
        <v>1991</v>
      </c>
      <c r="H18">
        <v>443</v>
      </c>
      <c r="I18" t="s">
        <v>15</v>
      </c>
      <c r="J18">
        <v>448</v>
      </c>
      <c r="K18">
        <v>458</v>
      </c>
      <c r="L18" t="s">
        <v>15</v>
      </c>
      <c r="M18" t="s">
        <v>15</v>
      </c>
      <c r="Y18">
        <v>1967</v>
      </c>
      <c r="Z18">
        <f t="shared" si="3"/>
        <v>0</v>
      </c>
    </row>
    <row r="19" spans="1:26" x14ac:dyDescent="0.2">
      <c r="A19" t="s">
        <v>13</v>
      </c>
      <c r="B19" t="s">
        <v>548</v>
      </c>
      <c r="C19" t="s">
        <v>548</v>
      </c>
      <c r="D19" t="s">
        <v>549</v>
      </c>
      <c r="E19" t="s">
        <v>550</v>
      </c>
      <c r="F19" t="s">
        <v>551</v>
      </c>
      <c r="G19">
        <v>1991</v>
      </c>
      <c r="H19">
        <v>1</v>
      </c>
      <c r="I19">
        <v>3</v>
      </c>
      <c r="J19">
        <v>429</v>
      </c>
      <c r="K19">
        <v>454</v>
      </c>
      <c r="L19" t="s">
        <v>552</v>
      </c>
      <c r="M19" t="str">
        <f>HYPERLINK("http://dx.doi.org/10.1051/jp3:1991130","http://dx.doi.org/10.1051/jp3:1991130")</f>
        <v>http://dx.doi.org/10.1051/jp3:1991130</v>
      </c>
      <c r="Y19">
        <v>1968</v>
      </c>
      <c r="Z19">
        <f t="shared" si="3"/>
        <v>1</v>
      </c>
    </row>
    <row r="20" spans="1:26" x14ac:dyDescent="0.2">
      <c r="A20" t="s">
        <v>13</v>
      </c>
      <c r="B20" t="s">
        <v>643</v>
      </c>
      <c r="C20" t="s">
        <v>643</v>
      </c>
      <c r="D20" t="s">
        <v>644</v>
      </c>
      <c r="E20" t="s">
        <v>379</v>
      </c>
      <c r="F20" t="s">
        <v>380</v>
      </c>
      <c r="G20">
        <v>1991</v>
      </c>
      <c r="H20">
        <v>34</v>
      </c>
      <c r="I20">
        <v>2</v>
      </c>
      <c r="J20">
        <v>663</v>
      </c>
      <c r="K20">
        <v>672</v>
      </c>
      <c r="L20" t="s">
        <v>15</v>
      </c>
      <c r="M20" t="s">
        <v>15</v>
      </c>
      <c r="Y20">
        <v>1969</v>
      </c>
      <c r="Z20">
        <f t="shared" si="3"/>
        <v>1</v>
      </c>
    </row>
    <row r="21" spans="1:26" x14ac:dyDescent="0.2">
      <c r="A21" t="s">
        <v>13</v>
      </c>
      <c r="B21" t="s">
        <v>1255</v>
      </c>
      <c r="C21" t="s">
        <v>1255</v>
      </c>
      <c r="D21" t="s">
        <v>1256</v>
      </c>
      <c r="E21" t="s">
        <v>460</v>
      </c>
      <c r="F21" t="s">
        <v>461</v>
      </c>
      <c r="G21">
        <v>1991</v>
      </c>
      <c r="H21">
        <v>96</v>
      </c>
      <c r="I21" t="s">
        <v>15</v>
      </c>
      <c r="J21">
        <v>19217</v>
      </c>
      <c r="K21">
        <v>19229</v>
      </c>
      <c r="L21" t="s">
        <v>1257</v>
      </c>
      <c r="M21" t="str">
        <f>HYPERLINK("http://dx.doi.org/10.1029/91JA01858","http://dx.doi.org/10.1029/91JA01858")</f>
        <v>http://dx.doi.org/10.1029/91JA01858</v>
      </c>
      <c r="Y21">
        <v>1970</v>
      </c>
      <c r="Z21">
        <f t="shared" si="3"/>
        <v>0</v>
      </c>
    </row>
    <row r="22" spans="1:26" x14ac:dyDescent="0.2">
      <c r="A22" t="s">
        <v>13</v>
      </c>
      <c r="B22" t="s">
        <v>76</v>
      </c>
      <c r="C22" t="s">
        <v>76</v>
      </c>
      <c r="D22" t="s">
        <v>77</v>
      </c>
      <c r="E22" t="s">
        <v>78</v>
      </c>
      <c r="F22" t="s">
        <v>79</v>
      </c>
      <c r="G22">
        <v>1992</v>
      </c>
      <c r="H22">
        <v>184</v>
      </c>
      <c r="I22" t="s">
        <v>15</v>
      </c>
      <c r="J22">
        <v>53</v>
      </c>
      <c r="K22">
        <v>68</v>
      </c>
      <c r="L22" t="s">
        <v>15</v>
      </c>
      <c r="M22" t="s">
        <v>15</v>
      </c>
      <c r="Y22">
        <v>1971</v>
      </c>
      <c r="Z22">
        <f t="shared" si="3"/>
        <v>1</v>
      </c>
    </row>
    <row r="23" spans="1:26" x14ac:dyDescent="0.2">
      <c r="A23" t="s">
        <v>13</v>
      </c>
      <c r="B23" t="s">
        <v>80</v>
      </c>
      <c r="C23" t="s">
        <v>80</v>
      </c>
      <c r="D23" t="s">
        <v>81</v>
      </c>
      <c r="E23" t="s">
        <v>82</v>
      </c>
      <c r="F23" t="s">
        <v>83</v>
      </c>
      <c r="G23">
        <v>1992</v>
      </c>
      <c r="H23">
        <v>133</v>
      </c>
      <c r="I23">
        <v>1803</v>
      </c>
      <c r="J23">
        <v>20</v>
      </c>
      <c r="K23">
        <v>20</v>
      </c>
      <c r="L23" t="s">
        <v>15</v>
      </c>
      <c r="M23" t="s">
        <v>15</v>
      </c>
      <c r="Y23">
        <v>1972</v>
      </c>
      <c r="Z23">
        <f t="shared" si="3"/>
        <v>0</v>
      </c>
    </row>
    <row r="24" spans="1:26" x14ac:dyDescent="0.2">
      <c r="A24" t="s">
        <v>13</v>
      </c>
      <c r="B24" t="s">
        <v>993</v>
      </c>
      <c r="C24" t="s">
        <v>993</v>
      </c>
      <c r="D24" t="s">
        <v>994</v>
      </c>
      <c r="E24" t="s">
        <v>995</v>
      </c>
      <c r="F24" t="s">
        <v>996</v>
      </c>
      <c r="G24">
        <v>1992</v>
      </c>
      <c r="H24">
        <v>56</v>
      </c>
      <c r="I24">
        <v>3</v>
      </c>
      <c r="J24">
        <v>972</v>
      </c>
      <c r="K24">
        <v>976</v>
      </c>
      <c r="L24" t="s">
        <v>997</v>
      </c>
      <c r="M24" t="str">
        <f>HYPERLINK("http://dx.doi.org/10.2136/sssaj1992.03615995005600030048x","http://dx.doi.org/10.2136/sssaj1992.03615995005600030048x")</f>
        <v>http://dx.doi.org/10.2136/sssaj1992.03615995005600030048x</v>
      </c>
      <c r="Y24">
        <v>1973</v>
      </c>
      <c r="Z24">
        <f t="shared" si="3"/>
        <v>1</v>
      </c>
    </row>
    <row r="25" spans="1:26" x14ac:dyDescent="0.2">
      <c r="A25" t="s">
        <v>13</v>
      </c>
      <c r="B25" t="s">
        <v>1646</v>
      </c>
      <c r="C25" t="s">
        <v>1646</v>
      </c>
      <c r="D25" t="s">
        <v>1647</v>
      </c>
      <c r="E25" t="s">
        <v>379</v>
      </c>
      <c r="F25" t="s">
        <v>380</v>
      </c>
      <c r="G25">
        <v>1992</v>
      </c>
      <c r="H25">
        <v>35</v>
      </c>
      <c r="I25">
        <v>4</v>
      </c>
      <c r="J25">
        <v>1299</v>
      </c>
      <c r="K25">
        <v>1307</v>
      </c>
      <c r="L25" t="s">
        <v>15</v>
      </c>
      <c r="M25" t="s">
        <v>15</v>
      </c>
      <c r="Y25">
        <v>1974</v>
      </c>
      <c r="Z25">
        <f t="shared" si="3"/>
        <v>0</v>
      </c>
    </row>
    <row r="26" spans="1:26" x14ac:dyDescent="0.2">
      <c r="A26" t="s">
        <v>13</v>
      </c>
      <c r="B26" t="s">
        <v>753</v>
      </c>
      <c r="C26" t="s">
        <v>753</v>
      </c>
      <c r="D26" t="s">
        <v>754</v>
      </c>
      <c r="E26" t="s">
        <v>755</v>
      </c>
      <c r="F26" t="s">
        <v>756</v>
      </c>
      <c r="G26">
        <v>1993</v>
      </c>
      <c r="H26">
        <v>74</v>
      </c>
      <c r="I26">
        <v>12</v>
      </c>
      <c r="J26">
        <v>2363</v>
      </c>
      <c r="K26">
        <v>2373</v>
      </c>
      <c r="L26" t="s">
        <v>757</v>
      </c>
      <c r="M26" t="str">
        <f>HYPERLINK("http://dx.doi.org/10.1175/1520-0477(1993)074&lt;2363:GAOTGE&gt;2.0.CO;2","http://dx.doi.org/10.1175/1520-0477(1993)074&lt;2363:GAOTGE&gt;2.0.CO;2")</f>
        <v>http://dx.doi.org/10.1175/1520-0477(1993)074&lt;2363:GAOTGE&gt;2.0.CO;2</v>
      </c>
      <c r="Y26">
        <v>1975</v>
      </c>
      <c r="Z26">
        <f t="shared" si="3"/>
        <v>0</v>
      </c>
    </row>
    <row r="27" spans="1:26" x14ac:dyDescent="0.2">
      <c r="A27" t="s">
        <v>13</v>
      </c>
      <c r="B27" t="s">
        <v>1329</v>
      </c>
      <c r="C27" t="s">
        <v>1329</v>
      </c>
      <c r="D27" t="s">
        <v>1330</v>
      </c>
      <c r="E27" t="s">
        <v>68</v>
      </c>
      <c r="F27" t="s">
        <v>69</v>
      </c>
      <c r="G27">
        <v>1993</v>
      </c>
      <c r="H27">
        <v>35</v>
      </c>
      <c r="I27">
        <v>3</v>
      </c>
      <c r="J27">
        <v>223</v>
      </c>
      <c r="K27">
        <v>228</v>
      </c>
      <c r="L27" t="s">
        <v>15</v>
      </c>
      <c r="M27" t="s">
        <v>15</v>
      </c>
      <c r="Y27">
        <v>1976</v>
      </c>
      <c r="Z27">
        <f t="shared" si="3"/>
        <v>0</v>
      </c>
    </row>
    <row r="28" spans="1:26" x14ac:dyDescent="0.2">
      <c r="A28" t="s">
        <v>13</v>
      </c>
      <c r="B28" t="s">
        <v>1329</v>
      </c>
      <c r="C28" t="s">
        <v>1329</v>
      </c>
      <c r="D28" t="s">
        <v>1346</v>
      </c>
      <c r="E28" t="s">
        <v>68</v>
      </c>
      <c r="F28" t="s">
        <v>69</v>
      </c>
      <c r="G28">
        <v>1993</v>
      </c>
      <c r="H28">
        <v>35</v>
      </c>
      <c r="I28">
        <v>3</v>
      </c>
      <c r="J28">
        <v>215</v>
      </c>
      <c r="K28">
        <v>222</v>
      </c>
      <c r="L28" t="s">
        <v>15</v>
      </c>
      <c r="M28" t="s">
        <v>15</v>
      </c>
      <c r="Y28">
        <v>1977</v>
      </c>
      <c r="Z28">
        <f t="shared" si="3"/>
        <v>0</v>
      </c>
    </row>
    <row r="29" spans="1:26" x14ac:dyDescent="0.2">
      <c r="A29" t="s">
        <v>13</v>
      </c>
      <c r="B29" t="s">
        <v>1663</v>
      </c>
      <c r="C29" t="s">
        <v>1663</v>
      </c>
      <c r="D29" t="s">
        <v>1664</v>
      </c>
      <c r="E29" t="s">
        <v>1093</v>
      </c>
      <c r="F29" t="s">
        <v>1094</v>
      </c>
      <c r="G29">
        <v>1993</v>
      </c>
      <c r="H29">
        <v>53</v>
      </c>
      <c r="I29">
        <v>3</v>
      </c>
      <c r="J29">
        <v>239</v>
      </c>
      <c r="K29">
        <v>248</v>
      </c>
      <c r="L29" t="s">
        <v>1665</v>
      </c>
      <c r="M29" t="str">
        <f>HYPERLINK("http://dx.doi.org/10.1016/0304-4238(93)90072-X","http://dx.doi.org/10.1016/0304-4238(93)90072-X")</f>
        <v>http://dx.doi.org/10.1016/0304-4238(93)90072-X</v>
      </c>
      <c r="Y29">
        <v>1978</v>
      </c>
      <c r="Z29">
        <f t="shared" si="3"/>
        <v>0</v>
      </c>
    </row>
    <row r="30" spans="1:26" x14ac:dyDescent="0.2">
      <c r="A30" t="s">
        <v>13</v>
      </c>
      <c r="B30" t="s">
        <v>269</v>
      </c>
      <c r="C30" t="s">
        <v>269</v>
      </c>
      <c r="D30" t="s">
        <v>270</v>
      </c>
      <c r="E30" t="s">
        <v>271</v>
      </c>
      <c r="F30" t="s">
        <v>272</v>
      </c>
      <c r="G30">
        <v>1994</v>
      </c>
      <c r="H30">
        <v>18</v>
      </c>
      <c r="I30">
        <v>5</v>
      </c>
      <c r="J30">
        <v>234</v>
      </c>
      <c r="K30">
        <v>254</v>
      </c>
      <c r="L30" t="s">
        <v>273</v>
      </c>
      <c r="M30" t="str">
        <f>HYPERLINK("http://dx.doi.org/10.1016/0307-904X(94)90332-8","http://dx.doi.org/10.1016/0307-904X(94)90332-8")</f>
        <v>http://dx.doi.org/10.1016/0307-904X(94)90332-8</v>
      </c>
      <c r="Y30">
        <v>1979</v>
      </c>
      <c r="Z30">
        <f t="shared" si="3"/>
        <v>0</v>
      </c>
    </row>
    <row r="31" spans="1:26" x14ac:dyDescent="0.2">
      <c r="A31" t="s">
        <v>13</v>
      </c>
      <c r="B31" t="s">
        <v>582</v>
      </c>
      <c r="C31" t="s">
        <v>582</v>
      </c>
      <c r="D31" t="s">
        <v>583</v>
      </c>
      <c r="E31" t="s">
        <v>130</v>
      </c>
      <c r="F31" t="s">
        <v>131</v>
      </c>
      <c r="G31">
        <v>1994</v>
      </c>
      <c r="H31">
        <v>45</v>
      </c>
      <c r="I31">
        <v>1</v>
      </c>
      <c r="J31">
        <v>55</v>
      </c>
      <c r="K31">
        <v>72</v>
      </c>
      <c r="L31" t="s">
        <v>584</v>
      </c>
      <c r="M31" t="str">
        <f>HYPERLINK("http://dx.doi.org/10.1016/S0308-521X(94)90280-1","http://dx.doi.org/10.1016/S0308-521X(94)90280-1")</f>
        <v>http://dx.doi.org/10.1016/S0308-521X(94)90280-1</v>
      </c>
      <c r="Y31">
        <v>1980</v>
      </c>
      <c r="Z31">
        <f t="shared" si="3"/>
        <v>2</v>
      </c>
    </row>
    <row r="32" spans="1:26" x14ac:dyDescent="0.2">
      <c r="A32" t="s">
        <v>13</v>
      </c>
      <c r="B32" t="s">
        <v>815</v>
      </c>
      <c r="C32" t="s">
        <v>815</v>
      </c>
      <c r="D32" t="s">
        <v>816</v>
      </c>
      <c r="E32" t="s">
        <v>68</v>
      </c>
      <c r="F32" t="s">
        <v>69</v>
      </c>
      <c r="G32">
        <v>1994</v>
      </c>
      <c r="H32">
        <v>36</v>
      </c>
      <c r="I32">
        <v>2</v>
      </c>
      <c r="J32">
        <v>117</v>
      </c>
      <c r="K32">
        <v>126</v>
      </c>
      <c r="L32" t="s">
        <v>15</v>
      </c>
      <c r="M32" t="s">
        <v>15</v>
      </c>
      <c r="Y32">
        <v>1981</v>
      </c>
      <c r="Z32">
        <f t="shared" si="3"/>
        <v>0</v>
      </c>
    </row>
    <row r="33" spans="1:26" x14ac:dyDescent="0.2">
      <c r="A33" t="s">
        <v>13</v>
      </c>
      <c r="B33" t="s">
        <v>1303</v>
      </c>
      <c r="C33" t="s">
        <v>1303</v>
      </c>
      <c r="D33" t="s">
        <v>1304</v>
      </c>
      <c r="E33" t="s">
        <v>73</v>
      </c>
      <c r="F33" t="s">
        <v>74</v>
      </c>
      <c r="G33">
        <v>1994</v>
      </c>
      <c r="H33">
        <v>53</v>
      </c>
      <c r="I33">
        <v>3</v>
      </c>
      <c r="J33">
        <v>301</v>
      </c>
      <c r="K33">
        <v>305</v>
      </c>
      <c r="L33" t="s">
        <v>1305</v>
      </c>
      <c r="M33" t="str">
        <f>HYPERLINK("http://dx.doi.org/10.1016/0038-092X(94)90636-X","http://dx.doi.org/10.1016/0038-092X(94)90636-X")</f>
        <v>http://dx.doi.org/10.1016/0038-092X(94)90636-X</v>
      </c>
      <c r="Y33">
        <v>1982</v>
      </c>
      <c r="Z33">
        <f t="shared" si="3"/>
        <v>0</v>
      </c>
    </row>
    <row r="34" spans="1:26" x14ac:dyDescent="0.2">
      <c r="A34" t="s">
        <v>13</v>
      </c>
      <c r="B34" t="s">
        <v>1343</v>
      </c>
      <c r="C34" t="s">
        <v>1343</v>
      </c>
      <c r="D34" t="s">
        <v>1344</v>
      </c>
      <c r="E34" t="s">
        <v>1300</v>
      </c>
      <c r="F34" t="s">
        <v>1301</v>
      </c>
      <c r="G34">
        <v>1994</v>
      </c>
      <c r="H34">
        <v>9</v>
      </c>
      <c r="I34" t="s">
        <v>1345</v>
      </c>
      <c r="J34">
        <v>195</v>
      </c>
      <c r="K34">
        <v>212</v>
      </c>
      <c r="L34" t="s">
        <v>15</v>
      </c>
      <c r="M34" t="s">
        <v>15</v>
      </c>
      <c r="Y34">
        <v>1983</v>
      </c>
      <c r="Z34">
        <f t="shared" si="3"/>
        <v>0</v>
      </c>
    </row>
    <row r="35" spans="1:26" x14ac:dyDescent="0.2">
      <c r="A35" t="s">
        <v>13</v>
      </c>
      <c r="B35" t="s">
        <v>76</v>
      </c>
      <c r="C35" t="s">
        <v>76</v>
      </c>
      <c r="D35" t="s">
        <v>310</v>
      </c>
      <c r="E35" t="s">
        <v>311</v>
      </c>
      <c r="F35" t="s">
        <v>312</v>
      </c>
      <c r="G35">
        <v>1995</v>
      </c>
      <c r="H35">
        <v>22</v>
      </c>
      <c r="I35" t="s">
        <v>313</v>
      </c>
      <c r="J35">
        <v>15</v>
      </c>
      <c r="K35">
        <v>25</v>
      </c>
      <c r="L35" t="s">
        <v>314</v>
      </c>
      <c r="M35" t="str">
        <f>HYPERLINK("http://dx.doi.org/10.1016/0895-7177(95)00176-3","http://dx.doi.org/10.1016/0895-7177(95)00176-3")</f>
        <v>http://dx.doi.org/10.1016/0895-7177(95)00176-3</v>
      </c>
      <c r="Y35">
        <v>1984</v>
      </c>
      <c r="Z35">
        <f t="shared" si="3"/>
        <v>1</v>
      </c>
    </row>
    <row r="36" spans="1:26" x14ac:dyDescent="0.2">
      <c r="A36" t="s">
        <v>13</v>
      </c>
      <c r="B36" t="s">
        <v>1326</v>
      </c>
      <c r="C36" t="s">
        <v>1326</v>
      </c>
      <c r="D36" t="s">
        <v>1327</v>
      </c>
      <c r="E36" t="s">
        <v>179</v>
      </c>
      <c r="F36" t="s">
        <v>180</v>
      </c>
      <c r="G36">
        <v>1995</v>
      </c>
      <c r="H36">
        <v>6</v>
      </c>
      <c r="I36">
        <v>8</v>
      </c>
      <c r="J36">
        <v>893</v>
      </c>
      <c r="K36">
        <v>900</v>
      </c>
      <c r="L36" t="s">
        <v>1328</v>
      </c>
      <c r="M36" t="str">
        <f>HYPERLINK("http://dx.doi.org/10.1016/0960-1481(95)00101-7","http://dx.doi.org/10.1016/0960-1481(95)00101-7")</f>
        <v>http://dx.doi.org/10.1016/0960-1481(95)00101-7</v>
      </c>
      <c r="Y36">
        <v>1985</v>
      </c>
      <c r="Z36">
        <f t="shared" si="3"/>
        <v>0</v>
      </c>
    </row>
    <row r="37" spans="1:26" x14ac:dyDescent="0.2">
      <c r="A37" t="s">
        <v>13</v>
      </c>
      <c r="B37" t="s">
        <v>1643</v>
      </c>
      <c r="C37" t="s">
        <v>1643</v>
      </c>
      <c r="D37" t="s">
        <v>1644</v>
      </c>
      <c r="E37" t="s">
        <v>690</v>
      </c>
      <c r="F37" t="s">
        <v>691</v>
      </c>
      <c r="G37">
        <v>1995</v>
      </c>
      <c r="H37">
        <v>60</v>
      </c>
      <c r="I37">
        <v>2</v>
      </c>
      <c r="J37">
        <v>117</v>
      </c>
      <c r="K37">
        <v>136</v>
      </c>
      <c r="L37" t="s">
        <v>1645</v>
      </c>
      <c r="M37" t="str">
        <f>HYPERLINK("http://dx.doi.org/10.1006/jaer.1995.1006","http://dx.doi.org/10.1006/jaer.1995.1006")</f>
        <v>http://dx.doi.org/10.1006/jaer.1995.1006</v>
      </c>
      <c r="Y37">
        <v>1986</v>
      </c>
      <c r="Z37">
        <f t="shared" si="3"/>
        <v>0</v>
      </c>
    </row>
    <row r="38" spans="1:26" x14ac:dyDescent="0.2">
      <c r="A38" t="s">
        <v>13</v>
      </c>
      <c r="B38" t="s">
        <v>1176</v>
      </c>
      <c r="C38" t="s">
        <v>1176</v>
      </c>
      <c r="D38" t="s">
        <v>1177</v>
      </c>
      <c r="E38" t="s">
        <v>460</v>
      </c>
      <c r="F38" t="s">
        <v>461</v>
      </c>
      <c r="G38">
        <v>1996</v>
      </c>
      <c r="H38">
        <v>101</v>
      </c>
      <c r="I38" t="s">
        <v>1178</v>
      </c>
      <c r="J38">
        <v>4595</v>
      </c>
      <c r="K38">
        <v>4622</v>
      </c>
      <c r="L38" t="s">
        <v>1179</v>
      </c>
      <c r="M38" t="str">
        <f>HYPERLINK("http://dx.doi.org/10.1029/95JE03567","http://dx.doi.org/10.1029/95JE03567")</f>
        <v>http://dx.doi.org/10.1029/95JE03567</v>
      </c>
      <c r="Y38">
        <v>1987</v>
      </c>
      <c r="Z38">
        <f t="shared" si="3"/>
        <v>0</v>
      </c>
    </row>
    <row r="39" spans="1:26" x14ac:dyDescent="0.2">
      <c r="A39" t="s">
        <v>13</v>
      </c>
      <c r="B39" t="s">
        <v>1285</v>
      </c>
      <c r="C39" t="s">
        <v>1285</v>
      </c>
      <c r="D39" t="s">
        <v>1286</v>
      </c>
      <c r="E39" t="s">
        <v>1287</v>
      </c>
      <c r="F39" t="s">
        <v>1288</v>
      </c>
      <c r="G39">
        <v>1996</v>
      </c>
      <c r="H39">
        <v>45</v>
      </c>
      <c r="I39">
        <v>2</v>
      </c>
      <c r="J39">
        <v>113</v>
      </c>
      <c r="K39">
        <v>122</v>
      </c>
      <c r="L39" t="s">
        <v>15</v>
      </c>
      <c r="M39" t="s">
        <v>15</v>
      </c>
      <c r="Y39">
        <v>1988</v>
      </c>
      <c r="Z39">
        <f t="shared" si="3"/>
        <v>1</v>
      </c>
    </row>
    <row r="40" spans="1:26" x14ac:dyDescent="0.2">
      <c r="A40" t="s">
        <v>13</v>
      </c>
      <c r="B40" t="s">
        <v>1508</v>
      </c>
      <c r="C40" t="s">
        <v>1508</v>
      </c>
      <c r="D40" t="s">
        <v>1509</v>
      </c>
      <c r="E40" t="s">
        <v>136</v>
      </c>
      <c r="F40" t="s">
        <v>137</v>
      </c>
      <c r="G40">
        <v>1996</v>
      </c>
      <c r="H40">
        <v>15</v>
      </c>
      <c r="I40">
        <v>1</v>
      </c>
      <c r="J40">
        <v>1</v>
      </c>
      <c r="K40">
        <v>13</v>
      </c>
      <c r="L40" t="s">
        <v>1510</v>
      </c>
      <c r="M40" t="str">
        <f>HYPERLINK("http://dx.doi.org/10.1016/0168-1699(95)00053-4","http://dx.doi.org/10.1016/0168-1699(95)00053-4")</f>
        <v>http://dx.doi.org/10.1016/0168-1699(95)00053-4</v>
      </c>
      <c r="Y40">
        <v>1989</v>
      </c>
      <c r="Z40">
        <f t="shared" si="3"/>
        <v>2</v>
      </c>
    </row>
    <row r="41" spans="1:26" x14ac:dyDescent="0.2">
      <c r="A41" t="s">
        <v>13</v>
      </c>
      <c r="B41" t="s">
        <v>1568</v>
      </c>
      <c r="C41" t="s">
        <v>1568</v>
      </c>
      <c r="D41" t="s">
        <v>1569</v>
      </c>
      <c r="E41" t="s">
        <v>1474</v>
      </c>
      <c r="F41" t="s">
        <v>1475</v>
      </c>
      <c r="G41">
        <v>1996</v>
      </c>
      <c r="H41">
        <v>17</v>
      </c>
      <c r="I41">
        <v>3</v>
      </c>
      <c r="J41">
        <v>157</v>
      </c>
      <c r="K41">
        <v>169</v>
      </c>
      <c r="L41" t="s">
        <v>1570</v>
      </c>
      <c r="M41" t="str">
        <f>HYPERLINK("http://dx.doi.org/10.1002/(SICI)1099-1514(199607/09)17:3&lt;157::AID-OCA570&gt;3.3.CO;2-O","http://dx.doi.org/10.1002/(SICI)1099-1514(199607/09)17:3&lt;157::AID-OCA570&gt;3.3.CO;2-O")</f>
        <v>http://dx.doi.org/10.1002/(SICI)1099-1514(199607/09)17:3&lt;157::AID-OCA570&gt;3.3.CO;2-O</v>
      </c>
      <c r="Y41">
        <v>1990</v>
      </c>
      <c r="Z41">
        <f t="shared" si="3"/>
        <v>4</v>
      </c>
    </row>
    <row r="42" spans="1:26" x14ac:dyDescent="0.2">
      <c r="A42" t="s">
        <v>13</v>
      </c>
      <c r="B42" t="s">
        <v>793</v>
      </c>
      <c r="C42" t="s">
        <v>793</v>
      </c>
      <c r="D42" t="s">
        <v>794</v>
      </c>
      <c r="E42" t="s">
        <v>690</v>
      </c>
      <c r="F42" t="s">
        <v>691</v>
      </c>
      <c r="G42">
        <v>1997</v>
      </c>
      <c r="H42">
        <v>68</v>
      </c>
      <c r="I42">
        <v>4</v>
      </c>
      <c r="J42">
        <v>355</v>
      </c>
      <c r="K42">
        <v>365</v>
      </c>
      <c r="L42" t="s">
        <v>795</v>
      </c>
      <c r="M42" t="str">
        <f>HYPERLINK("http://dx.doi.org/10.1006/jaer.1997.0212","http://dx.doi.org/10.1006/jaer.1997.0212")</f>
        <v>http://dx.doi.org/10.1006/jaer.1997.0212</v>
      </c>
      <c r="Y42">
        <v>1991</v>
      </c>
      <c r="Z42">
        <f t="shared" si="3"/>
        <v>5</v>
      </c>
    </row>
    <row r="43" spans="1:26" x14ac:dyDescent="0.2">
      <c r="A43" t="s">
        <v>13</v>
      </c>
      <c r="B43" t="s">
        <v>1401</v>
      </c>
      <c r="C43" t="s">
        <v>1401</v>
      </c>
      <c r="D43" t="s">
        <v>1402</v>
      </c>
      <c r="E43" t="s">
        <v>379</v>
      </c>
      <c r="F43" t="s">
        <v>380</v>
      </c>
      <c r="G43">
        <v>1997</v>
      </c>
      <c r="H43">
        <v>40</v>
      </c>
      <c r="I43">
        <v>1</v>
      </c>
      <c r="J43">
        <v>175</v>
      </c>
      <c r="K43">
        <v>184</v>
      </c>
      <c r="L43" t="s">
        <v>15</v>
      </c>
      <c r="M43" t="s">
        <v>15</v>
      </c>
      <c r="Y43">
        <v>1992</v>
      </c>
      <c r="Z43">
        <f t="shared" si="3"/>
        <v>4</v>
      </c>
    </row>
    <row r="44" spans="1:26" x14ac:dyDescent="0.2">
      <c r="A44" t="s">
        <v>13</v>
      </c>
      <c r="B44" t="s">
        <v>1460</v>
      </c>
      <c r="C44" t="s">
        <v>1460</v>
      </c>
      <c r="D44" t="s">
        <v>1461</v>
      </c>
      <c r="E44" t="s">
        <v>1462</v>
      </c>
      <c r="F44" t="s">
        <v>1463</v>
      </c>
      <c r="G44">
        <v>1997</v>
      </c>
      <c r="H44">
        <v>45</v>
      </c>
      <c r="I44">
        <v>1</v>
      </c>
      <c r="J44">
        <v>109</v>
      </c>
      <c r="K44">
        <v>125</v>
      </c>
      <c r="L44" t="s">
        <v>15</v>
      </c>
      <c r="M44" t="s">
        <v>15</v>
      </c>
      <c r="Y44">
        <v>1993</v>
      </c>
      <c r="Z44">
        <f t="shared" si="3"/>
        <v>4</v>
      </c>
    </row>
    <row r="45" spans="1:26" x14ac:dyDescent="0.2">
      <c r="A45" t="s">
        <v>13</v>
      </c>
      <c r="B45" t="s">
        <v>1527</v>
      </c>
      <c r="C45" t="s">
        <v>1527</v>
      </c>
      <c r="D45" t="s">
        <v>1528</v>
      </c>
      <c r="E45" t="s">
        <v>1474</v>
      </c>
      <c r="F45" t="s">
        <v>1475</v>
      </c>
      <c r="G45">
        <v>1997</v>
      </c>
      <c r="H45">
        <v>18</v>
      </c>
      <c r="I45">
        <v>6</v>
      </c>
      <c r="J45">
        <v>445</v>
      </c>
      <c r="K45">
        <v>452</v>
      </c>
      <c r="L45" t="s">
        <v>15</v>
      </c>
      <c r="M45" t="s">
        <v>15</v>
      </c>
      <c r="Y45">
        <v>1994</v>
      </c>
      <c r="Z45">
        <f t="shared" si="3"/>
        <v>5</v>
      </c>
    </row>
    <row r="46" spans="1:26" x14ac:dyDescent="0.2">
      <c r="A46" t="s">
        <v>13</v>
      </c>
      <c r="B46" t="s">
        <v>778</v>
      </c>
      <c r="C46" t="s">
        <v>778</v>
      </c>
      <c r="D46" t="s">
        <v>1553</v>
      </c>
      <c r="E46" t="s">
        <v>411</v>
      </c>
      <c r="F46" t="s">
        <v>412</v>
      </c>
      <c r="G46">
        <v>1997</v>
      </c>
      <c r="H46">
        <v>22</v>
      </c>
      <c r="I46">
        <v>6</v>
      </c>
      <c r="J46">
        <v>567</v>
      </c>
      <c r="K46">
        <v>578</v>
      </c>
      <c r="L46" t="s">
        <v>1554</v>
      </c>
      <c r="M46" t="str">
        <f>HYPERLINK("http://dx.doi.org/10.1016/S0360-5442(96)00141-7","http://dx.doi.org/10.1016/S0360-5442(96)00141-7")</f>
        <v>http://dx.doi.org/10.1016/S0360-5442(96)00141-7</v>
      </c>
      <c r="Y46">
        <v>1995</v>
      </c>
      <c r="Z46">
        <f t="shared" si="3"/>
        <v>3</v>
      </c>
    </row>
    <row r="47" spans="1:26" x14ac:dyDescent="0.2">
      <c r="A47" t="s">
        <v>13</v>
      </c>
      <c r="B47" t="s">
        <v>149</v>
      </c>
      <c r="C47" t="s">
        <v>149</v>
      </c>
      <c r="D47" t="s">
        <v>150</v>
      </c>
      <c r="E47" t="s">
        <v>136</v>
      </c>
      <c r="F47" t="s">
        <v>137</v>
      </c>
      <c r="G47">
        <v>1998</v>
      </c>
      <c r="H47">
        <v>19</v>
      </c>
      <c r="I47">
        <v>3</v>
      </c>
      <c r="J47">
        <v>289</v>
      </c>
      <c r="K47">
        <v>310</v>
      </c>
      <c r="L47" t="s">
        <v>151</v>
      </c>
      <c r="M47" t="str">
        <f>HYPERLINK("http://dx.doi.org/10.1016/S0168-1699(98)00008-8","http://dx.doi.org/10.1016/S0168-1699(98)00008-8")</f>
        <v>http://dx.doi.org/10.1016/S0168-1699(98)00008-8</v>
      </c>
      <c r="Y47">
        <v>1996</v>
      </c>
      <c r="Z47">
        <f t="shared" si="3"/>
        <v>4</v>
      </c>
    </row>
    <row r="48" spans="1:26" x14ac:dyDescent="0.2">
      <c r="A48" t="s">
        <v>13</v>
      </c>
      <c r="B48" t="s">
        <v>449</v>
      </c>
      <c r="C48" t="s">
        <v>449</v>
      </c>
      <c r="D48" t="s">
        <v>450</v>
      </c>
      <c r="E48" t="s">
        <v>189</v>
      </c>
      <c r="F48" t="s">
        <v>190</v>
      </c>
      <c r="G48">
        <v>1998</v>
      </c>
      <c r="H48">
        <v>6</v>
      </c>
      <c r="I48">
        <v>8</v>
      </c>
      <c r="J48">
        <v>947</v>
      </c>
      <c r="K48">
        <v>955</v>
      </c>
      <c r="L48" t="s">
        <v>451</v>
      </c>
      <c r="M48" t="str">
        <f>HYPERLINK("http://dx.doi.org/10.1016/S0967-0661(98)00071-9","http://dx.doi.org/10.1016/S0967-0661(98)00071-9")</f>
        <v>http://dx.doi.org/10.1016/S0967-0661(98)00071-9</v>
      </c>
      <c r="Y48">
        <v>1997</v>
      </c>
      <c r="Z48">
        <f t="shared" si="3"/>
        <v>5</v>
      </c>
    </row>
    <row r="49" spans="1:26" x14ac:dyDescent="0.2">
      <c r="A49" t="s">
        <v>13</v>
      </c>
      <c r="B49" t="s">
        <v>458</v>
      </c>
      <c r="C49" t="s">
        <v>458</v>
      </c>
      <c r="D49" t="s">
        <v>459</v>
      </c>
      <c r="E49" t="s">
        <v>460</v>
      </c>
      <c r="F49" t="s">
        <v>461</v>
      </c>
      <c r="G49">
        <v>1998</v>
      </c>
      <c r="H49">
        <v>103</v>
      </c>
      <c r="I49" t="s">
        <v>462</v>
      </c>
      <c r="J49">
        <v>28467</v>
      </c>
      <c r="K49">
        <v>28479</v>
      </c>
      <c r="L49" t="s">
        <v>463</v>
      </c>
      <c r="M49" t="str">
        <f>HYPERLINK("http://dx.doi.org/10.1029/98JE01396","http://dx.doi.org/10.1029/98JE01396")</f>
        <v>http://dx.doi.org/10.1029/98JE01396</v>
      </c>
      <c r="Y49">
        <v>1998</v>
      </c>
      <c r="Z49">
        <f t="shared" si="3"/>
        <v>10</v>
      </c>
    </row>
    <row r="50" spans="1:26" x14ac:dyDescent="0.2">
      <c r="A50" t="s">
        <v>13</v>
      </c>
      <c r="B50" t="s">
        <v>688</v>
      </c>
      <c r="C50" t="s">
        <v>688</v>
      </c>
      <c r="D50" t="s">
        <v>689</v>
      </c>
      <c r="E50" t="s">
        <v>690</v>
      </c>
      <c r="F50" t="s">
        <v>691</v>
      </c>
      <c r="G50">
        <v>1998</v>
      </c>
      <c r="H50">
        <v>71</v>
      </c>
      <c r="I50">
        <v>4</v>
      </c>
      <c r="J50">
        <v>331</v>
      </c>
      <c r="K50">
        <v>338</v>
      </c>
      <c r="L50" t="s">
        <v>692</v>
      </c>
      <c r="M50" t="str">
        <f>HYPERLINK("http://dx.doi.org/10.1006/jaer.1998.0331","http://dx.doi.org/10.1006/jaer.1998.0331")</f>
        <v>http://dx.doi.org/10.1006/jaer.1998.0331</v>
      </c>
      <c r="Y50">
        <v>1999</v>
      </c>
      <c r="Z50">
        <f t="shared" si="3"/>
        <v>4</v>
      </c>
    </row>
    <row r="51" spans="1:26" x14ac:dyDescent="0.2">
      <c r="A51" t="s">
        <v>13</v>
      </c>
      <c r="B51" t="s">
        <v>778</v>
      </c>
      <c r="C51" t="s">
        <v>778</v>
      </c>
      <c r="D51" t="s">
        <v>779</v>
      </c>
      <c r="E51" t="s">
        <v>258</v>
      </c>
      <c r="F51" t="s">
        <v>259</v>
      </c>
      <c r="G51">
        <v>1998</v>
      </c>
      <c r="H51">
        <v>39</v>
      </c>
      <c r="I51" t="s">
        <v>780</v>
      </c>
      <c r="J51">
        <v>349</v>
      </c>
      <c r="K51">
        <v>355</v>
      </c>
      <c r="L51" t="s">
        <v>781</v>
      </c>
      <c r="M51" t="str">
        <f>HYPERLINK("http://dx.doi.org/10.1016/S0196-8904(96)00196-3","http://dx.doi.org/10.1016/S0196-8904(96)00196-3")</f>
        <v>http://dx.doi.org/10.1016/S0196-8904(96)00196-3</v>
      </c>
      <c r="Y51">
        <v>2000</v>
      </c>
      <c r="Z51">
        <f t="shared" si="3"/>
        <v>7</v>
      </c>
    </row>
    <row r="52" spans="1:26" x14ac:dyDescent="0.2">
      <c r="A52" t="s">
        <v>13</v>
      </c>
      <c r="B52" t="s">
        <v>1083</v>
      </c>
      <c r="C52" t="s">
        <v>1083</v>
      </c>
      <c r="D52" t="s">
        <v>1084</v>
      </c>
      <c r="E52" t="s">
        <v>379</v>
      </c>
      <c r="F52" t="s">
        <v>380</v>
      </c>
      <c r="G52">
        <v>1998</v>
      </c>
      <c r="H52">
        <v>41</v>
      </c>
      <c r="I52">
        <v>3</v>
      </c>
      <c r="J52">
        <v>773</v>
      </c>
      <c r="K52">
        <v>781</v>
      </c>
      <c r="L52" t="s">
        <v>15</v>
      </c>
      <c r="M52" t="s">
        <v>15</v>
      </c>
      <c r="Y52">
        <v>2001</v>
      </c>
      <c r="Z52">
        <f t="shared" si="3"/>
        <v>1</v>
      </c>
    </row>
    <row r="53" spans="1:26" x14ac:dyDescent="0.2">
      <c r="A53" t="s">
        <v>13</v>
      </c>
      <c r="B53" t="s">
        <v>1317</v>
      </c>
      <c r="C53" t="s">
        <v>1317</v>
      </c>
      <c r="D53" t="s">
        <v>1318</v>
      </c>
      <c r="E53" t="s">
        <v>1319</v>
      </c>
      <c r="F53" t="s">
        <v>1320</v>
      </c>
      <c r="G53">
        <v>1998</v>
      </c>
      <c r="H53">
        <v>142</v>
      </c>
      <c r="I53" t="s">
        <v>780</v>
      </c>
      <c r="J53">
        <v>123</v>
      </c>
      <c r="K53">
        <v>138</v>
      </c>
      <c r="L53" t="s">
        <v>1321</v>
      </c>
      <c r="M53" t="str">
        <f>HYPERLINK("http://dx.doi.org/10.1016/S0031-0182(98)00061-3","http://dx.doi.org/10.1016/S0031-0182(98)00061-3")</f>
        <v>http://dx.doi.org/10.1016/S0031-0182(98)00061-3</v>
      </c>
      <c r="Y53">
        <v>2002</v>
      </c>
      <c r="Z53">
        <f t="shared" si="3"/>
        <v>10</v>
      </c>
    </row>
    <row r="54" spans="1:26" x14ac:dyDescent="0.2">
      <c r="A54" t="s">
        <v>13</v>
      </c>
      <c r="B54" t="s">
        <v>1485</v>
      </c>
      <c r="C54" t="s">
        <v>1485</v>
      </c>
      <c r="D54" t="s">
        <v>1486</v>
      </c>
      <c r="E54" t="s">
        <v>690</v>
      </c>
      <c r="F54" t="s">
        <v>691</v>
      </c>
      <c r="G54">
        <v>1998</v>
      </c>
      <c r="H54">
        <v>70</v>
      </c>
      <c r="I54">
        <v>2</v>
      </c>
      <c r="J54">
        <v>145</v>
      </c>
      <c r="K54">
        <v>155</v>
      </c>
      <c r="L54" t="s">
        <v>1487</v>
      </c>
      <c r="M54" t="str">
        <f>HYPERLINK("http://dx.doi.org/10.1006/jaer.1997.0261","http://dx.doi.org/10.1006/jaer.1997.0261")</f>
        <v>http://dx.doi.org/10.1006/jaer.1997.0261</v>
      </c>
      <c r="Y54">
        <v>2003</v>
      </c>
      <c r="Z54">
        <f t="shared" si="3"/>
        <v>8</v>
      </c>
    </row>
    <row r="55" spans="1:26" x14ac:dyDescent="0.2">
      <c r="A55" t="s">
        <v>13</v>
      </c>
      <c r="B55" t="s">
        <v>1660</v>
      </c>
      <c r="C55" t="s">
        <v>1660</v>
      </c>
      <c r="D55" t="s">
        <v>1661</v>
      </c>
      <c r="E55" t="s">
        <v>690</v>
      </c>
      <c r="F55" t="s">
        <v>691</v>
      </c>
      <c r="G55">
        <v>1998</v>
      </c>
      <c r="H55">
        <v>71</v>
      </c>
      <c r="I55">
        <v>3</v>
      </c>
      <c r="J55">
        <v>249</v>
      </c>
      <c r="K55">
        <v>256</v>
      </c>
      <c r="L55" t="s">
        <v>1662</v>
      </c>
      <c r="M55" t="str">
        <f>HYPERLINK("http://dx.doi.org/10.1006/jaer.1998.0322","http://dx.doi.org/10.1006/jaer.1998.0322")</f>
        <v>http://dx.doi.org/10.1006/jaer.1998.0322</v>
      </c>
      <c r="Y55">
        <v>2004</v>
      </c>
      <c r="Z55">
        <f t="shared" si="3"/>
        <v>10</v>
      </c>
    </row>
    <row r="56" spans="1:26" x14ac:dyDescent="0.2">
      <c r="A56" t="s">
        <v>13</v>
      </c>
      <c r="B56" t="s">
        <v>1188</v>
      </c>
      <c r="C56" t="s">
        <v>1188</v>
      </c>
      <c r="D56" t="s">
        <v>1700</v>
      </c>
      <c r="E56" t="s">
        <v>379</v>
      </c>
      <c r="F56" t="s">
        <v>380</v>
      </c>
      <c r="G56">
        <v>1998</v>
      </c>
      <c r="H56">
        <v>41</v>
      </c>
      <c r="I56">
        <v>4</v>
      </c>
      <c r="J56">
        <v>1139</v>
      </c>
      <c r="K56">
        <v>1149</v>
      </c>
      <c r="L56" t="s">
        <v>15</v>
      </c>
      <c r="M56" t="s">
        <v>15</v>
      </c>
      <c r="Y56">
        <v>2005</v>
      </c>
      <c r="Z56">
        <f t="shared" si="3"/>
        <v>9</v>
      </c>
    </row>
    <row r="57" spans="1:26" x14ac:dyDescent="0.2">
      <c r="A57" t="s">
        <v>13</v>
      </c>
      <c r="B57" t="s">
        <v>684</v>
      </c>
      <c r="C57" t="s">
        <v>684</v>
      </c>
      <c r="D57" t="s">
        <v>685</v>
      </c>
      <c r="E57" t="s">
        <v>460</v>
      </c>
      <c r="F57" t="s">
        <v>461</v>
      </c>
      <c r="G57">
        <v>1999</v>
      </c>
      <c r="H57">
        <v>104</v>
      </c>
      <c r="I57" t="s">
        <v>686</v>
      </c>
      <c r="J57">
        <v>21897</v>
      </c>
      <c r="K57">
        <v>21909</v>
      </c>
      <c r="L57" t="s">
        <v>687</v>
      </c>
      <c r="M57" t="str">
        <f>HYPERLINK("http://dx.doi.org/10.1029/1999JE001048","http://dx.doi.org/10.1029/1999JE001048")</f>
        <v>http://dx.doi.org/10.1029/1999JE001048</v>
      </c>
      <c r="Y57">
        <v>2006</v>
      </c>
      <c r="Z57">
        <f t="shared" si="3"/>
        <v>13</v>
      </c>
    </row>
    <row r="58" spans="1:26" x14ac:dyDescent="0.2">
      <c r="A58" t="s">
        <v>13</v>
      </c>
      <c r="B58" t="s">
        <v>693</v>
      </c>
      <c r="C58" t="s">
        <v>693</v>
      </c>
      <c r="D58" t="s">
        <v>694</v>
      </c>
      <c r="E58" t="s">
        <v>695</v>
      </c>
      <c r="F58" t="s">
        <v>696</v>
      </c>
      <c r="G58">
        <v>1999</v>
      </c>
      <c r="H58">
        <v>14</v>
      </c>
      <c r="I58">
        <v>4</v>
      </c>
      <c r="J58">
        <v>275</v>
      </c>
      <c r="K58">
        <v>282</v>
      </c>
      <c r="L58" t="s">
        <v>697</v>
      </c>
      <c r="M58" t="str">
        <f>HYPERLINK("http://dx.doi.org/10.1016/S1364-8152(98)00079-6","http://dx.doi.org/10.1016/S1364-8152(98)00079-6")</f>
        <v>http://dx.doi.org/10.1016/S1364-8152(98)00079-6</v>
      </c>
      <c r="Y58">
        <v>2007</v>
      </c>
      <c r="Z58">
        <f t="shared" si="3"/>
        <v>11</v>
      </c>
    </row>
    <row r="59" spans="1:26" x14ac:dyDescent="0.2">
      <c r="A59" t="s">
        <v>13</v>
      </c>
      <c r="B59" t="s">
        <v>698</v>
      </c>
      <c r="C59" t="s">
        <v>698</v>
      </c>
      <c r="D59" t="s">
        <v>699</v>
      </c>
      <c r="E59" t="s">
        <v>68</v>
      </c>
      <c r="F59" t="s">
        <v>69</v>
      </c>
      <c r="G59">
        <v>1999</v>
      </c>
      <c r="H59">
        <v>41</v>
      </c>
      <c r="I59">
        <v>3</v>
      </c>
      <c r="J59">
        <v>175</v>
      </c>
      <c r="K59">
        <v>183</v>
      </c>
      <c r="L59" t="s">
        <v>15</v>
      </c>
      <c r="M59" t="s">
        <v>15</v>
      </c>
      <c r="Y59">
        <v>2008</v>
      </c>
      <c r="Z59">
        <f t="shared" si="3"/>
        <v>6</v>
      </c>
    </row>
    <row r="60" spans="1:26" x14ac:dyDescent="0.2">
      <c r="A60" t="s">
        <v>13</v>
      </c>
      <c r="B60" t="s">
        <v>1712</v>
      </c>
      <c r="C60" t="s">
        <v>1712</v>
      </c>
      <c r="D60" t="s">
        <v>1713</v>
      </c>
      <c r="E60" t="s">
        <v>379</v>
      </c>
      <c r="F60" t="s">
        <v>380</v>
      </c>
      <c r="G60">
        <v>1999</v>
      </c>
      <c r="H60">
        <v>42</v>
      </c>
      <c r="I60">
        <v>1</v>
      </c>
      <c r="J60">
        <v>255</v>
      </c>
      <c r="K60">
        <v>265</v>
      </c>
      <c r="L60" t="s">
        <v>15</v>
      </c>
      <c r="M60" t="s">
        <v>15</v>
      </c>
      <c r="Y60">
        <v>2009</v>
      </c>
      <c r="Z60">
        <f t="shared" si="3"/>
        <v>12</v>
      </c>
    </row>
    <row r="61" spans="1:26" x14ac:dyDescent="0.2">
      <c r="A61" t="s">
        <v>13</v>
      </c>
      <c r="B61" t="s">
        <v>331</v>
      </c>
      <c r="C61" t="s">
        <v>331</v>
      </c>
      <c r="D61" t="s">
        <v>332</v>
      </c>
      <c r="E61" t="s">
        <v>333</v>
      </c>
      <c r="F61" t="s">
        <v>334</v>
      </c>
      <c r="G61">
        <v>2000</v>
      </c>
      <c r="H61">
        <v>138</v>
      </c>
      <c r="I61">
        <v>2</v>
      </c>
      <c r="J61">
        <v>167</v>
      </c>
      <c r="K61">
        <v>188</v>
      </c>
      <c r="L61" t="s">
        <v>15</v>
      </c>
      <c r="M61" t="s">
        <v>15</v>
      </c>
      <c r="Y61">
        <v>2010</v>
      </c>
      <c r="Z61">
        <f t="shared" si="3"/>
        <v>10</v>
      </c>
    </row>
    <row r="62" spans="1:26" x14ac:dyDescent="0.2">
      <c r="A62" t="s">
        <v>13</v>
      </c>
      <c r="B62" t="s">
        <v>424</v>
      </c>
      <c r="C62" t="s">
        <v>424</v>
      </c>
      <c r="D62" t="s">
        <v>425</v>
      </c>
      <c r="E62" t="s">
        <v>136</v>
      </c>
      <c r="F62" t="s">
        <v>137</v>
      </c>
      <c r="G62">
        <v>2000</v>
      </c>
      <c r="H62">
        <v>26</v>
      </c>
      <c r="I62">
        <v>3</v>
      </c>
      <c r="J62">
        <v>283</v>
      </c>
      <c r="K62">
        <v>302</v>
      </c>
      <c r="L62" t="s">
        <v>426</v>
      </c>
      <c r="M62" t="str">
        <f>HYPERLINK("http://dx.doi.org/10.1016/S0168-1699(00)00081-8","http://dx.doi.org/10.1016/S0168-1699(00)00081-8")</f>
        <v>http://dx.doi.org/10.1016/S0168-1699(00)00081-8</v>
      </c>
      <c r="Y62">
        <v>2011</v>
      </c>
      <c r="Z62">
        <f t="shared" si="3"/>
        <v>15</v>
      </c>
    </row>
    <row r="63" spans="1:26" x14ac:dyDescent="0.2">
      <c r="A63" t="s">
        <v>13</v>
      </c>
      <c r="B63" t="s">
        <v>1139</v>
      </c>
      <c r="C63" t="s">
        <v>1139</v>
      </c>
      <c r="D63" t="s">
        <v>1140</v>
      </c>
      <c r="E63" t="s">
        <v>379</v>
      </c>
      <c r="F63" t="s">
        <v>380</v>
      </c>
      <c r="G63">
        <v>2000</v>
      </c>
      <c r="H63">
        <v>43</v>
      </c>
      <c r="I63">
        <v>5</v>
      </c>
      <c r="J63">
        <v>1281</v>
      </c>
      <c r="K63">
        <v>1289</v>
      </c>
      <c r="L63" t="s">
        <v>15</v>
      </c>
      <c r="M63" t="s">
        <v>15</v>
      </c>
      <c r="Y63">
        <v>2012</v>
      </c>
      <c r="Z63">
        <f t="shared" si="3"/>
        <v>9</v>
      </c>
    </row>
    <row r="64" spans="1:26" x14ac:dyDescent="0.2">
      <c r="A64" t="s">
        <v>13</v>
      </c>
      <c r="B64" t="s">
        <v>1264</v>
      </c>
      <c r="C64" t="s">
        <v>1264</v>
      </c>
      <c r="D64" t="s">
        <v>1265</v>
      </c>
      <c r="E64" t="s">
        <v>179</v>
      </c>
      <c r="F64" t="s">
        <v>180</v>
      </c>
      <c r="G64">
        <v>2000</v>
      </c>
      <c r="H64">
        <v>20</v>
      </c>
      <c r="I64">
        <v>4</v>
      </c>
      <c r="J64">
        <v>415</v>
      </c>
      <c r="K64">
        <v>433</v>
      </c>
      <c r="L64" t="s">
        <v>1266</v>
      </c>
      <c r="M64" t="str">
        <f>HYPERLINK("http://dx.doi.org/10.1016/S0960-1481(99)00118-4","http://dx.doi.org/10.1016/S0960-1481(99)00118-4")</f>
        <v>http://dx.doi.org/10.1016/S0960-1481(99)00118-4</v>
      </c>
      <c r="Y64">
        <v>2013</v>
      </c>
      <c r="Z64">
        <f t="shared" si="3"/>
        <v>12</v>
      </c>
    </row>
    <row r="65" spans="1:26" x14ac:dyDescent="0.2">
      <c r="A65" t="s">
        <v>13</v>
      </c>
      <c r="B65" t="s">
        <v>1298</v>
      </c>
      <c r="C65" t="s">
        <v>1298</v>
      </c>
      <c r="D65" t="s">
        <v>1299</v>
      </c>
      <c r="E65" t="s">
        <v>1300</v>
      </c>
      <c r="F65" t="s">
        <v>1301</v>
      </c>
      <c r="G65">
        <v>2000</v>
      </c>
      <c r="H65">
        <v>16</v>
      </c>
      <c r="I65">
        <v>5</v>
      </c>
      <c r="J65">
        <v>355</v>
      </c>
      <c r="K65">
        <v>368</v>
      </c>
      <c r="L65" t="s">
        <v>1302</v>
      </c>
      <c r="M65" t="str">
        <f>HYPERLINK("http://dx.doi.org/10.1007/s003820050333","http://dx.doi.org/10.1007/s003820050333")</f>
        <v>http://dx.doi.org/10.1007/s003820050333</v>
      </c>
      <c r="Y65">
        <v>2014</v>
      </c>
      <c r="Z65">
        <f t="shared" si="3"/>
        <v>8</v>
      </c>
    </row>
    <row r="66" spans="1:26" x14ac:dyDescent="0.2">
      <c r="A66" t="s">
        <v>13</v>
      </c>
      <c r="B66" t="s">
        <v>1447</v>
      </c>
      <c r="C66" t="s">
        <v>1447</v>
      </c>
      <c r="D66" t="s">
        <v>1448</v>
      </c>
      <c r="E66" t="s">
        <v>1449</v>
      </c>
      <c r="F66" t="s">
        <v>1450</v>
      </c>
      <c r="G66">
        <v>2000</v>
      </c>
      <c r="H66">
        <v>36</v>
      </c>
      <c r="I66">
        <v>11</v>
      </c>
      <c r="J66">
        <v>1665</v>
      </c>
      <c r="K66">
        <v>1668</v>
      </c>
      <c r="L66" t="s">
        <v>1451</v>
      </c>
      <c r="M66" t="str">
        <f>HYPERLINK("http://dx.doi.org/10.1016/S0005-1098(00)00086-8","http://dx.doi.org/10.1016/S0005-1098(00)00086-8")</f>
        <v>http://dx.doi.org/10.1016/S0005-1098(00)00086-8</v>
      </c>
      <c r="Y66">
        <v>2015</v>
      </c>
      <c r="Z66">
        <f t="shared" si="3"/>
        <v>12</v>
      </c>
    </row>
    <row r="67" spans="1:26" x14ac:dyDescent="0.2">
      <c r="A67" t="s">
        <v>13</v>
      </c>
      <c r="B67" t="s">
        <v>1505</v>
      </c>
      <c r="C67" t="s">
        <v>1505</v>
      </c>
      <c r="D67" t="s">
        <v>1506</v>
      </c>
      <c r="E67" t="s">
        <v>136</v>
      </c>
      <c r="F67" t="s">
        <v>137</v>
      </c>
      <c r="G67">
        <v>2000</v>
      </c>
      <c r="H67">
        <v>26</v>
      </c>
      <c r="I67">
        <v>3</v>
      </c>
      <c r="J67">
        <v>221</v>
      </c>
      <c r="K67">
        <v>238</v>
      </c>
      <c r="L67" t="s">
        <v>1507</v>
      </c>
      <c r="M67" t="str">
        <f>HYPERLINK("http://dx.doi.org/10.1016/S0168-1699(00)00077-6","http://dx.doi.org/10.1016/S0168-1699(00)00077-6")</f>
        <v>http://dx.doi.org/10.1016/S0168-1699(00)00077-6</v>
      </c>
      <c r="Y67">
        <v>2016</v>
      </c>
      <c r="Z67">
        <f t="shared" si="3"/>
        <v>13</v>
      </c>
    </row>
    <row r="68" spans="1:26" x14ac:dyDescent="0.2">
      <c r="A68" t="s">
        <v>13</v>
      </c>
      <c r="B68" t="s">
        <v>1409</v>
      </c>
      <c r="C68" t="s">
        <v>1409</v>
      </c>
      <c r="D68" t="s">
        <v>1410</v>
      </c>
      <c r="E68" t="s">
        <v>1276</v>
      </c>
      <c r="F68" t="s">
        <v>1277</v>
      </c>
      <c r="G68">
        <v>2001</v>
      </c>
      <c r="H68">
        <v>14</v>
      </c>
      <c r="I68">
        <v>13</v>
      </c>
      <c r="J68">
        <v>3043</v>
      </c>
      <c r="K68">
        <v>3054</v>
      </c>
      <c r="L68" t="s">
        <v>1411</v>
      </c>
      <c r="M68" t="str">
        <f>HYPERLINK("http://dx.doi.org/10.1175/1520-0442(2001)014&lt;3043:IDATGS&gt;2.0.CO;2","http://dx.doi.org/10.1175/1520-0442(2001)014&lt;3043:IDATGS&gt;2.0.CO;2")</f>
        <v>http://dx.doi.org/10.1175/1520-0442(2001)014&lt;3043:IDATGS&gt;2.0.CO;2</v>
      </c>
      <c r="Y68">
        <v>2017</v>
      </c>
      <c r="Z68">
        <f t="shared" si="3"/>
        <v>13</v>
      </c>
    </row>
    <row r="69" spans="1:26" x14ac:dyDescent="0.2">
      <c r="A69" t="s">
        <v>13</v>
      </c>
      <c r="B69" t="s">
        <v>226</v>
      </c>
      <c r="C69" t="s">
        <v>226</v>
      </c>
      <c r="D69" t="s">
        <v>227</v>
      </c>
      <c r="E69" t="s">
        <v>228</v>
      </c>
      <c r="F69" t="s">
        <v>229</v>
      </c>
      <c r="G69">
        <v>2002</v>
      </c>
      <c r="H69">
        <v>72</v>
      </c>
      <c r="I69">
        <v>10</v>
      </c>
      <c r="J69">
        <v>586</v>
      </c>
      <c r="K69">
        <v>588</v>
      </c>
      <c r="L69" t="s">
        <v>15</v>
      </c>
      <c r="M69" t="s">
        <v>15</v>
      </c>
      <c r="Y69">
        <v>2018</v>
      </c>
      <c r="Z69">
        <f t="shared" si="3"/>
        <v>25</v>
      </c>
    </row>
    <row r="70" spans="1:26" x14ac:dyDescent="0.2">
      <c r="A70" t="s">
        <v>13</v>
      </c>
      <c r="B70" t="s">
        <v>681</v>
      </c>
      <c r="C70" t="s">
        <v>681</v>
      </c>
      <c r="D70" t="s">
        <v>682</v>
      </c>
      <c r="E70" t="s">
        <v>212</v>
      </c>
      <c r="F70" t="s">
        <v>213</v>
      </c>
      <c r="G70">
        <v>2002</v>
      </c>
      <c r="H70">
        <v>26</v>
      </c>
      <c r="I70">
        <v>3</v>
      </c>
      <c r="J70">
        <v>203</v>
      </c>
      <c r="K70">
        <v>215</v>
      </c>
      <c r="L70" t="s">
        <v>683</v>
      </c>
      <c r="M70" t="str">
        <f>HYPERLINK("http://dx.doi.org/10.1002/er.776","http://dx.doi.org/10.1002/er.776")</f>
        <v>http://dx.doi.org/10.1002/er.776</v>
      </c>
      <c r="Y70">
        <v>2019</v>
      </c>
      <c r="Z70">
        <f t="shared" si="3"/>
        <v>24</v>
      </c>
    </row>
    <row r="71" spans="1:26" x14ac:dyDescent="0.2">
      <c r="A71" t="s">
        <v>13</v>
      </c>
      <c r="B71" t="s">
        <v>947</v>
      </c>
      <c r="C71" t="s">
        <v>947</v>
      </c>
      <c r="D71" t="s">
        <v>948</v>
      </c>
      <c r="E71" t="s">
        <v>45</v>
      </c>
      <c r="F71" t="s">
        <v>46</v>
      </c>
      <c r="G71">
        <v>2002</v>
      </c>
      <c r="H71">
        <v>159</v>
      </c>
      <c r="I71">
        <v>1</v>
      </c>
      <c r="J71">
        <v>239</v>
      </c>
      <c r="K71">
        <v>258</v>
      </c>
      <c r="L71" t="s">
        <v>949</v>
      </c>
      <c r="M71" t="str">
        <f>HYPERLINK("http://dx.doi.org/10.1006/icar.2002.6912","http://dx.doi.org/10.1006/icar.2002.6912")</f>
        <v>http://dx.doi.org/10.1006/icar.2002.6912</v>
      </c>
      <c r="Y71">
        <v>2020</v>
      </c>
      <c r="Z71">
        <f t="shared" ref="Z71:Z76" si="4">COUNTIF(G:G,"="&amp;Y71)</f>
        <v>46</v>
      </c>
    </row>
    <row r="72" spans="1:26" x14ac:dyDescent="0.2">
      <c r="A72" t="s">
        <v>13</v>
      </c>
      <c r="B72" t="s">
        <v>1188</v>
      </c>
      <c r="C72" t="s">
        <v>1188</v>
      </c>
      <c r="D72" t="s">
        <v>1189</v>
      </c>
      <c r="E72" t="s">
        <v>104</v>
      </c>
      <c r="F72" t="s">
        <v>105</v>
      </c>
      <c r="G72">
        <v>2002</v>
      </c>
      <c r="H72">
        <v>83</v>
      </c>
      <c r="I72">
        <v>2</v>
      </c>
      <c r="J72">
        <v>199</v>
      </c>
      <c r="K72">
        <v>215</v>
      </c>
      <c r="L72" t="s">
        <v>1190</v>
      </c>
      <c r="M72" t="str">
        <f>HYPERLINK("http://dx.doi.org/10.1006/bioe.2002.0112","http://dx.doi.org/10.1006/bioe.2002.0112")</f>
        <v>http://dx.doi.org/10.1006/bioe.2002.0112</v>
      </c>
      <c r="Y72">
        <v>2021</v>
      </c>
      <c r="Z72">
        <f t="shared" si="4"/>
        <v>40</v>
      </c>
    </row>
    <row r="73" spans="1:26" x14ac:dyDescent="0.2">
      <c r="A73" t="s">
        <v>13</v>
      </c>
      <c r="B73" t="s">
        <v>1362</v>
      </c>
      <c r="C73" t="s">
        <v>1362</v>
      </c>
      <c r="D73" t="s">
        <v>1363</v>
      </c>
      <c r="E73" t="s">
        <v>1364</v>
      </c>
      <c r="F73" t="s">
        <v>1365</v>
      </c>
      <c r="G73">
        <v>2002</v>
      </c>
      <c r="H73">
        <v>14</v>
      </c>
      <c r="I73">
        <v>2</v>
      </c>
      <c r="J73">
        <v>165</v>
      </c>
      <c r="K73">
        <v>172</v>
      </c>
      <c r="L73" t="s">
        <v>15</v>
      </c>
      <c r="M73" t="s">
        <v>15</v>
      </c>
      <c r="Y73">
        <v>2022</v>
      </c>
      <c r="Z73">
        <f t="shared" si="4"/>
        <v>27</v>
      </c>
    </row>
    <row r="74" spans="1:26" x14ac:dyDescent="0.2">
      <c r="A74" t="s">
        <v>13</v>
      </c>
      <c r="B74" t="s">
        <v>1464</v>
      </c>
      <c r="C74" t="s">
        <v>1464</v>
      </c>
      <c r="D74" t="s">
        <v>1465</v>
      </c>
      <c r="E74" t="s">
        <v>104</v>
      </c>
      <c r="F74" t="s">
        <v>105</v>
      </c>
      <c r="G74">
        <v>2002</v>
      </c>
      <c r="H74">
        <v>83</v>
      </c>
      <c r="I74">
        <v>1</v>
      </c>
      <c r="J74">
        <v>127</v>
      </c>
      <c r="K74">
        <v>127</v>
      </c>
      <c r="L74" t="s">
        <v>1466</v>
      </c>
      <c r="M74" t="str">
        <f>HYPERLINK("http://dx.doi.org/10.1006/bioe.2001.0108","http://dx.doi.org/10.1006/bioe.2001.0108")</f>
        <v>http://dx.doi.org/10.1006/bioe.2001.0108</v>
      </c>
      <c r="Y74">
        <v>2023</v>
      </c>
      <c r="Z74">
        <f t="shared" si="4"/>
        <v>10</v>
      </c>
    </row>
    <row r="75" spans="1:26" x14ac:dyDescent="0.2">
      <c r="A75" t="s">
        <v>13</v>
      </c>
      <c r="B75" t="s">
        <v>1503</v>
      </c>
      <c r="C75" t="s">
        <v>1503</v>
      </c>
      <c r="D75" t="s">
        <v>1504</v>
      </c>
      <c r="E75" t="s">
        <v>189</v>
      </c>
      <c r="F75" t="s">
        <v>190</v>
      </c>
      <c r="G75">
        <v>2002</v>
      </c>
      <c r="H75">
        <v>10</v>
      </c>
      <c r="I75">
        <v>6</v>
      </c>
      <c r="J75">
        <v>625</v>
      </c>
      <c r="K75">
        <v>632</v>
      </c>
      <c r="L75" t="s">
        <v>15</v>
      </c>
      <c r="M75" t="s">
        <v>15</v>
      </c>
      <c r="Y75">
        <v>2024</v>
      </c>
      <c r="Z75">
        <f t="shared" si="4"/>
        <v>0</v>
      </c>
    </row>
    <row r="76" spans="1:26" x14ac:dyDescent="0.2">
      <c r="A76" t="s">
        <v>13</v>
      </c>
      <c r="B76" t="s">
        <v>1464</v>
      </c>
      <c r="C76" t="s">
        <v>1464</v>
      </c>
      <c r="D76" t="s">
        <v>1517</v>
      </c>
      <c r="E76" t="s">
        <v>104</v>
      </c>
      <c r="F76" t="s">
        <v>105</v>
      </c>
      <c r="G76">
        <v>2002</v>
      </c>
      <c r="H76">
        <v>81</v>
      </c>
      <c r="I76">
        <v>4</v>
      </c>
      <c r="J76">
        <v>421</v>
      </c>
      <c r="K76">
        <v>431</v>
      </c>
      <c r="L76" t="s">
        <v>1518</v>
      </c>
      <c r="M76" t="str">
        <f>HYPERLINK("http://dx.doi.org/10.1006/bioe.2001.0039","http://dx.doi.org/10.1006/bioe.2001.0039")</f>
        <v>http://dx.doi.org/10.1006/bioe.2001.0039</v>
      </c>
      <c r="Y76">
        <v>2025</v>
      </c>
      <c r="Z76">
        <f t="shared" si="4"/>
        <v>0</v>
      </c>
    </row>
    <row r="77" spans="1:26" x14ac:dyDescent="0.2">
      <c r="A77" t="s">
        <v>13</v>
      </c>
      <c r="B77" t="s">
        <v>1464</v>
      </c>
      <c r="C77" t="s">
        <v>1464</v>
      </c>
      <c r="D77" t="s">
        <v>1539</v>
      </c>
      <c r="E77" t="s">
        <v>104</v>
      </c>
      <c r="F77" t="s">
        <v>105</v>
      </c>
      <c r="G77">
        <v>2002</v>
      </c>
      <c r="H77">
        <v>81</v>
      </c>
      <c r="I77">
        <v>3</v>
      </c>
      <c r="J77">
        <v>323</v>
      </c>
      <c r="K77">
        <v>332</v>
      </c>
      <c r="L77" t="s">
        <v>1540</v>
      </c>
      <c r="M77" t="str">
        <f>HYPERLINK("http://dx.doi.org/10.1006/bioe.2001.0020","http://dx.doi.org/10.1006/bioe.2001.0020")</f>
        <v>http://dx.doi.org/10.1006/bioe.2001.0020</v>
      </c>
    </row>
    <row r="78" spans="1:26" x14ac:dyDescent="0.2">
      <c r="A78" t="s">
        <v>13</v>
      </c>
      <c r="B78" t="s">
        <v>1541</v>
      </c>
      <c r="C78" t="s">
        <v>1541</v>
      </c>
      <c r="D78" t="s">
        <v>1542</v>
      </c>
      <c r="E78" t="s">
        <v>1543</v>
      </c>
      <c r="F78" t="s">
        <v>1544</v>
      </c>
      <c r="G78">
        <v>2002</v>
      </c>
      <c r="H78" t="s">
        <v>15</v>
      </c>
      <c r="I78" t="s">
        <v>15</v>
      </c>
      <c r="J78">
        <v>917</v>
      </c>
      <c r="K78">
        <v>923</v>
      </c>
      <c r="L78" t="s">
        <v>15</v>
      </c>
      <c r="M78" t="s">
        <v>15</v>
      </c>
    </row>
    <row r="79" spans="1:26" x14ac:dyDescent="0.2">
      <c r="A79" t="s">
        <v>13</v>
      </c>
      <c r="B79" t="s">
        <v>215</v>
      </c>
      <c r="C79" t="s">
        <v>215</v>
      </c>
      <c r="D79" t="s">
        <v>216</v>
      </c>
      <c r="E79" t="s">
        <v>217</v>
      </c>
      <c r="F79" t="s">
        <v>218</v>
      </c>
      <c r="G79">
        <v>2003</v>
      </c>
      <c r="H79">
        <v>151</v>
      </c>
      <c r="I79">
        <v>3</v>
      </c>
      <c r="J79">
        <v>293</v>
      </c>
      <c r="K79">
        <v>308</v>
      </c>
      <c r="L79" t="s">
        <v>219</v>
      </c>
      <c r="M79" t="str">
        <f>HYPERLINK("http://dx.doi.org/10.1016/S0011-9164(02)01022-6","http://dx.doi.org/10.1016/S0011-9164(02)01022-6")</f>
        <v>http://dx.doi.org/10.1016/S0011-9164(02)01022-6</v>
      </c>
    </row>
    <row r="80" spans="1:26" x14ac:dyDescent="0.2">
      <c r="A80" t="s">
        <v>13</v>
      </c>
      <c r="B80" t="s">
        <v>377</v>
      </c>
      <c r="C80" t="s">
        <v>377</v>
      </c>
      <c r="D80" t="s">
        <v>378</v>
      </c>
      <c r="E80" t="s">
        <v>379</v>
      </c>
      <c r="F80" t="s">
        <v>380</v>
      </c>
      <c r="G80">
        <v>2003</v>
      </c>
      <c r="H80">
        <v>46</v>
      </c>
      <c r="I80">
        <v>3</v>
      </c>
      <c r="J80">
        <v>763</v>
      </c>
      <c r="K80">
        <v>772</v>
      </c>
      <c r="L80" t="s">
        <v>15</v>
      </c>
      <c r="M80" t="s">
        <v>15</v>
      </c>
    </row>
    <row r="81" spans="1:13" x14ac:dyDescent="0.2">
      <c r="A81" t="s">
        <v>13</v>
      </c>
      <c r="B81" t="s">
        <v>511</v>
      </c>
      <c r="C81" t="s">
        <v>511</v>
      </c>
      <c r="D81" t="s">
        <v>512</v>
      </c>
      <c r="E81" t="s">
        <v>379</v>
      </c>
      <c r="F81" t="s">
        <v>380</v>
      </c>
      <c r="G81">
        <v>2003</v>
      </c>
      <c r="H81">
        <v>46</v>
      </c>
      <c r="I81">
        <v>4</v>
      </c>
      <c r="J81">
        <v>1215</v>
      </c>
      <c r="K81">
        <v>1221</v>
      </c>
      <c r="L81" t="s">
        <v>15</v>
      </c>
      <c r="M81" t="s">
        <v>15</v>
      </c>
    </row>
    <row r="82" spans="1:13" x14ac:dyDescent="0.2">
      <c r="A82" t="s">
        <v>13</v>
      </c>
      <c r="B82" t="s">
        <v>521</v>
      </c>
      <c r="C82" t="s">
        <v>521</v>
      </c>
      <c r="D82" t="s">
        <v>522</v>
      </c>
      <c r="E82" t="s">
        <v>212</v>
      </c>
      <c r="F82" t="s">
        <v>213</v>
      </c>
      <c r="G82">
        <v>2003</v>
      </c>
      <c r="H82">
        <v>27</v>
      </c>
      <c r="I82">
        <v>1</v>
      </c>
      <c r="J82">
        <v>79</v>
      </c>
      <c r="K82">
        <v>92</v>
      </c>
      <c r="L82" t="s">
        <v>523</v>
      </c>
      <c r="M82" t="str">
        <f>HYPERLINK("http://dx.doi.org/10.1002/er.855","http://dx.doi.org/10.1002/er.855")</f>
        <v>http://dx.doi.org/10.1002/er.855</v>
      </c>
    </row>
    <row r="83" spans="1:13" x14ac:dyDescent="0.2">
      <c r="A83" t="s">
        <v>13</v>
      </c>
      <c r="B83" t="s">
        <v>215</v>
      </c>
      <c r="C83" t="s">
        <v>215</v>
      </c>
      <c r="D83" t="s">
        <v>635</v>
      </c>
      <c r="E83" t="s">
        <v>297</v>
      </c>
      <c r="F83" t="s">
        <v>298</v>
      </c>
      <c r="G83">
        <v>2003</v>
      </c>
      <c r="H83">
        <v>35</v>
      </c>
      <c r="I83">
        <v>8</v>
      </c>
      <c r="J83">
        <v>843</v>
      </c>
      <c r="K83">
        <v>850</v>
      </c>
      <c r="L83" t="s">
        <v>636</v>
      </c>
      <c r="M83" t="str">
        <f>HYPERLINK("http://dx.doi.org/10.1016/S0378-7788(02)00242-6","http://dx.doi.org/10.1016/S0378-7788(02)00242-6")</f>
        <v>http://dx.doi.org/10.1016/S0378-7788(02)00242-6</v>
      </c>
    </row>
    <row r="84" spans="1:13" x14ac:dyDescent="0.2">
      <c r="A84" t="s">
        <v>13</v>
      </c>
      <c r="B84" t="s">
        <v>1359</v>
      </c>
      <c r="C84" t="s">
        <v>1359</v>
      </c>
      <c r="D84" t="s">
        <v>1360</v>
      </c>
      <c r="E84" t="s">
        <v>1276</v>
      </c>
      <c r="F84" t="s">
        <v>1277</v>
      </c>
      <c r="G84">
        <v>2003</v>
      </c>
      <c r="H84">
        <v>16</v>
      </c>
      <c r="I84">
        <v>10</v>
      </c>
      <c r="J84">
        <v>1525</v>
      </c>
      <c r="K84">
        <v>1538</v>
      </c>
      <c r="L84" t="s">
        <v>1361</v>
      </c>
      <c r="M84" t="str">
        <f>HYPERLINK("http://dx.doi.org/10.1175/1520-0442-16.10.1525","http://dx.doi.org/10.1175/1520-0442-16.10.1525")</f>
        <v>http://dx.doi.org/10.1175/1520-0442-16.10.1525</v>
      </c>
    </row>
    <row r="85" spans="1:13" x14ac:dyDescent="0.2">
      <c r="A85" t="s">
        <v>13</v>
      </c>
      <c r="B85" t="s">
        <v>1412</v>
      </c>
      <c r="C85" t="s">
        <v>1412</v>
      </c>
      <c r="D85" t="s">
        <v>1413</v>
      </c>
      <c r="E85" t="s">
        <v>136</v>
      </c>
      <c r="F85" t="s">
        <v>137</v>
      </c>
      <c r="G85">
        <v>2003</v>
      </c>
      <c r="H85">
        <v>39</v>
      </c>
      <c r="I85">
        <v>1</v>
      </c>
      <c r="J85">
        <v>39</v>
      </c>
      <c r="K85">
        <v>59</v>
      </c>
      <c r="L85" t="s">
        <v>1414</v>
      </c>
      <c r="M85" t="str">
        <f>HYPERLINK("http://dx.doi.org/10.1016/S0168-1699(03)00006-1","http://dx.doi.org/10.1016/S0168-1699(03)00006-1")</f>
        <v>http://dx.doi.org/10.1016/S0168-1699(03)00006-1</v>
      </c>
    </row>
    <row r="86" spans="1:13" x14ac:dyDescent="0.2">
      <c r="A86" t="s">
        <v>13</v>
      </c>
      <c r="B86" t="s">
        <v>1494</v>
      </c>
      <c r="C86" t="s">
        <v>1494</v>
      </c>
      <c r="D86" t="s">
        <v>1495</v>
      </c>
      <c r="E86" t="s">
        <v>104</v>
      </c>
      <c r="F86" t="s">
        <v>105</v>
      </c>
      <c r="G86">
        <v>2003</v>
      </c>
      <c r="H86">
        <v>85</v>
      </c>
      <c r="I86">
        <v>3</v>
      </c>
      <c r="J86">
        <v>355</v>
      </c>
      <c r="K86">
        <v>364</v>
      </c>
      <c r="L86" t="s">
        <v>1496</v>
      </c>
      <c r="M86" t="str">
        <f>HYPERLINK("http://dx.doi.org/10.1016/S1537-5110(03)00068-0","http://dx.doi.org/10.1016/S1537-5110(03)00068-0")</f>
        <v>http://dx.doi.org/10.1016/S1537-5110(03)00068-0</v>
      </c>
    </row>
    <row r="87" spans="1:13" x14ac:dyDescent="0.2">
      <c r="A87" t="s">
        <v>13</v>
      </c>
      <c r="B87" t="s">
        <v>256</v>
      </c>
      <c r="C87" t="s">
        <v>256</v>
      </c>
      <c r="D87" t="s">
        <v>257</v>
      </c>
      <c r="E87" t="s">
        <v>258</v>
      </c>
      <c r="F87" t="s">
        <v>259</v>
      </c>
      <c r="G87">
        <v>2004</v>
      </c>
      <c r="H87">
        <v>45</v>
      </c>
      <c r="I87">
        <v>17</v>
      </c>
      <c r="J87">
        <v>2777</v>
      </c>
      <c r="K87">
        <v>2793</v>
      </c>
      <c r="L87" t="s">
        <v>260</v>
      </c>
      <c r="M87" t="str">
        <f>HYPERLINK("http://dx.doi.org/10.1016/j.enconman.2003.12.011","http://dx.doi.org/10.1016/j.enconman.2003.12.011")</f>
        <v>http://dx.doi.org/10.1016/j.enconman.2003.12.011</v>
      </c>
    </row>
    <row r="88" spans="1:13" x14ac:dyDescent="0.2">
      <c r="A88" t="s">
        <v>13</v>
      </c>
      <c r="B88" t="s">
        <v>513</v>
      </c>
      <c r="C88" t="s">
        <v>513</v>
      </c>
      <c r="D88" t="s">
        <v>514</v>
      </c>
      <c r="E88" t="s">
        <v>212</v>
      </c>
      <c r="F88" t="s">
        <v>213</v>
      </c>
      <c r="G88">
        <v>2004</v>
      </c>
      <c r="H88">
        <v>28</v>
      </c>
      <c r="I88">
        <v>1</v>
      </c>
      <c r="J88">
        <v>45</v>
      </c>
      <c r="K88">
        <v>63</v>
      </c>
      <c r="L88" t="s">
        <v>515</v>
      </c>
      <c r="M88" t="str">
        <f>HYPERLINK("http://dx.doi.org/10.1002/er.950","http://dx.doi.org/10.1002/er.950")</f>
        <v>http://dx.doi.org/10.1002/er.950</v>
      </c>
    </row>
    <row r="89" spans="1:13" x14ac:dyDescent="0.2">
      <c r="A89" t="s">
        <v>13</v>
      </c>
      <c r="B89" t="s">
        <v>545</v>
      </c>
      <c r="C89" t="s">
        <v>545</v>
      </c>
      <c r="D89" t="s">
        <v>546</v>
      </c>
      <c r="E89" t="s">
        <v>405</v>
      </c>
      <c r="F89" t="s">
        <v>406</v>
      </c>
      <c r="G89">
        <v>2004</v>
      </c>
      <c r="H89">
        <v>127</v>
      </c>
      <c r="I89" t="s">
        <v>397</v>
      </c>
      <c r="J89">
        <v>35</v>
      </c>
      <c r="K89">
        <v>51</v>
      </c>
      <c r="L89" t="s">
        <v>547</v>
      </c>
      <c r="M89" t="str">
        <f>HYPERLINK("http://dx.doi.org/10.1016/j.agrformet.2004.08.002","http://dx.doi.org/10.1016/j.agrformet.2004.08.002")</f>
        <v>http://dx.doi.org/10.1016/j.agrformet.2004.08.002</v>
      </c>
    </row>
    <row r="90" spans="1:13" x14ac:dyDescent="0.2">
      <c r="A90" t="s">
        <v>13</v>
      </c>
      <c r="B90" t="s">
        <v>215</v>
      </c>
      <c r="C90" t="s">
        <v>215</v>
      </c>
      <c r="D90" t="s">
        <v>558</v>
      </c>
      <c r="E90" t="s">
        <v>297</v>
      </c>
      <c r="F90" t="s">
        <v>298</v>
      </c>
      <c r="G90">
        <v>2004</v>
      </c>
      <c r="H90">
        <v>36</v>
      </c>
      <c r="I90">
        <v>3</v>
      </c>
      <c r="J90">
        <v>219</v>
      </c>
      <c r="K90">
        <v>227</v>
      </c>
      <c r="L90" t="s">
        <v>559</v>
      </c>
      <c r="M90" t="str">
        <f>HYPERLINK("http://dx.doi.org/10.1016/j.enbuild.2003.10.006","http://dx.doi.org/10.1016/j.enbuild.2003.10.006")</f>
        <v>http://dx.doi.org/10.1016/j.enbuild.2003.10.006</v>
      </c>
    </row>
    <row r="91" spans="1:13" x14ac:dyDescent="0.2">
      <c r="A91" t="s">
        <v>13</v>
      </c>
      <c r="B91" t="s">
        <v>649</v>
      </c>
      <c r="C91" t="s">
        <v>649</v>
      </c>
      <c r="D91" t="s">
        <v>650</v>
      </c>
      <c r="E91" t="s">
        <v>73</v>
      </c>
      <c r="F91" t="s">
        <v>74</v>
      </c>
      <c r="G91">
        <v>2004</v>
      </c>
      <c r="H91">
        <v>76</v>
      </c>
      <c r="I91" t="s">
        <v>651</v>
      </c>
      <c r="J91">
        <v>85</v>
      </c>
      <c r="K91">
        <v>91</v>
      </c>
      <c r="L91" t="s">
        <v>652</v>
      </c>
      <c r="M91" t="str">
        <f>HYPERLINK("http://dx.doi.org/10.1016/j.solener.2003.07.034","http://dx.doi.org/10.1016/j.solener.2003.07.034")</f>
        <v>http://dx.doi.org/10.1016/j.solener.2003.07.034</v>
      </c>
    </row>
    <row r="92" spans="1:13" x14ac:dyDescent="0.2">
      <c r="A92" t="s">
        <v>13</v>
      </c>
      <c r="B92" t="s">
        <v>659</v>
      </c>
      <c r="C92" t="s">
        <v>659</v>
      </c>
      <c r="D92" t="s">
        <v>660</v>
      </c>
      <c r="E92" t="s">
        <v>472</v>
      </c>
      <c r="F92" t="s">
        <v>473</v>
      </c>
      <c r="G92">
        <v>2004</v>
      </c>
      <c r="H92">
        <v>77</v>
      </c>
      <c r="I92">
        <v>4</v>
      </c>
      <c r="J92">
        <v>355</v>
      </c>
      <c r="K92">
        <v>373</v>
      </c>
      <c r="L92" t="s">
        <v>661</v>
      </c>
      <c r="M92" t="str">
        <f>HYPERLINK("http://dx.doi.org/10.1016/S0306-2619(03)00157-0","http://dx.doi.org/10.1016/S0306-2619(03)00157-0")</f>
        <v>http://dx.doi.org/10.1016/S0306-2619(03)00157-0</v>
      </c>
    </row>
    <row r="93" spans="1:13" x14ac:dyDescent="0.2">
      <c r="A93" t="s">
        <v>13</v>
      </c>
      <c r="B93" t="s">
        <v>366</v>
      </c>
      <c r="C93" t="s">
        <v>366</v>
      </c>
      <c r="D93" t="s">
        <v>897</v>
      </c>
      <c r="E93" t="s">
        <v>73</v>
      </c>
      <c r="F93" t="s">
        <v>74</v>
      </c>
      <c r="G93">
        <v>2004</v>
      </c>
      <c r="H93">
        <v>76</v>
      </c>
      <c r="I93">
        <v>5</v>
      </c>
      <c r="J93">
        <v>603</v>
      </c>
      <c r="K93">
        <v>613</v>
      </c>
      <c r="L93" t="s">
        <v>898</v>
      </c>
      <c r="M93" t="str">
        <f>HYPERLINK("http://dx.doi.org/10.1016/j.solener.2003.12.004","http://dx.doi.org/10.1016/j.solener.2003.12.004")</f>
        <v>http://dx.doi.org/10.1016/j.solener.2003.12.004</v>
      </c>
    </row>
    <row r="94" spans="1:13" x14ac:dyDescent="0.2">
      <c r="A94" t="s">
        <v>13</v>
      </c>
      <c r="B94" t="s">
        <v>1104</v>
      </c>
      <c r="C94" t="s">
        <v>1104</v>
      </c>
      <c r="D94" t="s">
        <v>1105</v>
      </c>
      <c r="E94" t="s">
        <v>379</v>
      </c>
      <c r="F94" t="s">
        <v>380</v>
      </c>
      <c r="G94">
        <v>2004</v>
      </c>
      <c r="H94">
        <v>47</v>
      </c>
      <c r="I94">
        <v>2</v>
      </c>
      <c r="J94">
        <v>575</v>
      </c>
      <c r="K94">
        <v>584</v>
      </c>
      <c r="L94" t="s">
        <v>15</v>
      </c>
      <c r="M94" t="s">
        <v>15</v>
      </c>
    </row>
    <row r="95" spans="1:13" x14ac:dyDescent="0.2">
      <c r="A95" t="s">
        <v>13</v>
      </c>
      <c r="B95" t="s">
        <v>1157</v>
      </c>
      <c r="C95" t="s">
        <v>1157</v>
      </c>
      <c r="D95" t="s">
        <v>1158</v>
      </c>
      <c r="E95" t="s">
        <v>1159</v>
      </c>
      <c r="F95" t="s">
        <v>1160</v>
      </c>
      <c r="G95">
        <v>2004</v>
      </c>
      <c r="H95">
        <v>13</v>
      </c>
      <c r="I95">
        <v>1</v>
      </c>
      <c r="J95">
        <v>21</v>
      </c>
      <c r="K95">
        <v>28</v>
      </c>
      <c r="L95" t="s">
        <v>1161</v>
      </c>
      <c r="M95" t="str">
        <f>HYPERLINK("http://dx.doi.org/10.1023/B:TRAG.0000017156.78152.08","http://dx.doi.org/10.1023/B:TRAG.0000017156.78152.08")</f>
        <v>http://dx.doi.org/10.1023/B:TRAG.0000017156.78152.08</v>
      </c>
    </row>
    <row r="96" spans="1:13" x14ac:dyDescent="0.2">
      <c r="A96" t="s">
        <v>13</v>
      </c>
      <c r="B96" t="s">
        <v>1437</v>
      </c>
      <c r="C96" t="s">
        <v>1437</v>
      </c>
      <c r="D96" t="s">
        <v>1438</v>
      </c>
      <c r="E96" t="s">
        <v>1439</v>
      </c>
      <c r="F96" t="s">
        <v>1440</v>
      </c>
      <c r="G96">
        <v>2004</v>
      </c>
      <c r="H96">
        <v>65</v>
      </c>
      <c r="I96" t="s">
        <v>397</v>
      </c>
      <c r="J96">
        <v>117</v>
      </c>
      <c r="K96">
        <v>126</v>
      </c>
      <c r="L96" t="s">
        <v>1441</v>
      </c>
      <c r="M96" t="str">
        <f>HYPERLINK("http://dx.doi.org/10.1016/j.matcom.2003.09.020","http://dx.doi.org/10.1016/j.matcom.2003.09.020")</f>
        <v>http://dx.doi.org/10.1016/j.matcom.2003.09.020</v>
      </c>
    </row>
    <row r="97" spans="1:13" x14ac:dyDescent="0.2">
      <c r="A97" t="s">
        <v>13</v>
      </c>
      <c r="B97" t="s">
        <v>366</v>
      </c>
      <c r="C97" t="s">
        <v>366</v>
      </c>
      <c r="D97" t="s">
        <v>367</v>
      </c>
      <c r="E97" t="s">
        <v>212</v>
      </c>
      <c r="F97" t="s">
        <v>213</v>
      </c>
      <c r="G97">
        <v>2005</v>
      </c>
      <c r="H97">
        <v>29</v>
      </c>
      <c r="I97">
        <v>11</v>
      </c>
      <c r="J97">
        <v>991</v>
      </c>
      <c r="K97">
        <v>1005</v>
      </c>
      <c r="L97" t="s">
        <v>368</v>
      </c>
      <c r="M97" t="str">
        <f>HYPERLINK("http://dx.doi.org/10.1002/er.1106","http://dx.doi.org/10.1002/er.1106")</f>
        <v>http://dx.doi.org/10.1002/er.1106</v>
      </c>
    </row>
    <row r="98" spans="1:13" x14ac:dyDescent="0.2">
      <c r="A98" t="s">
        <v>13</v>
      </c>
      <c r="B98" t="s">
        <v>833</v>
      </c>
      <c r="C98" t="s">
        <v>833</v>
      </c>
      <c r="D98" t="s">
        <v>834</v>
      </c>
      <c r="E98" t="s">
        <v>835</v>
      </c>
      <c r="F98" t="s">
        <v>836</v>
      </c>
      <c r="G98">
        <v>2005</v>
      </c>
      <c r="H98">
        <v>71</v>
      </c>
      <c r="I98">
        <v>2</v>
      </c>
      <c r="J98">
        <v>170</v>
      </c>
      <c r="K98">
        <v>178</v>
      </c>
      <c r="L98" t="s">
        <v>837</v>
      </c>
      <c r="M98" t="str">
        <f>HYPERLINK("http://dx.doi.org/10.1016/j.jfoodeng.2004.10.031","http://dx.doi.org/10.1016/j.jfoodeng.2004.10.031")</f>
        <v>http://dx.doi.org/10.1016/j.jfoodeng.2004.10.031</v>
      </c>
    </row>
    <row r="99" spans="1:13" x14ac:dyDescent="0.2">
      <c r="A99" t="s">
        <v>13</v>
      </c>
      <c r="B99" t="s">
        <v>1063</v>
      </c>
      <c r="C99" t="s">
        <v>1063</v>
      </c>
      <c r="D99" t="s">
        <v>1064</v>
      </c>
      <c r="E99" t="s">
        <v>217</v>
      </c>
      <c r="F99" t="s">
        <v>218</v>
      </c>
      <c r="G99">
        <v>2005</v>
      </c>
      <c r="H99">
        <v>173</v>
      </c>
      <c r="I99">
        <v>2</v>
      </c>
      <c r="J99">
        <v>103</v>
      </c>
      <c r="K99">
        <v>111</v>
      </c>
      <c r="L99" t="s">
        <v>1065</v>
      </c>
      <c r="M99" t="str">
        <f>HYPERLINK("http://dx.doi.org/10.1016/j.desal.2004.06.211","http://dx.doi.org/10.1016/j.desal.2004.06.211")</f>
        <v>http://dx.doi.org/10.1016/j.desal.2004.06.211</v>
      </c>
    </row>
    <row r="100" spans="1:13" x14ac:dyDescent="0.2">
      <c r="A100" t="s">
        <v>13</v>
      </c>
      <c r="B100" t="s">
        <v>1331</v>
      </c>
      <c r="C100" t="s">
        <v>1332</v>
      </c>
      <c r="D100" t="s">
        <v>1333</v>
      </c>
      <c r="E100" t="s">
        <v>1334</v>
      </c>
      <c r="F100" t="s">
        <v>1335</v>
      </c>
      <c r="G100">
        <v>2005</v>
      </c>
      <c r="H100">
        <v>1</v>
      </c>
      <c r="I100" t="s">
        <v>15</v>
      </c>
      <c r="J100">
        <v>57</v>
      </c>
      <c r="K100">
        <v>60</v>
      </c>
      <c r="L100" t="s">
        <v>1336</v>
      </c>
      <c r="M100" t="str">
        <f>HYPERLINK("http://dx.doi.org/10.2151/sola.2005-016","http://dx.doi.org/10.2151/sola.2005-016")</f>
        <v>http://dx.doi.org/10.2151/sola.2005-016</v>
      </c>
    </row>
    <row r="101" spans="1:13" x14ac:dyDescent="0.2">
      <c r="A101" t="s">
        <v>13</v>
      </c>
      <c r="B101" t="s">
        <v>1407</v>
      </c>
      <c r="C101" t="s">
        <v>1407</v>
      </c>
      <c r="D101" t="s">
        <v>1408</v>
      </c>
      <c r="E101" t="s">
        <v>379</v>
      </c>
      <c r="F101" t="s">
        <v>380</v>
      </c>
      <c r="G101">
        <v>2005</v>
      </c>
      <c r="H101">
        <v>48</v>
      </c>
      <c r="I101">
        <v>3</v>
      </c>
      <c r="J101">
        <v>1241</v>
      </c>
      <c r="K101">
        <v>1251</v>
      </c>
      <c r="L101" t="s">
        <v>15</v>
      </c>
      <c r="M101" t="s">
        <v>15</v>
      </c>
    </row>
    <row r="102" spans="1:13" x14ac:dyDescent="0.2">
      <c r="A102" t="s">
        <v>13</v>
      </c>
      <c r="B102" t="s">
        <v>1447</v>
      </c>
      <c r="C102" t="s">
        <v>1447</v>
      </c>
      <c r="D102" t="s">
        <v>1555</v>
      </c>
      <c r="E102" t="s">
        <v>1556</v>
      </c>
      <c r="F102" t="s">
        <v>1557</v>
      </c>
      <c r="G102">
        <v>2005</v>
      </c>
      <c r="H102">
        <v>68</v>
      </c>
      <c r="I102">
        <v>3</v>
      </c>
      <c r="J102">
        <v>147</v>
      </c>
      <c r="K102">
        <v>156</v>
      </c>
      <c r="L102" t="s">
        <v>1558</v>
      </c>
      <c r="M102" t="str">
        <f>HYPERLINK("http://dx.doi.org/10.1016/j.tpb.2005.06.003","http://dx.doi.org/10.1016/j.tpb.2005.06.003")</f>
        <v>http://dx.doi.org/10.1016/j.tpb.2005.06.003</v>
      </c>
    </row>
    <row r="103" spans="1:13" x14ac:dyDescent="0.2">
      <c r="A103" t="s">
        <v>13</v>
      </c>
      <c r="B103" t="s">
        <v>1571</v>
      </c>
      <c r="C103" t="s">
        <v>1571</v>
      </c>
      <c r="D103" t="s">
        <v>1572</v>
      </c>
      <c r="E103" t="s">
        <v>136</v>
      </c>
      <c r="F103" t="s">
        <v>137</v>
      </c>
      <c r="G103">
        <v>2005</v>
      </c>
      <c r="H103">
        <v>49</v>
      </c>
      <c r="I103">
        <v>3</v>
      </c>
      <c r="J103">
        <v>317</v>
      </c>
      <c r="K103">
        <v>329</v>
      </c>
      <c r="L103" t="s">
        <v>1573</v>
      </c>
      <c r="M103" t="str">
        <f>HYPERLINK("http://dx.doi.org/10.1016/j.compag.2005.08.007","http://dx.doi.org/10.1016/j.compag.2005.08.007")</f>
        <v>http://dx.doi.org/10.1016/j.compag.2005.08.007</v>
      </c>
    </row>
    <row r="104" spans="1:13" x14ac:dyDescent="0.2">
      <c r="A104" t="s">
        <v>13</v>
      </c>
      <c r="B104" t="s">
        <v>1574</v>
      </c>
      <c r="C104" t="s">
        <v>1574</v>
      </c>
      <c r="D104" t="s">
        <v>1575</v>
      </c>
      <c r="E104" t="s">
        <v>136</v>
      </c>
      <c r="F104" t="s">
        <v>137</v>
      </c>
      <c r="G104">
        <v>2005</v>
      </c>
      <c r="H104">
        <v>49</v>
      </c>
      <c r="I104">
        <v>3</v>
      </c>
      <c r="J104">
        <v>345</v>
      </c>
      <c r="K104">
        <v>356</v>
      </c>
      <c r="L104" t="s">
        <v>1576</v>
      </c>
      <c r="M104" t="str">
        <f>HYPERLINK("http://dx.doi.org/10.1016/j.compag.2005.08.005","http://dx.doi.org/10.1016/j.compag.2005.08.005")</f>
        <v>http://dx.doi.org/10.1016/j.compag.2005.08.005</v>
      </c>
    </row>
    <row r="105" spans="1:13" x14ac:dyDescent="0.2">
      <c r="A105" t="s">
        <v>13</v>
      </c>
      <c r="B105" t="s">
        <v>1631</v>
      </c>
      <c r="C105" t="s">
        <v>1631</v>
      </c>
      <c r="D105" t="s">
        <v>1632</v>
      </c>
      <c r="E105" t="s">
        <v>104</v>
      </c>
      <c r="F105" t="s">
        <v>105</v>
      </c>
      <c r="G105">
        <v>2005</v>
      </c>
      <c r="H105">
        <v>90</v>
      </c>
      <c r="I105">
        <v>2</v>
      </c>
      <c r="J105">
        <v>203</v>
      </c>
      <c r="K105">
        <v>215</v>
      </c>
      <c r="L105" t="s">
        <v>1633</v>
      </c>
      <c r="M105" t="str">
        <f>HYPERLINK("http://dx.doi.org/10.1016/j.biosystemseng.2004.11.005","http://dx.doi.org/10.1016/j.biosystemseng.2004.11.005")</f>
        <v>http://dx.doi.org/10.1016/j.biosystemseng.2004.11.005</v>
      </c>
    </row>
    <row r="106" spans="1:13" x14ac:dyDescent="0.2">
      <c r="A106" t="s">
        <v>13</v>
      </c>
      <c r="B106" t="s">
        <v>95</v>
      </c>
      <c r="C106" t="s">
        <v>96</v>
      </c>
      <c r="D106" t="s">
        <v>97</v>
      </c>
      <c r="E106" t="s">
        <v>98</v>
      </c>
      <c r="F106" t="s">
        <v>99</v>
      </c>
      <c r="G106">
        <v>2006</v>
      </c>
      <c r="H106">
        <v>27</v>
      </c>
      <c r="I106">
        <v>5</v>
      </c>
      <c r="J106">
        <v>1265</v>
      </c>
      <c r="K106">
        <v>1265</v>
      </c>
      <c r="L106" t="s">
        <v>100</v>
      </c>
      <c r="M106" t="str">
        <f>HYPERLINK("http://dx.doi.org/10.1088/0143-0807/27/5/C01","http://dx.doi.org/10.1088/0143-0807/27/5/C01")</f>
        <v>http://dx.doi.org/10.1088/0143-0807/27/5/C01</v>
      </c>
    </row>
    <row r="107" spans="1:13" x14ac:dyDescent="0.2">
      <c r="A107" t="s">
        <v>13</v>
      </c>
      <c r="B107" t="s">
        <v>145</v>
      </c>
      <c r="C107" t="s">
        <v>145</v>
      </c>
      <c r="D107" t="s">
        <v>146</v>
      </c>
      <c r="E107" t="s">
        <v>147</v>
      </c>
      <c r="F107" t="s">
        <v>148</v>
      </c>
      <c r="G107">
        <v>2006</v>
      </c>
      <c r="H107" t="s">
        <v>15</v>
      </c>
      <c r="I107">
        <v>777</v>
      </c>
      <c r="J107">
        <v>13</v>
      </c>
      <c r="K107">
        <v>13</v>
      </c>
      <c r="L107" t="s">
        <v>15</v>
      </c>
      <c r="M107" t="s">
        <v>15</v>
      </c>
    </row>
    <row r="108" spans="1:13" x14ac:dyDescent="0.2">
      <c r="A108" t="s">
        <v>13</v>
      </c>
      <c r="B108" t="s">
        <v>210</v>
      </c>
      <c r="C108" t="s">
        <v>210</v>
      </c>
      <c r="D108" t="s">
        <v>211</v>
      </c>
      <c r="E108" t="s">
        <v>212</v>
      </c>
      <c r="F108" t="s">
        <v>213</v>
      </c>
      <c r="G108">
        <v>2006</v>
      </c>
      <c r="H108">
        <v>30</v>
      </c>
      <c r="I108">
        <v>4</v>
      </c>
      <c r="J108">
        <v>221</v>
      </c>
      <c r="K108">
        <v>236</v>
      </c>
      <c r="L108" t="s">
        <v>214</v>
      </c>
      <c r="M108" t="str">
        <f>HYPERLINK("http://dx.doi.org/10.1002/er.1132","http://dx.doi.org/10.1002/er.1132")</f>
        <v>http://dx.doi.org/10.1002/er.1132</v>
      </c>
    </row>
    <row r="109" spans="1:13" x14ac:dyDescent="0.2">
      <c r="A109" t="s">
        <v>13</v>
      </c>
      <c r="B109" t="s">
        <v>248</v>
      </c>
      <c r="C109" t="s">
        <v>249</v>
      </c>
      <c r="D109" t="s">
        <v>250</v>
      </c>
      <c r="E109" t="s">
        <v>73</v>
      </c>
      <c r="F109" t="s">
        <v>74</v>
      </c>
      <c r="G109">
        <v>2006</v>
      </c>
      <c r="H109">
        <v>80</v>
      </c>
      <c r="I109">
        <v>9</v>
      </c>
      <c r="J109">
        <v>1135</v>
      </c>
      <c r="K109">
        <v>1144</v>
      </c>
      <c r="L109" t="s">
        <v>251</v>
      </c>
      <c r="M109" t="str">
        <f>HYPERLINK("http://dx.doi.org/10.1016/j.solener.2005.09.011","http://dx.doi.org/10.1016/j.solener.2005.09.011")</f>
        <v>http://dx.doi.org/10.1016/j.solener.2005.09.011</v>
      </c>
    </row>
    <row r="110" spans="1:13" x14ac:dyDescent="0.2">
      <c r="A110" t="s">
        <v>13</v>
      </c>
      <c r="B110" t="s">
        <v>353</v>
      </c>
      <c r="C110" t="s">
        <v>353</v>
      </c>
      <c r="D110" t="s">
        <v>354</v>
      </c>
      <c r="E110" t="s">
        <v>355</v>
      </c>
      <c r="F110" t="s">
        <v>356</v>
      </c>
      <c r="G110">
        <v>2006</v>
      </c>
      <c r="H110">
        <v>41</v>
      </c>
      <c r="I110">
        <v>7</v>
      </c>
      <c r="J110">
        <v>843</v>
      </c>
      <c r="K110">
        <v>850</v>
      </c>
      <c r="L110" t="s">
        <v>357</v>
      </c>
      <c r="M110" t="str">
        <f>HYPERLINK("http://dx.doi.org/10.1016/j.buildenv.2005.04.014","http://dx.doi.org/10.1016/j.buildenv.2005.04.014")</f>
        <v>http://dx.doi.org/10.1016/j.buildenv.2005.04.014</v>
      </c>
    </row>
    <row r="111" spans="1:13" x14ac:dyDescent="0.2">
      <c r="A111" t="s">
        <v>13</v>
      </c>
      <c r="B111" t="s">
        <v>381</v>
      </c>
      <c r="C111" t="s">
        <v>382</v>
      </c>
      <c r="D111" t="s">
        <v>383</v>
      </c>
      <c r="E111" t="s">
        <v>179</v>
      </c>
      <c r="F111" t="s">
        <v>180</v>
      </c>
      <c r="G111">
        <v>2006</v>
      </c>
      <c r="H111">
        <v>31</v>
      </c>
      <c r="I111">
        <v>15</v>
      </c>
      <c r="J111">
        <v>2432</v>
      </c>
      <c r="K111">
        <v>2446</v>
      </c>
      <c r="L111" t="s">
        <v>384</v>
      </c>
      <c r="M111" t="str">
        <f>HYPERLINK("http://dx.doi.org/10.1016/j.renene.2005.11.006","http://dx.doi.org/10.1016/j.renene.2005.11.006")</f>
        <v>http://dx.doi.org/10.1016/j.renene.2005.11.006</v>
      </c>
    </row>
    <row r="112" spans="1:13" x14ac:dyDescent="0.2">
      <c r="A112" t="s">
        <v>13</v>
      </c>
      <c r="B112" t="s">
        <v>389</v>
      </c>
      <c r="C112" t="s">
        <v>390</v>
      </c>
      <c r="D112" t="s">
        <v>391</v>
      </c>
      <c r="E112" t="s">
        <v>258</v>
      </c>
      <c r="F112" t="s">
        <v>259</v>
      </c>
      <c r="G112">
        <v>2006</v>
      </c>
      <c r="H112">
        <v>47</v>
      </c>
      <c r="I112" t="s">
        <v>392</v>
      </c>
      <c r="J112">
        <v>3174</v>
      </c>
      <c r="K112">
        <v>3184</v>
      </c>
      <c r="L112" t="s">
        <v>393</v>
      </c>
      <c r="M112" t="str">
        <f>HYPERLINK("http://dx.doi.org/10.1016/j.enconman.2006.02.017","http://dx.doi.org/10.1016/j.enconman.2006.02.017")</f>
        <v>http://dx.doi.org/10.1016/j.enconman.2006.02.017</v>
      </c>
    </row>
    <row r="113" spans="1:13" x14ac:dyDescent="0.2">
      <c r="A113" t="s">
        <v>13</v>
      </c>
      <c r="B113" t="s">
        <v>366</v>
      </c>
      <c r="C113" t="s">
        <v>366</v>
      </c>
      <c r="D113" t="s">
        <v>399</v>
      </c>
      <c r="E113" t="s">
        <v>258</v>
      </c>
      <c r="F113" t="s">
        <v>259</v>
      </c>
      <c r="G113">
        <v>2006</v>
      </c>
      <c r="H113">
        <v>47</v>
      </c>
      <c r="I113" t="s">
        <v>400</v>
      </c>
      <c r="J113">
        <v>1779</v>
      </c>
      <c r="K113">
        <v>1798</v>
      </c>
      <c r="L113" t="s">
        <v>401</v>
      </c>
      <c r="M113" t="str">
        <f>HYPERLINK("http://dx.doi.org/10.1016/j.enconman.2005.10.001","http://dx.doi.org/10.1016/j.enconman.2005.10.001")</f>
        <v>http://dx.doi.org/10.1016/j.enconman.2005.10.001</v>
      </c>
    </row>
    <row r="114" spans="1:13" x14ac:dyDescent="0.2">
      <c r="A114" t="s">
        <v>13</v>
      </c>
      <c r="B114" t="s">
        <v>95</v>
      </c>
      <c r="C114" t="s">
        <v>96</v>
      </c>
      <c r="D114" t="s">
        <v>414</v>
      </c>
      <c r="E114" t="s">
        <v>98</v>
      </c>
      <c r="F114" t="s">
        <v>99</v>
      </c>
      <c r="G114">
        <v>2006</v>
      </c>
      <c r="H114">
        <v>27</v>
      </c>
      <c r="I114">
        <v>4</v>
      </c>
      <c r="J114">
        <v>933</v>
      </c>
      <c r="K114">
        <v>942</v>
      </c>
      <c r="L114" t="s">
        <v>415</v>
      </c>
      <c r="M114" t="str">
        <f>HYPERLINK("http://dx.doi.org/10.1088/0143-0807/27/4/024","http://dx.doi.org/10.1088/0143-0807/27/4/024")</f>
        <v>http://dx.doi.org/10.1088/0143-0807/27/4/024</v>
      </c>
    </row>
    <row r="115" spans="1:13" x14ac:dyDescent="0.2">
      <c r="A115" t="s">
        <v>13</v>
      </c>
      <c r="B115" t="s">
        <v>1382</v>
      </c>
      <c r="C115" t="s">
        <v>1382</v>
      </c>
      <c r="D115" t="s">
        <v>1383</v>
      </c>
      <c r="E115" t="s">
        <v>1384</v>
      </c>
      <c r="F115" t="s">
        <v>1385</v>
      </c>
      <c r="G115">
        <v>2006</v>
      </c>
      <c r="H115">
        <v>33</v>
      </c>
      <c r="I115">
        <v>1</v>
      </c>
      <c r="J115" t="s">
        <v>15</v>
      </c>
      <c r="K115" t="s">
        <v>15</v>
      </c>
      <c r="L115" t="s">
        <v>1386</v>
      </c>
      <c r="M115" t="str">
        <f>HYPERLINK("http://dx.doi.org/10.1029/2005GL024723","http://dx.doi.org/10.1029/2005GL024723")</f>
        <v>http://dx.doi.org/10.1029/2005GL024723</v>
      </c>
    </row>
    <row r="116" spans="1:13" x14ac:dyDescent="0.2">
      <c r="A116" t="s">
        <v>13</v>
      </c>
      <c r="B116" t="s">
        <v>1488</v>
      </c>
      <c r="C116" t="s">
        <v>1488</v>
      </c>
      <c r="D116" t="s">
        <v>1489</v>
      </c>
      <c r="E116" t="s">
        <v>136</v>
      </c>
      <c r="F116" t="s">
        <v>137</v>
      </c>
      <c r="G116">
        <v>2006</v>
      </c>
      <c r="H116">
        <v>50</v>
      </c>
      <c r="I116">
        <v>1</v>
      </c>
      <c r="J116">
        <v>70</v>
      </c>
      <c r="K116">
        <v>82</v>
      </c>
      <c r="L116" t="s">
        <v>1490</v>
      </c>
      <c r="M116" t="str">
        <f>HYPERLINK("http://dx.doi.org/10.1016/j.compag.2005.09.002","http://dx.doi.org/10.1016/j.compag.2005.09.002")</f>
        <v>http://dx.doi.org/10.1016/j.compag.2005.09.002</v>
      </c>
    </row>
    <row r="117" spans="1:13" x14ac:dyDescent="0.2">
      <c r="A117" t="s">
        <v>13</v>
      </c>
      <c r="B117" t="s">
        <v>1581</v>
      </c>
      <c r="C117" t="s">
        <v>1582</v>
      </c>
      <c r="D117" t="s">
        <v>1583</v>
      </c>
      <c r="E117" t="s">
        <v>1584</v>
      </c>
      <c r="F117" t="s">
        <v>1585</v>
      </c>
      <c r="G117">
        <v>2006</v>
      </c>
      <c r="H117">
        <v>24</v>
      </c>
      <c r="I117">
        <v>3</v>
      </c>
      <c r="J117">
        <v>241</v>
      </c>
      <c r="K117">
        <v>260</v>
      </c>
      <c r="L117" t="s">
        <v>1586</v>
      </c>
      <c r="M117" t="str">
        <f>HYPERLINK("http://dx.doi.org/10.1007/s11063-006-9022-9","http://dx.doi.org/10.1007/s11063-006-9022-9")</f>
        <v>http://dx.doi.org/10.1007/s11063-006-9022-9</v>
      </c>
    </row>
    <row r="118" spans="1:13" x14ac:dyDescent="0.2">
      <c r="A118" t="s">
        <v>13</v>
      </c>
      <c r="B118" t="s">
        <v>1762</v>
      </c>
      <c r="C118" t="s">
        <v>1762</v>
      </c>
      <c r="D118" t="s">
        <v>1763</v>
      </c>
      <c r="E118" t="s">
        <v>110</v>
      </c>
      <c r="F118" t="s">
        <v>111</v>
      </c>
      <c r="G118">
        <v>2006</v>
      </c>
      <c r="H118">
        <v>41</v>
      </c>
      <c r="I118">
        <v>1</v>
      </c>
      <c r="J118">
        <v>136</v>
      </c>
      <c r="K118">
        <v>142</v>
      </c>
      <c r="L118" t="s">
        <v>1764</v>
      </c>
      <c r="M118" t="str">
        <f>HYPERLINK("http://dx.doi.org/10.21273/HORTSCI.41.1.136","http://dx.doi.org/10.21273/HORTSCI.41.1.136")</f>
        <v>http://dx.doi.org/10.21273/HORTSCI.41.1.136</v>
      </c>
    </row>
    <row r="119" spans="1:13" x14ac:dyDescent="0.2">
      <c r="A119" t="s">
        <v>13</v>
      </c>
      <c r="B119" t="s">
        <v>265</v>
      </c>
      <c r="C119" t="s">
        <v>266</v>
      </c>
      <c r="D119" t="s">
        <v>267</v>
      </c>
      <c r="E119" t="s">
        <v>73</v>
      </c>
      <c r="F119" t="s">
        <v>74</v>
      </c>
      <c r="G119">
        <v>2007</v>
      </c>
      <c r="H119">
        <v>81</v>
      </c>
      <c r="I119">
        <v>6</v>
      </c>
      <c r="J119">
        <v>723</v>
      </c>
      <c r="K119">
        <v>741</v>
      </c>
      <c r="L119" t="s">
        <v>268</v>
      </c>
      <c r="M119" t="str">
        <f>HYPERLINK("http://dx.doi.org/10.1016/j.solener.2006.10.002","http://dx.doi.org/10.1016/j.solener.2006.10.002")</f>
        <v>http://dx.doi.org/10.1016/j.solener.2006.10.002</v>
      </c>
    </row>
    <row r="120" spans="1:13" x14ac:dyDescent="0.2">
      <c r="A120" t="s">
        <v>13</v>
      </c>
      <c r="B120" t="s">
        <v>186</v>
      </c>
      <c r="C120" t="s">
        <v>187</v>
      </c>
      <c r="D120" t="s">
        <v>346</v>
      </c>
      <c r="E120" t="s">
        <v>104</v>
      </c>
      <c r="F120" t="s">
        <v>105</v>
      </c>
      <c r="G120">
        <v>2007</v>
      </c>
      <c r="H120">
        <v>98</v>
      </c>
      <c r="I120">
        <v>3</v>
      </c>
      <c r="J120">
        <v>335</v>
      </c>
      <c r="K120">
        <v>346</v>
      </c>
      <c r="L120" t="s">
        <v>347</v>
      </c>
      <c r="M120" t="str">
        <f>HYPERLINK("http://dx.doi.org/10.1016/j.biosystemseng.2007.06.004","http://dx.doi.org/10.1016/j.biosystemseng.2007.06.004")</f>
        <v>http://dx.doi.org/10.1016/j.biosystemseng.2007.06.004</v>
      </c>
    </row>
    <row r="121" spans="1:13" x14ac:dyDescent="0.2">
      <c r="A121" t="s">
        <v>13</v>
      </c>
      <c r="B121" t="s">
        <v>619</v>
      </c>
      <c r="C121" t="s">
        <v>620</v>
      </c>
      <c r="D121" t="s">
        <v>621</v>
      </c>
      <c r="E121" t="s">
        <v>297</v>
      </c>
      <c r="F121" t="s">
        <v>298</v>
      </c>
      <c r="G121">
        <v>2007</v>
      </c>
      <c r="H121">
        <v>39</v>
      </c>
      <c r="I121">
        <v>10</v>
      </c>
      <c r="J121">
        <v>1092</v>
      </c>
      <c r="K121">
        <v>1097</v>
      </c>
      <c r="L121" t="s">
        <v>622</v>
      </c>
      <c r="M121" t="str">
        <f>HYPERLINK("http://dx.doi.org/10.1016/j.enbuild.2006.12.003","http://dx.doi.org/10.1016/j.enbuild.2006.12.003")</f>
        <v>http://dx.doi.org/10.1016/j.enbuild.2006.12.003</v>
      </c>
    </row>
    <row r="122" spans="1:13" x14ac:dyDescent="0.2">
      <c r="A122" t="s">
        <v>13</v>
      </c>
      <c r="B122" t="s">
        <v>625</v>
      </c>
      <c r="C122" t="s">
        <v>626</v>
      </c>
      <c r="D122" t="s">
        <v>627</v>
      </c>
      <c r="E122" t="s">
        <v>628</v>
      </c>
      <c r="F122" t="s">
        <v>629</v>
      </c>
      <c r="G122">
        <v>2007</v>
      </c>
      <c r="H122">
        <v>58</v>
      </c>
      <c r="I122">
        <v>5</v>
      </c>
      <c r="J122">
        <v>403</v>
      </c>
      <c r="K122">
        <v>415</v>
      </c>
      <c r="L122" t="s">
        <v>630</v>
      </c>
      <c r="M122" t="str">
        <f>HYPERLINK("http://dx.doi.org/10.1016/j.compind.2006.09.001","http://dx.doi.org/10.1016/j.compind.2006.09.001")</f>
        <v>http://dx.doi.org/10.1016/j.compind.2006.09.001</v>
      </c>
    </row>
    <row r="123" spans="1:13" x14ac:dyDescent="0.2">
      <c r="A123" t="s">
        <v>13</v>
      </c>
      <c r="B123" t="s">
        <v>833</v>
      </c>
      <c r="C123" t="s">
        <v>960</v>
      </c>
      <c r="D123" t="s">
        <v>961</v>
      </c>
      <c r="E123" t="s">
        <v>355</v>
      </c>
      <c r="F123" t="s">
        <v>356</v>
      </c>
      <c r="G123">
        <v>2007</v>
      </c>
      <c r="H123">
        <v>42</v>
      </c>
      <c r="I123">
        <v>2</v>
      </c>
      <c r="J123">
        <v>557</v>
      </c>
      <c r="K123">
        <v>565</v>
      </c>
      <c r="L123" t="s">
        <v>962</v>
      </c>
      <c r="M123" t="str">
        <f>HYPERLINK("http://dx.doi.org/10.1016/j.buildenv.2005.09.019","http://dx.doi.org/10.1016/j.buildenv.2005.09.019")</f>
        <v>http://dx.doi.org/10.1016/j.buildenv.2005.09.019</v>
      </c>
    </row>
    <row r="124" spans="1:13" x14ac:dyDescent="0.2">
      <c r="A124" t="s">
        <v>13</v>
      </c>
      <c r="B124" t="s">
        <v>1133</v>
      </c>
      <c r="C124" t="s">
        <v>1134</v>
      </c>
      <c r="D124" t="s">
        <v>1135</v>
      </c>
      <c r="E124" t="s">
        <v>1136</v>
      </c>
      <c r="F124" t="s">
        <v>1137</v>
      </c>
      <c r="G124">
        <v>2007</v>
      </c>
      <c r="H124">
        <v>259</v>
      </c>
      <c r="I124" t="s">
        <v>780</v>
      </c>
      <c r="J124">
        <v>347</v>
      </c>
      <c r="K124">
        <v>359</v>
      </c>
      <c r="L124" t="s">
        <v>1138</v>
      </c>
      <c r="M124" t="str">
        <f>HYPERLINK("http://dx.doi.org/10.1016/j.epsl.2007.04.046","http://dx.doi.org/10.1016/j.epsl.2007.04.046")</f>
        <v>http://dx.doi.org/10.1016/j.epsl.2007.04.046</v>
      </c>
    </row>
    <row r="125" spans="1:13" x14ac:dyDescent="0.2">
      <c r="A125" t="s">
        <v>13</v>
      </c>
      <c r="B125" t="s">
        <v>1233</v>
      </c>
      <c r="C125" t="s">
        <v>1234</v>
      </c>
      <c r="D125" t="s">
        <v>1235</v>
      </c>
      <c r="E125" t="s">
        <v>1236</v>
      </c>
      <c r="F125" t="s">
        <v>1237</v>
      </c>
      <c r="G125">
        <v>2007</v>
      </c>
      <c r="H125">
        <v>55</v>
      </c>
      <c r="I125">
        <v>6</v>
      </c>
      <c r="J125">
        <v>652</v>
      </c>
      <c r="K125">
        <v>664</v>
      </c>
      <c r="L125" t="s">
        <v>1238</v>
      </c>
      <c r="M125" t="str">
        <f>HYPERLINK("http://dx.doi.org/10.1614/WS-05-018.1","http://dx.doi.org/10.1614/WS-05-018.1")</f>
        <v>http://dx.doi.org/10.1614/WS-05-018.1</v>
      </c>
    </row>
    <row r="126" spans="1:13" x14ac:dyDescent="0.2">
      <c r="A126" t="s">
        <v>13</v>
      </c>
      <c r="B126" t="s">
        <v>1387</v>
      </c>
      <c r="C126" t="s">
        <v>1388</v>
      </c>
      <c r="D126" t="s">
        <v>1389</v>
      </c>
      <c r="E126" t="s">
        <v>1390</v>
      </c>
      <c r="F126" t="s">
        <v>1391</v>
      </c>
      <c r="G126">
        <v>2007</v>
      </c>
      <c r="H126">
        <v>60</v>
      </c>
      <c r="I126">
        <v>4</v>
      </c>
      <c r="J126">
        <v>389</v>
      </c>
      <c r="K126">
        <v>400</v>
      </c>
      <c r="L126" t="s">
        <v>15</v>
      </c>
      <c r="M126" t="s">
        <v>15</v>
      </c>
    </row>
    <row r="127" spans="1:13" x14ac:dyDescent="0.2">
      <c r="A127" t="s">
        <v>13</v>
      </c>
      <c r="B127" t="s">
        <v>1392</v>
      </c>
      <c r="C127" t="s">
        <v>1393</v>
      </c>
      <c r="D127" t="s">
        <v>1394</v>
      </c>
      <c r="E127" t="s">
        <v>1231</v>
      </c>
      <c r="F127" t="s">
        <v>1232</v>
      </c>
      <c r="G127">
        <v>2007</v>
      </c>
      <c r="H127">
        <v>50</v>
      </c>
      <c r="I127">
        <v>2</v>
      </c>
      <c r="J127">
        <v>607</v>
      </c>
      <c r="K127">
        <v>614</v>
      </c>
      <c r="L127" t="s">
        <v>15</v>
      </c>
      <c r="M127" t="s">
        <v>15</v>
      </c>
    </row>
    <row r="128" spans="1:13" x14ac:dyDescent="0.2">
      <c r="A128" t="s">
        <v>13</v>
      </c>
      <c r="B128" t="s">
        <v>1605</v>
      </c>
      <c r="C128" t="s">
        <v>1606</v>
      </c>
      <c r="D128" t="s">
        <v>1607</v>
      </c>
      <c r="E128" t="s">
        <v>1608</v>
      </c>
      <c r="F128" t="s">
        <v>1609</v>
      </c>
      <c r="G128">
        <v>2007</v>
      </c>
      <c r="H128">
        <v>50</v>
      </c>
      <c r="I128">
        <v>5</v>
      </c>
      <c r="J128">
        <v>855</v>
      </c>
      <c r="K128">
        <v>860</v>
      </c>
      <c r="L128" t="s">
        <v>1610</v>
      </c>
      <c r="M128" t="str">
        <f>HYPERLINK("http://dx.doi.org/10.1080/00288230709510360","http://dx.doi.org/10.1080/00288230709510360")</f>
        <v>http://dx.doi.org/10.1080/00288230709510360</v>
      </c>
    </row>
    <row r="129" spans="1:13" x14ac:dyDescent="0.2">
      <c r="A129" t="s">
        <v>13</v>
      </c>
      <c r="B129" t="s">
        <v>1676</v>
      </c>
      <c r="C129" t="s">
        <v>1677</v>
      </c>
      <c r="D129" t="s">
        <v>1678</v>
      </c>
      <c r="E129" t="s">
        <v>1679</v>
      </c>
      <c r="F129" t="s">
        <v>1680</v>
      </c>
      <c r="G129">
        <v>2007</v>
      </c>
      <c r="H129">
        <v>61</v>
      </c>
      <c r="I129">
        <v>2</v>
      </c>
      <c r="J129">
        <v>317</v>
      </c>
      <c r="K129">
        <v>326</v>
      </c>
      <c r="L129" t="s">
        <v>1681</v>
      </c>
      <c r="M129" t="str">
        <f>HYPERLINK("http://dx.doi.org/10.1111/j.1574-6941.2007.00348.x","http://dx.doi.org/10.1111/j.1574-6941.2007.00348.x")</f>
        <v>http://dx.doi.org/10.1111/j.1574-6941.2007.00348.x</v>
      </c>
    </row>
    <row r="130" spans="1:13" x14ac:dyDescent="0.2">
      <c r="A130" t="s">
        <v>13</v>
      </c>
      <c r="B130" t="s">
        <v>186</v>
      </c>
      <c r="C130" t="s">
        <v>187</v>
      </c>
      <c r="D130" t="s">
        <v>188</v>
      </c>
      <c r="E130" t="s">
        <v>189</v>
      </c>
      <c r="F130" t="s">
        <v>190</v>
      </c>
      <c r="G130">
        <v>2008</v>
      </c>
      <c r="H130">
        <v>16</v>
      </c>
      <c r="I130">
        <v>5</v>
      </c>
      <c r="J130">
        <v>515</v>
      </c>
      <c r="K130">
        <v>530</v>
      </c>
      <c r="L130" t="s">
        <v>191</v>
      </c>
      <c r="M130" t="str">
        <f>HYPERLINK("http://dx.doi.org/10.1016/j.conengprac.2007.06.001","http://dx.doi.org/10.1016/j.conengprac.2007.06.001")</f>
        <v>http://dx.doi.org/10.1016/j.conengprac.2007.06.001</v>
      </c>
    </row>
    <row r="131" spans="1:13" x14ac:dyDescent="0.2">
      <c r="A131" t="s">
        <v>13</v>
      </c>
      <c r="B131" t="s">
        <v>385</v>
      </c>
      <c r="C131" t="s">
        <v>386</v>
      </c>
      <c r="D131" t="s">
        <v>387</v>
      </c>
      <c r="E131" t="s">
        <v>297</v>
      </c>
      <c r="F131" t="s">
        <v>298</v>
      </c>
      <c r="G131">
        <v>2008</v>
      </c>
      <c r="H131">
        <v>40</v>
      </c>
      <c r="I131">
        <v>11</v>
      </c>
      <c r="J131">
        <v>2015</v>
      </c>
      <c r="K131">
        <v>2021</v>
      </c>
      <c r="L131" t="s">
        <v>388</v>
      </c>
      <c r="M131" t="str">
        <f>HYPERLINK("http://dx.doi.org/10.1016/j.enbuild.2008.05.007","http://dx.doi.org/10.1016/j.enbuild.2008.05.007")</f>
        <v>http://dx.doi.org/10.1016/j.enbuild.2008.05.007</v>
      </c>
    </row>
    <row r="132" spans="1:13" x14ac:dyDescent="0.2">
      <c r="A132" t="s">
        <v>13</v>
      </c>
      <c r="B132" t="s">
        <v>491</v>
      </c>
      <c r="C132" t="s">
        <v>492</v>
      </c>
      <c r="D132" t="s">
        <v>493</v>
      </c>
      <c r="E132" t="s">
        <v>258</v>
      </c>
      <c r="F132" t="s">
        <v>259</v>
      </c>
      <c r="G132">
        <v>2008</v>
      </c>
      <c r="H132">
        <v>49</v>
      </c>
      <c r="I132">
        <v>10</v>
      </c>
      <c r="J132">
        <v>2890</v>
      </c>
      <c r="K132">
        <v>2899</v>
      </c>
      <c r="L132" t="s">
        <v>494</v>
      </c>
      <c r="M132" t="str">
        <f>HYPERLINK("http://dx.doi.org/10.1016/j.enconman.2008.03.008","http://dx.doi.org/10.1016/j.enconman.2008.03.008")</f>
        <v>http://dx.doi.org/10.1016/j.enconman.2008.03.008</v>
      </c>
    </row>
    <row r="133" spans="1:13" x14ac:dyDescent="0.2">
      <c r="A133" t="s">
        <v>13</v>
      </c>
      <c r="B133" t="s">
        <v>733</v>
      </c>
      <c r="C133" t="s">
        <v>734</v>
      </c>
      <c r="D133" t="s">
        <v>735</v>
      </c>
      <c r="E133" t="s">
        <v>736</v>
      </c>
      <c r="F133" t="s">
        <v>737</v>
      </c>
      <c r="G133">
        <v>2008</v>
      </c>
      <c r="H133">
        <v>108</v>
      </c>
      <c r="I133">
        <v>6</v>
      </c>
      <c r="J133">
        <v>986</v>
      </c>
      <c r="K133">
        <v>990</v>
      </c>
      <c r="L133" t="s">
        <v>738</v>
      </c>
      <c r="M133" t="str">
        <f>HYPERLINK("http://dx.doi.org/10.1016/j.jada.2008.03.013","http://dx.doi.org/10.1016/j.jada.2008.03.013")</f>
        <v>http://dx.doi.org/10.1016/j.jada.2008.03.013</v>
      </c>
    </row>
    <row r="134" spans="1:13" x14ac:dyDescent="0.2">
      <c r="A134" t="s">
        <v>13</v>
      </c>
      <c r="B134" t="s">
        <v>353</v>
      </c>
      <c r="C134" t="s">
        <v>804</v>
      </c>
      <c r="D134" t="s">
        <v>805</v>
      </c>
      <c r="E134" t="s">
        <v>73</v>
      </c>
      <c r="F134" t="s">
        <v>74</v>
      </c>
      <c r="G134">
        <v>2008</v>
      </c>
      <c r="H134">
        <v>82</v>
      </c>
      <c r="I134">
        <v>1</v>
      </c>
      <c r="J134">
        <v>61</v>
      </c>
      <c r="K134">
        <v>72</v>
      </c>
      <c r="L134" t="s">
        <v>806</v>
      </c>
      <c r="M134" t="str">
        <f>HYPERLINK("http://dx.doi.org/10.1016/j.solener.2007.04.003","http://dx.doi.org/10.1016/j.solener.2007.04.003")</f>
        <v>http://dx.doi.org/10.1016/j.solener.2007.04.003</v>
      </c>
    </row>
    <row r="135" spans="1:13" x14ac:dyDescent="0.2">
      <c r="A135" t="s">
        <v>13</v>
      </c>
      <c r="B135" t="s">
        <v>1228</v>
      </c>
      <c r="C135" t="s">
        <v>1229</v>
      </c>
      <c r="D135" t="s">
        <v>1230</v>
      </c>
      <c r="E135" t="s">
        <v>1231</v>
      </c>
      <c r="F135" t="s">
        <v>1232</v>
      </c>
      <c r="G135">
        <v>2008</v>
      </c>
      <c r="H135">
        <v>51</v>
      </c>
      <c r="I135">
        <v>5</v>
      </c>
      <c r="J135">
        <v>1735</v>
      </c>
      <c r="K135">
        <v>1746</v>
      </c>
      <c r="L135" t="s">
        <v>15</v>
      </c>
      <c r="M135" t="s">
        <v>15</v>
      </c>
    </row>
    <row r="136" spans="1:13" x14ac:dyDescent="0.2">
      <c r="A136" t="s">
        <v>13</v>
      </c>
      <c r="B136" t="s">
        <v>26</v>
      </c>
      <c r="C136" t="s">
        <v>27</v>
      </c>
      <c r="D136" t="s">
        <v>28</v>
      </c>
      <c r="E136" t="s">
        <v>29</v>
      </c>
      <c r="F136" t="s">
        <v>30</v>
      </c>
      <c r="G136">
        <v>2009</v>
      </c>
      <c r="H136">
        <v>49</v>
      </c>
      <c r="I136" t="s">
        <v>15</v>
      </c>
      <c r="J136">
        <v>60</v>
      </c>
      <c r="K136">
        <v>60</v>
      </c>
      <c r="L136" t="s">
        <v>15</v>
      </c>
      <c r="M136" t="s">
        <v>15</v>
      </c>
    </row>
    <row r="137" spans="1:13" x14ac:dyDescent="0.2">
      <c r="A137" t="s">
        <v>13</v>
      </c>
      <c r="B137" t="s">
        <v>145</v>
      </c>
      <c r="C137" t="s">
        <v>145</v>
      </c>
      <c r="D137" t="s">
        <v>175</v>
      </c>
      <c r="E137" t="s">
        <v>29</v>
      </c>
      <c r="F137" t="s">
        <v>30</v>
      </c>
      <c r="G137">
        <v>2009</v>
      </c>
      <c r="H137">
        <v>49</v>
      </c>
      <c r="I137" t="s">
        <v>15</v>
      </c>
      <c r="J137">
        <v>60</v>
      </c>
      <c r="K137">
        <v>60</v>
      </c>
      <c r="L137" t="s">
        <v>15</v>
      </c>
      <c r="M137" t="s">
        <v>15</v>
      </c>
    </row>
    <row r="138" spans="1:13" x14ac:dyDescent="0.2">
      <c r="A138" t="s">
        <v>13</v>
      </c>
      <c r="B138" t="s">
        <v>220</v>
      </c>
      <c r="C138" t="s">
        <v>221</v>
      </c>
      <c r="D138" t="s">
        <v>222</v>
      </c>
      <c r="E138" t="s">
        <v>223</v>
      </c>
      <c r="F138" t="s">
        <v>224</v>
      </c>
      <c r="G138">
        <v>2009</v>
      </c>
      <c r="H138">
        <v>27</v>
      </c>
      <c r="I138">
        <v>1</v>
      </c>
      <c r="J138">
        <v>80</v>
      </c>
      <c r="K138">
        <v>85</v>
      </c>
      <c r="L138" t="s">
        <v>225</v>
      </c>
      <c r="M138" t="str">
        <f>HYPERLINK("http://dx.doi.org/10.1590/S0102-05362009000100016","http://dx.doi.org/10.1590/S0102-05362009000100016")</f>
        <v>http://dx.doi.org/10.1590/S0102-05362009000100016</v>
      </c>
    </row>
    <row r="139" spans="1:13" x14ac:dyDescent="0.2">
      <c r="A139" t="s">
        <v>13</v>
      </c>
      <c r="B139" t="s">
        <v>358</v>
      </c>
      <c r="C139" t="s">
        <v>359</v>
      </c>
      <c r="D139" t="s">
        <v>360</v>
      </c>
      <c r="E139" t="s">
        <v>136</v>
      </c>
      <c r="F139" t="s">
        <v>137</v>
      </c>
      <c r="G139">
        <v>2009</v>
      </c>
      <c r="H139">
        <v>66</v>
      </c>
      <c r="I139">
        <v>1</v>
      </c>
      <c r="J139">
        <v>46</v>
      </c>
      <c r="K139">
        <v>52</v>
      </c>
      <c r="L139" t="s">
        <v>361</v>
      </c>
      <c r="M139" t="str">
        <f>HYPERLINK("http://dx.doi.org/10.1016/j.compag.2008.12.004","http://dx.doi.org/10.1016/j.compag.2008.12.004")</f>
        <v>http://dx.doi.org/10.1016/j.compag.2008.12.004</v>
      </c>
    </row>
    <row r="140" spans="1:13" x14ac:dyDescent="0.2">
      <c r="A140" t="s">
        <v>13</v>
      </c>
      <c r="B140" t="s">
        <v>48</v>
      </c>
      <c r="C140" t="s">
        <v>49</v>
      </c>
      <c r="D140" t="s">
        <v>375</v>
      </c>
      <c r="E140" t="s">
        <v>73</v>
      </c>
      <c r="F140" t="s">
        <v>74</v>
      </c>
      <c r="G140">
        <v>2009</v>
      </c>
      <c r="H140">
        <v>83</v>
      </c>
      <c r="I140">
        <v>1</v>
      </c>
      <c r="J140">
        <v>21</v>
      </c>
      <c r="K140">
        <v>38</v>
      </c>
      <c r="L140" t="s">
        <v>376</v>
      </c>
      <c r="M140" t="str">
        <f>HYPERLINK("http://dx.doi.org/10.1016/j.solener.2008.05.018","http://dx.doi.org/10.1016/j.solener.2008.05.018")</f>
        <v>http://dx.doi.org/10.1016/j.solener.2008.05.018</v>
      </c>
    </row>
    <row r="141" spans="1:13" x14ac:dyDescent="0.2">
      <c r="A141" t="s">
        <v>13</v>
      </c>
      <c r="B141" t="s">
        <v>394</v>
      </c>
      <c r="C141" t="s">
        <v>395</v>
      </c>
      <c r="D141" t="s">
        <v>396</v>
      </c>
      <c r="E141" t="s">
        <v>136</v>
      </c>
      <c r="F141" t="s">
        <v>137</v>
      </c>
      <c r="G141">
        <v>2009</v>
      </c>
      <c r="H141">
        <v>67</v>
      </c>
      <c r="I141" t="s">
        <v>397</v>
      </c>
      <c r="J141">
        <v>1</v>
      </c>
      <c r="K141">
        <v>8</v>
      </c>
      <c r="L141" t="s">
        <v>398</v>
      </c>
      <c r="M141" t="str">
        <f>HYPERLINK("http://dx.doi.org/10.1016/j.compag.2009.01.012","http://dx.doi.org/10.1016/j.compag.2009.01.012")</f>
        <v>http://dx.doi.org/10.1016/j.compag.2009.01.012</v>
      </c>
    </row>
    <row r="142" spans="1:13" x14ac:dyDescent="0.2">
      <c r="A142" t="s">
        <v>13</v>
      </c>
      <c r="B142" t="s">
        <v>564</v>
      </c>
      <c r="C142" t="s">
        <v>565</v>
      </c>
      <c r="D142" t="s">
        <v>566</v>
      </c>
      <c r="E142" t="s">
        <v>104</v>
      </c>
      <c r="F142" t="s">
        <v>105</v>
      </c>
      <c r="G142">
        <v>2009</v>
      </c>
      <c r="H142">
        <v>104</v>
      </c>
      <c r="I142">
        <v>1</v>
      </c>
      <c r="J142">
        <v>135</v>
      </c>
      <c r="K142">
        <v>142</v>
      </c>
      <c r="L142" t="s">
        <v>567</v>
      </c>
      <c r="M142" t="str">
        <f>HYPERLINK("http://dx.doi.org/10.1016/j.biosystemseng.2009.06.006","http://dx.doi.org/10.1016/j.biosystemseng.2009.06.006")</f>
        <v>http://dx.doi.org/10.1016/j.biosystemseng.2009.06.006</v>
      </c>
    </row>
    <row r="143" spans="1:13" x14ac:dyDescent="0.2">
      <c r="A143" t="s">
        <v>13</v>
      </c>
      <c r="B143" t="s">
        <v>631</v>
      </c>
      <c r="C143" t="s">
        <v>632</v>
      </c>
      <c r="D143" t="s">
        <v>633</v>
      </c>
      <c r="E143" t="s">
        <v>104</v>
      </c>
      <c r="F143" t="s">
        <v>105</v>
      </c>
      <c r="G143">
        <v>2009</v>
      </c>
      <c r="H143">
        <v>103</v>
      </c>
      <c r="I143">
        <v>1</v>
      </c>
      <c r="J143">
        <v>57</v>
      </c>
      <c r="K143">
        <v>67</v>
      </c>
      <c r="L143" t="s">
        <v>634</v>
      </c>
      <c r="M143" t="str">
        <f>HYPERLINK("http://dx.doi.org/10.1016/j.biosystemseng.2009.01.015","http://dx.doi.org/10.1016/j.biosystemseng.2009.01.015")</f>
        <v>http://dx.doi.org/10.1016/j.biosystemseng.2009.01.015</v>
      </c>
    </row>
    <row r="144" spans="1:13" x14ac:dyDescent="0.2">
      <c r="A144" t="s">
        <v>13</v>
      </c>
      <c r="B144" t="s">
        <v>1026</v>
      </c>
      <c r="C144" t="s">
        <v>1027</v>
      </c>
      <c r="D144" t="s">
        <v>1028</v>
      </c>
      <c r="E144" t="s">
        <v>297</v>
      </c>
      <c r="F144" t="s">
        <v>298</v>
      </c>
      <c r="G144">
        <v>2009</v>
      </c>
      <c r="H144">
        <v>41</v>
      </c>
      <c r="I144">
        <v>8</v>
      </c>
      <c r="J144">
        <v>888</v>
      </c>
      <c r="K144">
        <v>896</v>
      </c>
      <c r="L144" t="s">
        <v>1029</v>
      </c>
      <c r="M144" t="str">
        <f>HYPERLINK("http://dx.doi.org/10.1016/j.enbuild.2009.03.012","http://dx.doi.org/10.1016/j.enbuild.2009.03.012")</f>
        <v>http://dx.doi.org/10.1016/j.enbuild.2009.03.012</v>
      </c>
    </row>
    <row r="145" spans="1:13" x14ac:dyDescent="0.2">
      <c r="A145" t="s">
        <v>13</v>
      </c>
      <c r="B145" t="s">
        <v>1201</v>
      </c>
      <c r="C145" t="s">
        <v>1202</v>
      </c>
      <c r="D145" t="s">
        <v>1203</v>
      </c>
      <c r="E145" t="s">
        <v>455</v>
      </c>
      <c r="F145" t="s">
        <v>456</v>
      </c>
      <c r="G145">
        <v>2009</v>
      </c>
      <c r="H145">
        <v>41</v>
      </c>
      <c r="I145">
        <v>1</v>
      </c>
      <c r="J145">
        <v>1</v>
      </c>
      <c r="K145">
        <v>13</v>
      </c>
      <c r="L145" t="s">
        <v>1204</v>
      </c>
      <c r="M145" t="str">
        <f>HYPERLINK("http://dx.doi.org/10.1016/j.aquaeng.2009.04.002","http://dx.doi.org/10.1016/j.aquaeng.2009.04.002")</f>
        <v>http://dx.doi.org/10.1016/j.aquaeng.2009.04.002</v>
      </c>
    </row>
    <row r="146" spans="1:13" x14ac:dyDescent="0.2">
      <c r="A146" t="s">
        <v>13</v>
      </c>
      <c r="B146" t="s">
        <v>1467</v>
      </c>
      <c r="C146" t="s">
        <v>1468</v>
      </c>
      <c r="D146" t="s">
        <v>1469</v>
      </c>
      <c r="E146" t="s">
        <v>1449</v>
      </c>
      <c r="F146" t="s">
        <v>1450</v>
      </c>
      <c r="G146">
        <v>2009</v>
      </c>
      <c r="H146">
        <v>45</v>
      </c>
      <c r="I146">
        <v>5</v>
      </c>
      <c r="J146">
        <v>1227</v>
      </c>
      <c r="K146">
        <v>1231</v>
      </c>
      <c r="L146" t="s">
        <v>1470</v>
      </c>
      <c r="M146" t="str">
        <f>HYPERLINK("http://dx.doi.org/10.1016/j.automatica.2008.12.024","http://dx.doi.org/10.1016/j.automatica.2008.12.024")</f>
        <v>http://dx.doi.org/10.1016/j.automatica.2008.12.024</v>
      </c>
    </row>
    <row r="147" spans="1:13" x14ac:dyDescent="0.2">
      <c r="A147" t="s">
        <v>13</v>
      </c>
      <c r="B147" t="s">
        <v>1513</v>
      </c>
      <c r="C147" t="s">
        <v>1514</v>
      </c>
      <c r="D147" t="s">
        <v>1515</v>
      </c>
      <c r="E147" t="s">
        <v>189</v>
      </c>
      <c r="F147" t="s">
        <v>190</v>
      </c>
      <c r="G147">
        <v>2009</v>
      </c>
      <c r="H147">
        <v>17</v>
      </c>
      <c r="I147">
        <v>1</v>
      </c>
      <c r="J147">
        <v>88</v>
      </c>
      <c r="K147">
        <v>96</v>
      </c>
      <c r="L147" t="s">
        <v>1516</v>
      </c>
      <c r="M147" t="str">
        <f>HYPERLINK("http://dx.doi.org/10.1016/j.conengprac.2008.05.008","http://dx.doi.org/10.1016/j.conengprac.2008.05.008")</f>
        <v>http://dx.doi.org/10.1016/j.conengprac.2008.05.008</v>
      </c>
    </row>
    <row r="148" spans="1:13" x14ac:dyDescent="0.2">
      <c r="A148" t="s">
        <v>13</v>
      </c>
      <c r="B148" t="s">
        <v>274</v>
      </c>
      <c r="C148" t="s">
        <v>275</v>
      </c>
      <c r="D148" t="s">
        <v>276</v>
      </c>
      <c r="E148" t="s">
        <v>277</v>
      </c>
      <c r="F148" t="s">
        <v>278</v>
      </c>
      <c r="G148">
        <v>2010</v>
      </c>
      <c r="H148">
        <v>8</v>
      </c>
      <c r="I148">
        <v>1</v>
      </c>
      <c r="J148">
        <v>208</v>
      </c>
      <c r="K148">
        <v>217</v>
      </c>
      <c r="L148" t="s">
        <v>279</v>
      </c>
      <c r="M148" t="str">
        <f>HYPERLINK("http://dx.doi.org/10.1166/sl.2010.1228","http://dx.doi.org/10.1166/sl.2010.1228")</f>
        <v>http://dx.doi.org/10.1166/sl.2010.1228</v>
      </c>
    </row>
    <row r="149" spans="1:13" x14ac:dyDescent="0.2">
      <c r="A149" t="s">
        <v>13</v>
      </c>
      <c r="B149" t="s">
        <v>304</v>
      </c>
      <c r="C149" t="s">
        <v>305</v>
      </c>
      <c r="D149" t="s">
        <v>306</v>
      </c>
      <c r="E149" t="s">
        <v>307</v>
      </c>
      <c r="F149" t="s">
        <v>308</v>
      </c>
      <c r="G149">
        <v>2010</v>
      </c>
      <c r="H149">
        <v>6</v>
      </c>
      <c r="I149">
        <v>6</v>
      </c>
      <c r="J149" t="s">
        <v>15</v>
      </c>
      <c r="K149" t="s">
        <v>15</v>
      </c>
      <c r="L149" t="s">
        <v>309</v>
      </c>
      <c r="M149" t="str">
        <f>HYPERLINK("http://dx.doi.org/10.2202/1556-3758.1451","http://dx.doi.org/10.2202/1556-3758.1451")</f>
        <v>http://dx.doi.org/10.2202/1556-3758.1451</v>
      </c>
    </row>
    <row r="150" spans="1:13" x14ac:dyDescent="0.2">
      <c r="A150" t="s">
        <v>13</v>
      </c>
      <c r="B150" t="s">
        <v>609</v>
      </c>
      <c r="C150" t="s">
        <v>610</v>
      </c>
      <c r="D150" t="s">
        <v>611</v>
      </c>
      <c r="E150" t="s">
        <v>411</v>
      </c>
      <c r="F150" t="s">
        <v>412</v>
      </c>
      <c r="G150">
        <v>2010</v>
      </c>
      <c r="H150">
        <v>35</v>
      </c>
      <c r="I150">
        <v>6</v>
      </c>
      <c r="J150">
        <v>2367</v>
      </c>
      <c r="K150">
        <v>2373</v>
      </c>
      <c r="L150" t="s">
        <v>612</v>
      </c>
      <c r="M150" t="str">
        <f>HYPERLINK("http://dx.doi.org/10.1016/j.energy.2010.02.003","http://dx.doi.org/10.1016/j.energy.2010.02.003")</f>
        <v>http://dx.doi.org/10.1016/j.energy.2010.02.003</v>
      </c>
    </row>
    <row r="151" spans="1:13" x14ac:dyDescent="0.2">
      <c r="A151" t="s">
        <v>13</v>
      </c>
      <c r="B151" t="s">
        <v>866</v>
      </c>
      <c r="C151" t="s">
        <v>867</v>
      </c>
      <c r="D151" t="s">
        <v>868</v>
      </c>
      <c r="E151" t="s">
        <v>258</v>
      </c>
      <c r="F151" t="s">
        <v>259</v>
      </c>
      <c r="G151">
        <v>2010</v>
      </c>
      <c r="H151">
        <v>51</v>
      </c>
      <c r="I151">
        <v>1</v>
      </c>
      <c r="J151">
        <v>155</v>
      </c>
      <c r="K151">
        <v>168</v>
      </c>
      <c r="L151" t="s">
        <v>869</v>
      </c>
      <c r="M151" t="str">
        <f>HYPERLINK("http://dx.doi.org/10.1016/j.enconman.2009.09.007","http://dx.doi.org/10.1016/j.enconman.2009.09.007")</f>
        <v>http://dx.doi.org/10.1016/j.enconman.2009.09.007</v>
      </c>
    </row>
    <row r="152" spans="1:13" x14ac:dyDescent="0.2">
      <c r="A152" t="s">
        <v>13</v>
      </c>
      <c r="B152" t="s">
        <v>936</v>
      </c>
      <c r="C152" t="s">
        <v>937</v>
      </c>
      <c r="D152" t="s">
        <v>938</v>
      </c>
      <c r="E152" t="s">
        <v>939</v>
      </c>
      <c r="F152" t="s">
        <v>940</v>
      </c>
      <c r="G152">
        <v>2010</v>
      </c>
      <c r="H152">
        <v>18</v>
      </c>
      <c r="I152">
        <v>9</v>
      </c>
      <c r="J152">
        <v>1327</v>
      </c>
      <c r="K152">
        <v>1341</v>
      </c>
      <c r="L152" t="s">
        <v>941</v>
      </c>
      <c r="M152" t="str">
        <f>HYPERLINK("http://dx.doi.org/10.1016/j.simpat.2010.05.006","http://dx.doi.org/10.1016/j.simpat.2010.05.006")</f>
        <v>http://dx.doi.org/10.1016/j.simpat.2010.05.006</v>
      </c>
    </row>
    <row r="153" spans="1:13" x14ac:dyDescent="0.2">
      <c r="A153" t="s">
        <v>13</v>
      </c>
      <c r="B153" t="s">
        <v>975</v>
      </c>
      <c r="C153" t="s">
        <v>976</v>
      </c>
      <c r="D153" t="s">
        <v>977</v>
      </c>
      <c r="E153" t="s">
        <v>297</v>
      </c>
      <c r="F153" t="s">
        <v>298</v>
      </c>
      <c r="G153">
        <v>2010</v>
      </c>
      <c r="H153">
        <v>42</v>
      </c>
      <c r="I153">
        <v>7</v>
      </c>
      <c r="J153">
        <v>1075</v>
      </c>
      <c r="K153">
        <v>1083</v>
      </c>
      <c r="L153" t="s">
        <v>978</v>
      </c>
      <c r="M153" t="str">
        <f>HYPERLINK("http://dx.doi.org/10.1016/j.enbuild.2010.01.021","http://dx.doi.org/10.1016/j.enbuild.2010.01.021")</f>
        <v>http://dx.doi.org/10.1016/j.enbuild.2010.01.021</v>
      </c>
    </row>
    <row r="154" spans="1:13" x14ac:dyDescent="0.2">
      <c r="A154" t="s">
        <v>13</v>
      </c>
      <c r="B154" t="s">
        <v>1128</v>
      </c>
      <c r="C154" t="s">
        <v>1129</v>
      </c>
      <c r="D154" t="s">
        <v>1130</v>
      </c>
      <c r="E154" t="s">
        <v>1131</v>
      </c>
      <c r="F154" t="s">
        <v>1132</v>
      </c>
      <c r="G154">
        <v>2010</v>
      </c>
      <c r="H154">
        <v>47</v>
      </c>
      <c r="I154">
        <v>1</v>
      </c>
      <c r="J154">
        <v>1</v>
      </c>
      <c r="K154">
        <v>10</v>
      </c>
      <c r="L154" t="s">
        <v>15</v>
      </c>
      <c r="M154" t="s">
        <v>15</v>
      </c>
    </row>
    <row r="155" spans="1:13" x14ac:dyDescent="0.2">
      <c r="A155" t="s">
        <v>13</v>
      </c>
      <c r="B155" t="s">
        <v>1180</v>
      </c>
      <c r="C155" t="s">
        <v>1181</v>
      </c>
      <c r="D155" t="s">
        <v>1182</v>
      </c>
      <c r="E155" t="s">
        <v>859</v>
      </c>
      <c r="F155" t="s">
        <v>860</v>
      </c>
      <c r="G155">
        <v>2010</v>
      </c>
      <c r="H155">
        <v>97</v>
      </c>
      <c r="I155">
        <v>6</v>
      </c>
      <c r="J155">
        <v>777</v>
      </c>
      <c r="K155">
        <v>782</v>
      </c>
      <c r="L155" t="s">
        <v>1183</v>
      </c>
      <c r="M155" t="str">
        <f>HYPERLINK("http://dx.doi.org/10.1016/j.agwat.2010.01.014","http://dx.doi.org/10.1016/j.agwat.2010.01.014")</f>
        <v>http://dx.doi.org/10.1016/j.agwat.2010.01.014</v>
      </c>
    </row>
    <row r="156" spans="1:13" x14ac:dyDescent="0.2">
      <c r="A156" t="s">
        <v>13</v>
      </c>
      <c r="B156" t="s">
        <v>1270</v>
      </c>
      <c r="C156" t="s">
        <v>1271</v>
      </c>
      <c r="D156" t="s">
        <v>1272</v>
      </c>
      <c r="E156" t="s">
        <v>122</v>
      </c>
      <c r="F156" t="s">
        <v>123</v>
      </c>
      <c r="G156">
        <v>2010</v>
      </c>
      <c r="H156">
        <v>2010</v>
      </c>
      <c r="I156" t="s">
        <v>15</v>
      </c>
      <c r="J156" t="s">
        <v>15</v>
      </c>
      <c r="K156" t="s">
        <v>15</v>
      </c>
      <c r="L156" t="s">
        <v>1273</v>
      </c>
      <c r="M156" t="str">
        <f>HYPERLINK("http://dx.doi.org/10.1155/2010/842380","http://dx.doi.org/10.1155/2010/842380")</f>
        <v>http://dx.doi.org/10.1155/2010/842380</v>
      </c>
    </row>
    <row r="157" spans="1:13" x14ac:dyDescent="0.2">
      <c r="A157" t="s">
        <v>13</v>
      </c>
      <c r="B157" t="s">
        <v>1701</v>
      </c>
      <c r="C157" t="s">
        <v>1702</v>
      </c>
      <c r="D157" t="s">
        <v>1703</v>
      </c>
      <c r="E157" t="s">
        <v>1704</v>
      </c>
      <c r="F157" t="s">
        <v>1705</v>
      </c>
      <c r="G157">
        <v>2010</v>
      </c>
      <c r="H157">
        <v>44</v>
      </c>
      <c r="I157">
        <v>7</v>
      </c>
      <c r="J157">
        <v>791</v>
      </c>
      <c r="K157">
        <v>805</v>
      </c>
      <c r="L157" t="s">
        <v>15</v>
      </c>
      <c r="M157" t="s">
        <v>15</v>
      </c>
    </row>
    <row r="158" spans="1:13" x14ac:dyDescent="0.2">
      <c r="A158" t="s">
        <v>13</v>
      </c>
      <c r="B158" t="s">
        <v>252</v>
      </c>
      <c r="C158" t="s">
        <v>253</v>
      </c>
      <c r="D158" t="s">
        <v>254</v>
      </c>
      <c r="E158" t="s">
        <v>92</v>
      </c>
      <c r="F158" t="s">
        <v>93</v>
      </c>
      <c r="G158">
        <v>2011</v>
      </c>
      <c r="H158">
        <v>15</v>
      </c>
      <c r="I158">
        <v>8</v>
      </c>
      <c r="J158">
        <v>3934</v>
      </c>
      <c r="K158">
        <v>3945</v>
      </c>
      <c r="L158" t="s">
        <v>255</v>
      </c>
      <c r="M158" t="str">
        <f>HYPERLINK("http://dx.doi.org/10.1016/j.rser.2011.07.030","http://dx.doi.org/10.1016/j.rser.2011.07.030")</f>
        <v>http://dx.doi.org/10.1016/j.rser.2011.07.030</v>
      </c>
    </row>
    <row r="159" spans="1:13" x14ac:dyDescent="0.2">
      <c r="A159" t="s">
        <v>13</v>
      </c>
      <c r="B159" t="s">
        <v>261</v>
      </c>
      <c r="C159" t="s">
        <v>262</v>
      </c>
      <c r="D159" t="s">
        <v>263</v>
      </c>
      <c r="E159" t="s">
        <v>104</v>
      </c>
      <c r="F159" t="s">
        <v>105</v>
      </c>
      <c r="G159">
        <v>2011</v>
      </c>
      <c r="H159">
        <v>110</v>
      </c>
      <c r="I159">
        <v>4</v>
      </c>
      <c r="J159">
        <v>378</v>
      </c>
      <c r="K159">
        <v>395</v>
      </c>
      <c r="L159" t="s">
        <v>264</v>
      </c>
      <c r="M159" t="str">
        <f>HYPERLINK("http://dx.doi.org/10.1016/j.biosystemseng.2011.08.005","http://dx.doi.org/10.1016/j.biosystemseng.2011.08.005")</f>
        <v>http://dx.doi.org/10.1016/j.biosystemseng.2011.08.005</v>
      </c>
    </row>
    <row r="160" spans="1:13" x14ac:dyDescent="0.2">
      <c r="A160" t="s">
        <v>13</v>
      </c>
      <c r="B160" t="s">
        <v>540</v>
      </c>
      <c r="C160" t="s">
        <v>541</v>
      </c>
      <c r="D160" t="s">
        <v>542</v>
      </c>
      <c r="E160" t="s">
        <v>543</v>
      </c>
      <c r="F160" t="s">
        <v>544</v>
      </c>
      <c r="G160">
        <v>2011</v>
      </c>
      <c r="H160">
        <v>78</v>
      </c>
      <c r="I160">
        <v>170</v>
      </c>
      <c r="J160">
        <v>167</v>
      </c>
      <c r="K160">
        <v>174</v>
      </c>
      <c r="L160" t="s">
        <v>15</v>
      </c>
      <c r="M160" t="s">
        <v>15</v>
      </c>
    </row>
    <row r="161" spans="1:13" x14ac:dyDescent="0.2">
      <c r="A161" t="s">
        <v>13</v>
      </c>
      <c r="B161" t="s">
        <v>560</v>
      </c>
      <c r="C161" t="s">
        <v>561</v>
      </c>
      <c r="D161" t="s">
        <v>562</v>
      </c>
      <c r="E161" t="s">
        <v>104</v>
      </c>
      <c r="F161" t="s">
        <v>105</v>
      </c>
      <c r="G161">
        <v>2011</v>
      </c>
      <c r="H161">
        <v>110</v>
      </c>
      <c r="I161">
        <v>4</v>
      </c>
      <c r="J161">
        <v>396</v>
      </c>
      <c r="K161">
        <v>412</v>
      </c>
      <c r="L161" t="s">
        <v>563</v>
      </c>
      <c r="M161" t="str">
        <f>HYPERLINK("http://dx.doi.org/10.1016/j.biosystemseng.2011.08.006","http://dx.doi.org/10.1016/j.biosystemseng.2011.08.006")</f>
        <v>http://dx.doi.org/10.1016/j.biosystemseng.2011.08.006</v>
      </c>
    </row>
    <row r="162" spans="1:13" x14ac:dyDescent="0.2">
      <c r="A162" t="s">
        <v>13</v>
      </c>
      <c r="B162" t="s">
        <v>645</v>
      </c>
      <c r="C162" t="s">
        <v>646</v>
      </c>
      <c r="D162" t="s">
        <v>647</v>
      </c>
      <c r="E162" t="s">
        <v>297</v>
      </c>
      <c r="F162" t="s">
        <v>298</v>
      </c>
      <c r="G162">
        <v>2011</v>
      </c>
      <c r="H162">
        <v>43</v>
      </c>
      <c r="I162">
        <v>11</v>
      </c>
      <c r="J162">
        <v>3027</v>
      </c>
      <c r="K162">
        <v>3035</v>
      </c>
      <c r="L162" t="s">
        <v>648</v>
      </c>
      <c r="M162" t="str">
        <f>HYPERLINK("http://dx.doi.org/10.1016/j.enbuild.2011.07.020","http://dx.doi.org/10.1016/j.enbuild.2011.07.020")</f>
        <v>http://dx.doi.org/10.1016/j.enbuild.2011.07.020</v>
      </c>
    </row>
    <row r="163" spans="1:13" x14ac:dyDescent="0.2">
      <c r="A163" t="s">
        <v>13</v>
      </c>
      <c r="B163" t="s">
        <v>720</v>
      </c>
      <c r="C163" t="s">
        <v>721</v>
      </c>
      <c r="D163" t="s">
        <v>722</v>
      </c>
      <c r="E163" t="s">
        <v>723</v>
      </c>
      <c r="F163" t="s">
        <v>724</v>
      </c>
      <c r="G163">
        <v>2011</v>
      </c>
      <c r="H163">
        <v>10</v>
      </c>
      <c r="I163">
        <v>25</v>
      </c>
      <c r="J163">
        <v>5001</v>
      </c>
      <c r="K163">
        <v>5014</v>
      </c>
      <c r="L163" t="s">
        <v>15</v>
      </c>
      <c r="M163" t="s">
        <v>15</v>
      </c>
    </row>
    <row r="164" spans="1:13" x14ac:dyDescent="0.2">
      <c r="A164" t="s">
        <v>13</v>
      </c>
      <c r="B164" t="s">
        <v>850</v>
      </c>
      <c r="C164" t="s">
        <v>851</v>
      </c>
      <c r="D164" t="s">
        <v>852</v>
      </c>
      <c r="E164" t="s">
        <v>853</v>
      </c>
      <c r="F164" t="s">
        <v>854</v>
      </c>
      <c r="G164">
        <v>2011</v>
      </c>
      <c r="H164">
        <v>207</v>
      </c>
      <c r="I164" t="s">
        <v>651</v>
      </c>
      <c r="J164">
        <v>205</v>
      </c>
      <c r="K164">
        <v>211</v>
      </c>
      <c r="L164" t="s">
        <v>855</v>
      </c>
      <c r="M164" t="str">
        <f>HYPERLINK("http://dx.doi.org/10.1016/j.forsciint.2010.10.009","http://dx.doi.org/10.1016/j.forsciint.2010.10.009")</f>
        <v>http://dx.doi.org/10.1016/j.forsciint.2010.10.009</v>
      </c>
    </row>
    <row r="165" spans="1:13" x14ac:dyDescent="0.2">
      <c r="A165" t="s">
        <v>13</v>
      </c>
      <c r="B165" t="s">
        <v>942</v>
      </c>
      <c r="C165" t="s">
        <v>943</v>
      </c>
      <c r="D165" t="s">
        <v>944</v>
      </c>
      <c r="E165" t="s">
        <v>945</v>
      </c>
      <c r="F165" t="s">
        <v>15</v>
      </c>
      <c r="G165">
        <v>2011</v>
      </c>
      <c r="H165">
        <v>11</v>
      </c>
      <c r="I165">
        <v>3</v>
      </c>
      <c r="J165">
        <v>3281</v>
      </c>
      <c r="K165">
        <v>3302</v>
      </c>
      <c r="L165" t="s">
        <v>946</v>
      </c>
      <c r="M165" t="str">
        <f>HYPERLINK("http://dx.doi.org/10.3390/s110303281","http://dx.doi.org/10.3390/s110303281")</f>
        <v>http://dx.doi.org/10.3390/s110303281</v>
      </c>
    </row>
    <row r="166" spans="1:13" x14ac:dyDescent="0.2">
      <c r="A166" t="s">
        <v>13</v>
      </c>
      <c r="B166" t="s">
        <v>1090</v>
      </c>
      <c r="C166" t="s">
        <v>1091</v>
      </c>
      <c r="D166" t="s">
        <v>1092</v>
      </c>
      <c r="E166" t="s">
        <v>1093</v>
      </c>
      <c r="F166" t="s">
        <v>1094</v>
      </c>
      <c r="G166">
        <v>2011</v>
      </c>
      <c r="H166">
        <v>129</v>
      </c>
      <c r="I166">
        <v>2</v>
      </c>
      <c r="J166">
        <v>273</v>
      </c>
      <c r="K166">
        <v>278</v>
      </c>
      <c r="L166" t="s">
        <v>1095</v>
      </c>
      <c r="M166" t="str">
        <f>HYPERLINK("http://dx.doi.org/10.1016/j.scienta.2011.03.042","http://dx.doi.org/10.1016/j.scienta.2011.03.042")</f>
        <v>http://dx.doi.org/10.1016/j.scienta.2011.03.042</v>
      </c>
    </row>
    <row r="167" spans="1:13" x14ac:dyDescent="0.2">
      <c r="A167" t="s">
        <v>13</v>
      </c>
      <c r="B167" t="s">
        <v>1110</v>
      </c>
      <c r="C167" t="s">
        <v>1111</v>
      </c>
      <c r="D167" t="s">
        <v>1112</v>
      </c>
      <c r="E167" t="s">
        <v>104</v>
      </c>
      <c r="F167" t="s">
        <v>105</v>
      </c>
      <c r="G167">
        <v>2011</v>
      </c>
      <c r="H167">
        <v>110</v>
      </c>
      <c r="I167">
        <v>4</v>
      </c>
      <c r="J167">
        <v>363</v>
      </c>
      <c r="K167">
        <v>377</v>
      </c>
      <c r="L167" t="s">
        <v>1113</v>
      </c>
      <c r="M167" t="str">
        <f>HYPERLINK("http://dx.doi.org/10.1016/j.biosystemseng.2011.06.001","http://dx.doi.org/10.1016/j.biosystemseng.2011.06.001")</f>
        <v>http://dx.doi.org/10.1016/j.biosystemseng.2011.06.001</v>
      </c>
    </row>
    <row r="168" spans="1:13" x14ac:dyDescent="0.2">
      <c r="A168" t="s">
        <v>13</v>
      </c>
      <c r="B168" t="s">
        <v>1184</v>
      </c>
      <c r="C168" t="s">
        <v>1185</v>
      </c>
      <c r="D168" t="s">
        <v>1186</v>
      </c>
      <c r="E168" t="s">
        <v>179</v>
      </c>
      <c r="F168" t="s">
        <v>180</v>
      </c>
      <c r="G168">
        <v>2011</v>
      </c>
      <c r="H168">
        <v>36</v>
      </c>
      <c r="I168">
        <v>1</v>
      </c>
      <c r="J168">
        <v>189</v>
      </c>
      <c r="K168">
        <v>196</v>
      </c>
      <c r="L168" t="s">
        <v>1187</v>
      </c>
      <c r="M168" t="str">
        <f>HYPERLINK("http://dx.doi.org/10.1016/j.renene.2010.06.020","http://dx.doi.org/10.1016/j.renene.2010.06.020")</f>
        <v>http://dx.doi.org/10.1016/j.renene.2010.06.020</v>
      </c>
    </row>
    <row r="169" spans="1:13" x14ac:dyDescent="0.2">
      <c r="A169" t="s">
        <v>13</v>
      </c>
      <c r="B169" t="s">
        <v>1370</v>
      </c>
      <c r="C169" t="s">
        <v>1371</v>
      </c>
      <c r="D169" t="s">
        <v>1372</v>
      </c>
      <c r="E169" t="s">
        <v>1373</v>
      </c>
      <c r="F169" t="s">
        <v>1374</v>
      </c>
      <c r="G169">
        <v>2011</v>
      </c>
      <c r="H169">
        <v>61</v>
      </c>
      <c r="I169">
        <v>1</v>
      </c>
      <c r="J169">
        <v>103</v>
      </c>
      <c r="K169">
        <v>115</v>
      </c>
      <c r="L169" t="s">
        <v>1375</v>
      </c>
      <c r="M169" t="str">
        <f>HYPERLINK("http://dx.doi.org/10.1007/s13213-010-0088-2","http://dx.doi.org/10.1007/s13213-010-0088-2")</f>
        <v>http://dx.doi.org/10.1007/s13213-010-0088-2</v>
      </c>
    </row>
    <row r="170" spans="1:13" x14ac:dyDescent="0.2">
      <c r="A170" t="s">
        <v>13</v>
      </c>
      <c r="B170" t="s">
        <v>1577</v>
      </c>
      <c r="C170" t="s">
        <v>1578</v>
      </c>
      <c r="D170" t="s">
        <v>1579</v>
      </c>
      <c r="E170" t="s">
        <v>245</v>
      </c>
      <c r="F170" t="s">
        <v>246</v>
      </c>
      <c r="G170">
        <v>2011</v>
      </c>
      <c r="H170">
        <v>19</v>
      </c>
      <c r="I170">
        <v>13</v>
      </c>
      <c r="J170">
        <v>1446</v>
      </c>
      <c r="K170">
        <v>1454</v>
      </c>
      <c r="L170" t="s">
        <v>1580</v>
      </c>
      <c r="M170" t="str">
        <f>HYPERLINK("http://dx.doi.org/10.1016/j.jclepro.2011.04.016","http://dx.doi.org/10.1016/j.jclepro.2011.04.016")</f>
        <v>http://dx.doi.org/10.1016/j.jclepro.2011.04.016</v>
      </c>
    </row>
    <row r="171" spans="1:13" x14ac:dyDescent="0.2">
      <c r="A171" t="s">
        <v>13</v>
      </c>
      <c r="B171" t="s">
        <v>1654</v>
      </c>
      <c r="C171" t="s">
        <v>1655</v>
      </c>
      <c r="D171" t="s">
        <v>1656</v>
      </c>
      <c r="E171" t="s">
        <v>1657</v>
      </c>
      <c r="F171" t="s">
        <v>1658</v>
      </c>
      <c r="G171">
        <v>2011</v>
      </c>
      <c r="H171">
        <v>35</v>
      </c>
      <c r="I171">
        <v>8</v>
      </c>
      <c r="J171">
        <v>3422</v>
      </c>
      <c r="K171">
        <v>3432</v>
      </c>
      <c r="L171" t="s">
        <v>1659</v>
      </c>
      <c r="M171" t="str">
        <f>HYPERLINK("http://dx.doi.org/10.1016/j.biombioe.2011.06.013","http://dx.doi.org/10.1016/j.biombioe.2011.06.013")</f>
        <v>http://dx.doi.org/10.1016/j.biombioe.2011.06.013</v>
      </c>
    </row>
    <row r="172" spans="1:13" x14ac:dyDescent="0.2">
      <c r="A172" t="s">
        <v>13</v>
      </c>
      <c r="B172" t="s">
        <v>1746</v>
      </c>
      <c r="C172" t="s">
        <v>1747</v>
      </c>
      <c r="D172" t="s">
        <v>1748</v>
      </c>
      <c r="E172" t="s">
        <v>1449</v>
      </c>
      <c r="F172" t="s">
        <v>1450</v>
      </c>
      <c r="G172">
        <v>2011</v>
      </c>
      <c r="H172">
        <v>47</v>
      </c>
      <c r="I172">
        <v>5</v>
      </c>
      <c r="J172">
        <v>909</v>
      </c>
      <c r="K172">
        <v>919</v>
      </c>
      <c r="L172" t="s">
        <v>1749</v>
      </c>
      <c r="M172" t="str">
        <f>HYPERLINK("http://dx.doi.org/10.1016/j.automatica.2011.01.057","http://dx.doi.org/10.1016/j.automatica.2011.01.057")</f>
        <v>http://dx.doi.org/10.1016/j.automatica.2011.01.057</v>
      </c>
    </row>
    <row r="173" spans="1:13" x14ac:dyDescent="0.2">
      <c r="A173" t="s">
        <v>13</v>
      </c>
      <c r="B173" t="s">
        <v>437</v>
      </c>
      <c r="C173" t="s">
        <v>438</v>
      </c>
      <c r="D173" t="s">
        <v>439</v>
      </c>
      <c r="E173" t="s">
        <v>440</v>
      </c>
      <c r="F173" t="s">
        <v>441</v>
      </c>
      <c r="G173">
        <v>2012</v>
      </c>
      <c r="H173" t="s">
        <v>15</v>
      </c>
      <c r="I173" t="s">
        <v>15</v>
      </c>
      <c r="J173" t="s">
        <v>15</v>
      </c>
      <c r="K173" t="s">
        <v>15</v>
      </c>
      <c r="L173" t="s">
        <v>442</v>
      </c>
      <c r="M173" t="str">
        <f>HYPERLINK("http://dx.doi.org/10.1155/2012/158563","http://dx.doi.org/10.1155/2012/158563")</f>
        <v>http://dx.doi.org/10.1155/2012/158563</v>
      </c>
    </row>
    <row r="174" spans="1:13" x14ac:dyDescent="0.2">
      <c r="A174" t="s">
        <v>13</v>
      </c>
      <c r="B174" t="s">
        <v>595</v>
      </c>
      <c r="C174" t="s">
        <v>596</v>
      </c>
      <c r="D174" t="s">
        <v>597</v>
      </c>
      <c r="E174" t="s">
        <v>598</v>
      </c>
      <c r="F174" t="s">
        <v>599</v>
      </c>
      <c r="G174">
        <v>2012</v>
      </c>
      <c r="H174">
        <v>35</v>
      </c>
      <c r="I174">
        <v>2</v>
      </c>
      <c r="J174">
        <v>288</v>
      </c>
      <c r="K174">
        <v>303</v>
      </c>
      <c r="L174" t="s">
        <v>600</v>
      </c>
      <c r="M174" t="str">
        <f>HYPERLINK("http://dx.doi.org/10.1080/01904167.2012.636131","http://dx.doi.org/10.1080/01904167.2012.636131")</f>
        <v>http://dx.doi.org/10.1080/01904167.2012.636131</v>
      </c>
    </row>
    <row r="175" spans="1:13" x14ac:dyDescent="0.2">
      <c r="A175" t="s">
        <v>13</v>
      </c>
      <c r="B175" t="s">
        <v>762</v>
      </c>
      <c r="C175" t="s">
        <v>763</v>
      </c>
      <c r="D175" t="s">
        <v>764</v>
      </c>
      <c r="E175" t="s">
        <v>765</v>
      </c>
      <c r="F175" t="s">
        <v>766</v>
      </c>
      <c r="G175">
        <v>2012</v>
      </c>
      <c r="H175">
        <v>124</v>
      </c>
      <c r="I175" t="s">
        <v>15</v>
      </c>
      <c r="J175">
        <v>259</v>
      </c>
      <c r="K175">
        <v>268</v>
      </c>
      <c r="L175" t="s">
        <v>767</v>
      </c>
      <c r="M175" t="str">
        <f>HYPERLINK("http://dx.doi.org/10.1016/j.biortech.2012.08.019","http://dx.doi.org/10.1016/j.biortech.2012.08.019")</f>
        <v>http://dx.doi.org/10.1016/j.biortech.2012.08.019</v>
      </c>
    </row>
    <row r="176" spans="1:13" x14ac:dyDescent="0.2">
      <c r="A176" t="s">
        <v>13</v>
      </c>
      <c r="B176" t="s">
        <v>903</v>
      </c>
      <c r="C176" t="s">
        <v>904</v>
      </c>
      <c r="D176" t="s">
        <v>905</v>
      </c>
      <c r="E176" t="s">
        <v>104</v>
      </c>
      <c r="F176" t="s">
        <v>105</v>
      </c>
      <c r="G176">
        <v>2012</v>
      </c>
      <c r="H176">
        <v>111</v>
      </c>
      <c r="I176">
        <v>4</v>
      </c>
      <c r="J176">
        <v>336</v>
      </c>
      <c r="K176">
        <v>349</v>
      </c>
      <c r="L176" t="s">
        <v>906</v>
      </c>
      <c r="M176" t="str">
        <f>HYPERLINK("http://dx.doi.org/10.1016/j.biosystemseng.2011.12.008","http://dx.doi.org/10.1016/j.biosystemseng.2011.12.008")</f>
        <v>http://dx.doi.org/10.1016/j.biosystemseng.2011.12.008</v>
      </c>
    </row>
    <row r="177" spans="1:13" x14ac:dyDescent="0.2">
      <c r="A177" t="s">
        <v>13</v>
      </c>
      <c r="B177" t="s">
        <v>1114</v>
      </c>
      <c r="C177" t="s">
        <v>1115</v>
      </c>
      <c r="D177" t="s">
        <v>1116</v>
      </c>
      <c r="E177" t="s">
        <v>1117</v>
      </c>
      <c r="F177" t="s">
        <v>1118</v>
      </c>
      <c r="G177">
        <v>2012</v>
      </c>
      <c r="H177">
        <v>35</v>
      </c>
      <c r="I177">
        <v>5</v>
      </c>
      <c r="J177">
        <v>715</v>
      </c>
      <c r="K177">
        <v>726</v>
      </c>
      <c r="L177" t="s">
        <v>1119</v>
      </c>
      <c r="M177" t="str">
        <f>HYPERLINK("http://dx.doi.org/10.1111/j.1745-4530.2010.00620.x","http://dx.doi.org/10.1111/j.1745-4530.2010.00620.x")</f>
        <v>http://dx.doi.org/10.1111/j.1745-4530.2010.00620.x</v>
      </c>
    </row>
    <row r="178" spans="1:13" x14ac:dyDescent="0.2">
      <c r="A178" t="s">
        <v>13</v>
      </c>
      <c r="B178" t="s">
        <v>1249</v>
      </c>
      <c r="C178" t="s">
        <v>1250</v>
      </c>
      <c r="D178" t="s">
        <v>1251</v>
      </c>
      <c r="E178" t="s">
        <v>1252</v>
      </c>
      <c r="F178" t="s">
        <v>1253</v>
      </c>
      <c r="G178">
        <v>2012</v>
      </c>
      <c r="H178">
        <v>14</v>
      </c>
      <c r="I178">
        <v>11</v>
      </c>
      <c r="J178">
        <v>3029</v>
      </c>
      <c r="K178">
        <v>3036</v>
      </c>
      <c r="L178" t="s">
        <v>1254</v>
      </c>
      <c r="M178" t="str">
        <f>HYPERLINK("http://dx.doi.org/10.1039/c2em30456b","http://dx.doi.org/10.1039/c2em30456b")</f>
        <v>http://dx.doi.org/10.1039/c2em30456b</v>
      </c>
    </row>
    <row r="179" spans="1:13" x14ac:dyDescent="0.2">
      <c r="A179" t="s">
        <v>13</v>
      </c>
      <c r="B179" t="s">
        <v>1617</v>
      </c>
      <c r="C179" t="s">
        <v>1618</v>
      </c>
      <c r="D179" t="s">
        <v>1619</v>
      </c>
      <c r="E179" t="s">
        <v>1620</v>
      </c>
      <c r="F179" t="s">
        <v>1621</v>
      </c>
      <c r="G179">
        <v>2012</v>
      </c>
      <c r="H179">
        <v>10</v>
      </c>
      <c r="I179">
        <v>4</v>
      </c>
      <c r="J179">
        <v>926</v>
      </c>
      <c r="K179">
        <v>938</v>
      </c>
      <c r="L179" t="s">
        <v>1622</v>
      </c>
      <c r="M179" t="str">
        <f>HYPERLINK("http://dx.doi.org/10.5424/sjar/2012104-487-11","http://dx.doi.org/10.5424/sjar/2012104-487-11")</f>
        <v>http://dx.doi.org/10.5424/sjar/2012104-487-11</v>
      </c>
    </row>
    <row r="180" spans="1:13" x14ac:dyDescent="0.2">
      <c r="A180" t="s">
        <v>13</v>
      </c>
      <c r="B180" t="s">
        <v>1740</v>
      </c>
      <c r="C180" t="s">
        <v>1741</v>
      </c>
      <c r="D180" t="s">
        <v>1742</v>
      </c>
      <c r="E180" t="s">
        <v>1743</v>
      </c>
      <c r="F180" t="s">
        <v>1744</v>
      </c>
      <c r="G180">
        <v>2012</v>
      </c>
      <c r="H180">
        <v>102</v>
      </c>
      <c r="I180">
        <v>4</v>
      </c>
      <c r="J180">
        <v>406</v>
      </c>
      <c r="K180">
        <v>414</v>
      </c>
      <c r="L180" t="s">
        <v>1745</v>
      </c>
      <c r="M180" t="str">
        <f>HYPERLINK("http://dx.doi.org/10.1017/S0007485311000745","http://dx.doi.org/10.1017/S0007485311000745")</f>
        <v>http://dx.doi.org/10.1017/S0007485311000745</v>
      </c>
    </row>
    <row r="181" spans="1:13" x14ac:dyDescent="0.2">
      <c r="A181" t="s">
        <v>13</v>
      </c>
      <c r="B181" t="s">
        <v>1756</v>
      </c>
      <c r="C181" t="s">
        <v>1757</v>
      </c>
      <c r="D181" t="s">
        <v>1758</v>
      </c>
      <c r="E181" t="s">
        <v>1759</v>
      </c>
      <c r="F181" t="s">
        <v>1760</v>
      </c>
      <c r="G181">
        <v>2012</v>
      </c>
      <c r="H181">
        <v>4</v>
      </c>
      <c r="I181">
        <v>1</v>
      </c>
      <c r="J181">
        <v>16</v>
      </c>
      <c r="K181">
        <v>54</v>
      </c>
      <c r="L181" t="s">
        <v>1761</v>
      </c>
      <c r="M181" t="str">
        <f>HYPERLINK("http://dx.doi.org/10.1007/s12393-011-9044-6","http://dx.doi.org/10.1007/s12393-011-9044-6")</f>
        <v>http://dx.doi.org/10.1007/s12393-011-9044-6</v>
      </c>
    </row>
    <row r="182" spans="1:13" x14ac:dyDescent="0.2">
      <c r="A182" t="s">
        <v>13</v>
      </c>
      <c r="B182" t="s">
        <v>70</v>
      </c>
      <c r="C182" t="s">
        <v>71</v>
      </c>
      <c r="D182" t="s">
        <v>72</v>
      </c>
      <c r="E182" t="s">
        <v>73</v>
      </c>
      <c r="F182" t="s">
        <v>74</v>
      </c>
      <c r="G182">
        <v>2013</v>
      </c>
      <c r="H182">
        <v>96</v>
      </c>
      <c r="I182" t="s">
        <v>15</v>
      </c>
      <c r="J182">
        <v>56</v>
      </c>
      <c r="K182">
        <v>82</v>
      </c>
      <c r="L182" t="s">
        <v>75</v>
      </c>
      <c r="M182" t="str">
        <f>HYPERLINK("http://dx.doi.org/10.1016/j.solener.2013.06.034","http://dx.doi.org/10.1016/j.solener.2013.06.034")</f>
        <v>http://dx.doi.org/10.1016/j.solener.2013.06.034</v>
      </c>
    </row>
    <row r="183" spans="1:13" x14ac:dyDescent="0.2">
      <c r="A183" t="s">
        <v>13</v>
      </c>
      <c r="B183" t="s">
        <v>119</v>
      </c>
      <c r="C183" t="s">
        <v>120</v>
      </c>
      <c r="D183" t="s">
        <v>121</v>
      </c>
      <c r="E183" t="s">
        <v>122</v>
      </c>
      <c r="F183" t="s">
        <v>123</v>
      </c>
      <c r="G183">
        <v>2013</v>
      </c>
      <c r="H183">
        <v>2013</v>
      </c>
      <c r="I183" t="s">
        <v>15</v>
      </c>
      <c r="J183" t="s">
        <v>15</v>
      </c>
      <c r="K183" t="s">
        <v>15</v>
      </c>
      <c r="L183" t="s">
        <v>124</v>
      </c>
      <c r="M183" t="str">
        <f>HYPERLINK("http://dx.doi.org/10.1155/2013/639306","http://dx.doi.org/10.1155/2013/639306")</f>
        <v>http://dx.doi.org/10.1155/2013/639306</v>
      </c>
    </row>
    <row r="184" spans="1:13" x14ac:dyDescent="0.2">
      <c r="A184" t="s">
        <v>13</v>
      </c>
      <c r="B184" t="s">
        <v>154</v>
      </c>
      <c r="C184" t="s">
        <v>155</v>
      </c>
      <c r="D184" t="s">
        <v>156</v>
      </c>
      <c r="E184" t="s">
        <v>157</v>
      </c>
      <c r="F184" t="s">
        <v>158</v>
      </c>
      <c r="G184">
        <v>2013</v>
      </c>
      <c r="H184">
        <v>28</v>
      </c>
      <c r="I184">
        <v>4</v>
      </c>
      <c r="J184">
        <v>2154</v>
      </c>
      <c r="K184">
        <v>2161</v>
      </c>
      <c r="L184" t="s">
        <v>159</v>
      </c>
      <c r="M184" t="str">
        <f>HYPERLINK("http://dx.doi.org/10.1109/TPWRD.2013.2264841","http://dx.doi.org/10.1109/TPWRD.2013.2264841")</f>
        <v>http://dx.doi.org/10.1109/TPWRD.2013.2264841</v>
      </c>
    </row>
    <row r="185" spans="1:13" x14ac:dyDescent="0.2">
      <c r="A185" t="s">
        <v>13</v>
      </c>
      <c r="B185" t="s">
        <v>714</v>
      </c>
      <c r="C185" t="s">
        <v>715</v>
      </c>
      <c r="D185" t="s">
        <v>716</v>
      </c>
      <c r="E185" t="s">
        <v>717</v>
      </c>
      <c r="F185" t="s">
        <v>718</v>
      </c>
      <c r="G185">
        <v>2013</v>
      </c>
      <c r="H185">
        <v>61</v>
      </c>
      <c r="I185">
        <v>46</v>
      </c>
      <c r="J185">
        <v>11133</v>
      </c>
      <c r="K185">
        <v>11139</v>
      </c>
      <c r="L185" t="s">
        <v>719</v>
      </c>
      <c r="M185" t="str">
        <f>HYPERLINK("http://dx.doi.org/10.1021/jf403694q","http://dx.doi.org/10.1021/jf403694q")</f>
        <v>http://dx.doi.org/10.1021/jf403694q</v>
      </c>
    </row>
    <row r="186" spans="1:13" x14ac:dyDescent="0.2">
      <c r="A186" t="s">
        <v>13</v>
      </c>
      <c r="B186" t="s">
        <v>729</v>
      </c>
      <c r="C186" t="s">
        <v>730</v>
      </c>
      <c r="D186" t="s">
        <v>731</v>
      </c>
      <c r="E186" t="s">
        <v>258</v>
      </c>
      <c r="F186" t="s">
        <v>259</v>
      </c>
      <c r="G186">
        <v>2013</v>
      </c>
      <c r="H186">
        <v>74</v>
      </c>
      <c r="I186" t="s">
        <v>15</v>
      </c>
      <c r="J186">
        <v>511</v>
      </c>
      <c r="K186">
        <v>523</v>
      </c>
      <c r="L186" t="s">
        <v>732</v>
      </c>
      <c r="M186" t="str">
        <f>HYPERLINK("http://dx.doi.org/10.1016/j.enconman.2013.06.020","http://dx.doi.org/10.1016/j.enconman.2013.06.020")</f>
        <v>http://dx.doi.org/10.1016/j.enconman.2013.06.020</v>
      </c>
    </row>
    <row r="187" spans="1:13" x14ac:dyDescent="0.2">
      <c r="A187" t="s">
        <v>13</v>
      </c>
      <c r="B187" t="s">
        <v>743</v>
      </c>
      <c r="C187" t="s">
        <v>744</v>
      </c>
      <c r="D187" t="s">
        <v>745</v>
      </c>
      <c r="E187" t="s">
        <v>92</v>
      </c>
      <c r="F187" t="s">
        <v>93</v>
      </c>
      <c r="G187">
        <v>2013</v>
      </c>
      <c r="H187">
        <v>19</v>
      </c>
      <c r="I187" t="s">
        <v>15</v>
      </c>
      <c r="J187">
        <v>238</v>
      </c>
      <c r="K187">
        <v>246</v>
      </c>
      <c r="L187" t="s">
        <v>746</v>
      </c>
      <c r="M187" t="str">
        <f>HYPERLINK("http://dx.doi.org/10.1016/j.rser.2012.11.023","http://dx.doi.org/10.1016/j.rser.2012.11.023")</f>
        <v>http://dx.doi.org/10.1016/j.rser.2012.11.023</v>
      </c>
    </row>
    <row r="188" spans="1:13" x14ac:dyDescent="0.2">
      <c r="A188" t="s">
        <v>13</v>
      </c>
      <c r="B188" t="s">
        <v>788</v>
      </c>
      <c r="C188" t="s">
        <v>789</v>
      </c>
      <c r="D188" t="s">
        <v>790</v>
      </c>
      <c r="E188" t="s">
        <v>791</v>
      </c>
      <c r="F188" t="s">
        <v>792</v>
      </c>
      <c r="G188">
        <v>2013</v>
      </c>
      <c r="H188">
        <v>29</v>
      </c>
      <c r="I188">
        <v>6</v>
      </c>
      <c r="J188">
        <v>991</v>
      </c>
      <c r="K188">
        <v>997</v>
      </c>
      <c r="L188" t="s">
        <v>15</v>
      </c>
      <c r="M188" t="s">
        <v>15</v>
      </c>
    </row>
    <row r="189" spans="1:13" x14ac:dyDescent="0.2">
      <c r="A189" t="s">
        <v>13</v>
      </c>
      <c r="B189" t="s">
        <v>846</v>
      </c>
      <c r="C189" t="s">
        <v>847</v>
      </c>
      <c r="D189" t="s">
        <v>848</v>
      </c>
      <c r="E189" t="s">
        <v>104</v>
      </c>
      <c r="F189" t="s">
        <v>105</v>
      </c>
      <c r="G189">
        <v>2013</v>
      </c>
      <c r="H189">
        <v>116</v>
      </c>
      <c r="I189">
        <v>2</v>
      </c>
      <c r="J189">
        <v>130</v>
      </c>
      <c r="K189">
        <v>143</v>
      </c>
      <c r="L189" t="s">
        <v>849</v>
      </c>
      <c r="M189" t="str">
        <f>HYPERLINK("http://dx.doi.org/10.1016/j.biosystemseng.2013.07.005","http://dx.doi.org/10.1016/j.biosystemseng.2013.07.005")</f>
        <v>http://dx.doi.org/10.1016/j.biosystemseng.2013.07.005</v>
      </c>
    </row>
    <row r="190" spans="1:13" x14ac:dyDescent="0.2">
      <c r="A190" t="s">
        <v>13</v>
      </c>
      <c r="B190" t="s">
        <v>1222</v>
      </c>
      <c r="C190" t="s">
        <v>1223</v>
      </c>
      <c r="D190" t="s">
        <v>1224</v>
      </c>
      <c r="E190" t="s">
        <v>1225</v>
      </c>
      <c r="F190" t="s">
        <v>1226</v>
      </c>
      <c r="G190">
        <v>2013</v>
      </c>
      <c r="H190">
        <v>23</v>
      </c>
      <c r="I190">
        <v>5</v>
      </c>
      <c r="J190">
        <v>622</v>
      </c>
      <c r="K190">
        <v>628</v>
      </c>
      <c r="L190" t="s">
        <v>1227</v>
      </c>
      <c r="M190" t="str">
        <f>HYPERLINK("http://dx.doi.org/10.21273/HORTTECH.23.5.622","http://dx.doi.org/10.21273/HORTTECH.23.5.622")</f>
        <v>http://dx.doi.org/10.21273/HORTTECH.23.5.622</v>
      </c>
    </row>
    <row r="191" spans="1:13" x14ac:dyDescent="0.2">
      <c r="A191" t="s">
        <v>13</v>
      </c>
      <c r="B191" t="s">
        <v>1279</v>
      </c>
      <c r="C191" t="s">
        <v>1280</v>
      </c>
      <c r="D191" t="s">
        <v>1281</v>
      </c>
      <c r="E191" t="s">
        <v>1282</v>
      </c>
      <c r="F191" t="s">
        <v>1283</v>
      </c>
      <c r="G191">
        <v>2013</v>
      </c>
      <c r="H191">
        <v>56</v>
      </c>
      <c r="I191">
        <v>3</v>
      </c>
      <c r="J191">
        <v>208</v>
      </c>
      <c r="K191">
        <v>219</v>
      </c>
      <c r="L191" t="s">
        <v>1284</v>
      </c>
      <c r="M191" t="str">
        <f>HYPERLINK("http://dx.doi.org/10.1080/00038628.2013.809688","http://dx.doi.org/10.1080/00038628.2013.809688")</f>
        <v>http://dx.doi.org/10.1080/00038628.2013.809688</v>
      </c>
    </row>
    <row r="192" spans="1:13" x14ac:dyDescent="0.2">
      <c r="A192" t="s">
        <v>13</v>
      </c>
      <c r="B192" t="s">
        <v>1706</v>
      </c>
      <c r="C192" t="s">
        <v>1707</v>
      </c>
      <c r="D192" t="s">
        <v>1708</v>
      </c>
      <c r="E192" t="s">
        <v>1709</v>
      </c>
      <c r="F192" t="s">
        <v>1710</v>
      </c>
      <c r="G192">
        <v>2013</v>
      </c>
      <c r="H192">
        <v>502</v>
      </c>
      <c r="I192" t="s">
        <v>15</v>
      </c>
      <c r="J192">
        <v>120</v>
      </c>
      <c r="K192">
        <v>127</v>
      </c>
      <c r="L192" t="s">
        <v>1711</v>
      </c>
      <c r="M192" t="str">
        <f>HYPERLINK("http://dx.doi.org/10.1016/j.jhydrol.2013.08.031","http://dx.doi.org/10.1016/j.jhydrol.2013.08.031")</f>
        <v>http://dx.doi.org/10.1016/j.jhydrol.2013.08.031</v>
      </c>
    </row>
    <row r="193" spans="1:13" x14ac:dyDescent="0.2">
      <c r="A193" t="s">
        <v>13</v>
      </c>
      <c r="B193" t="s">
        <v>1726</v>
      </c>
      <c r="C193" t="s">
        <v>1727</v>
      </c>
      <c r="D193" t="s">
        <v>1728</v>
      </c>
      <c r="E193" t="s">
        <v>1729</v>
      </c>
      <c r="F193" t="s">
        <v>1730</v>
      </c>
      <c r="G193">
        <v>2013</v>
      </c>
      <c r="H193">
        <v>23</v>
      </c>
      <c r="I193">
        <v>7</v>
      </c>
      <c r="J193">
        <v>1205</v>
      </c>
      <c r="K193">
        <v>1220</v>
      </c>
      <c r="L193" t="s">
        <v>1731</v>
      </c>
      <c r="M193" t="str">
        <f>HYPERLINK("http://dx.doi.org/10.1002/etep.1653","http://dx.doi.org/10.1002/etep.1653")</f>
        <v>http://dx.doi.org/10.1002/etep.1653</v>
      </c>
    </row>
    <row r="194" spans="1:13" x14ac:dyDescent="0.2">
      <c r="A194" t="s">
        <v>13</v>
      </c>
      <c r="B194" t="s">
        <v>807</v>
      </c>
      <c r="C194" t="s">
        <v>808</v>
      </c>
      <c r="D194" t="s">
        <v>809</v>
      </c>
      <c r="E194" t="s">
        <v>297</v>
      </c>
      <c r="F194" t="s">
        <v>298</v>
      </c>
      <c r="G194">
        <v>2014</v>
      </c>
      <c r="H194">
        <v>78</v>
      </c>
      <c r="I194" t="s">
        <v>15</v>
      </c>
      <c r="J194">
        <v>143</v>
      </c>
      <c r="K194">
        <v>152</v>
      </c>
      <c r="L194" t="s">
        <v>810</v>
      </c>
      <c r="M194" t="str">
        <f>HYPERLINK("http://dx.doi.org/10.1016/j.enbuild.2014.04.006","http://dx.doi.org/10.1016/j.enbuild.2014.04.006")</f>
        <v>http://dx.doi.org/10.1016/j.enbuild.2014.04.006</v>
      </c>
    </row>
    <row r="195" spans="1:13" x14ac:dyDescent="0.2">
      <c r="A195" t="s">
        <v>13</v>
      </c>
      <c r="B195" t="s">
        <v>1166</v>
      </c>
      <c r="C195" t="s">
        <v>1167</v>
      </c>
      <c r="D195" t="s">
        <v>1168</v>
      </c>
      <c r="E195" t="s">
        <v>1169</v>
      </c>
      <c r="F195" t="s">
        <v>1170</v>
      </c>
      <c r="G195">
        <v>2014</v>
      </c>
      <c r="H195">
        <v>445</v>
      </c>
      <c r="I195">
        <v>1</v>
      </c>
      <c r="J195">
        <v>930</v>
      </c>
      <c r="K195">
        <v>945</v>
      </c>
      <c r="L195" t="s">
        <v>1171</v>
      </c>
      <c r="M195" t="str">
        <f>HYPERLINK("http://dx.doi.org/10.1093/mnras/stu1793","http://dx.doi.org/10.1093/mnras/stu1793")</f>
        <v>http://dx.doi.org/10.1093/mnras/stu1793</v>
      </c>
    </row>
    <row r="196" spans="1:13" x14ac:dyDescent="0.2">
      <c r="A196" t="s">
        <v>13</v>
      </c>
      <c r="B196" t="s">
        <v>1172</v>
      </c>
      <c r="C196" t="s">
        <v>1173</v>
      </c>
      <c r="D196" t="s">
        <v>1174</v>
      </c>
      <c r="E196" t="s">
        <v>258</v>
      </c>
      <c r="F196" t="s">
        <v>259</v>
      </c>
      <c r="G196">
        <v>2014</v>
      </c>
      <c r="H196">
        <v>79</v>
      </c>
      <c r="I196" t="s">
        <v>15</v>
      </c>
      <c r="J196">
        <v>543</v>
      </c>
      <c r="K196">
        <v>553</v>
      </c>
      <c r="L196" t="s">
        <v>1175</v>
      </c>
      <c r="M196" t="str">
        <f>HYPERLINK("http://dx.doi.org/10.1016/j.enconman.2013.12.023","http://dx.doi.org/10.1016/j.enconman.2013.12.023")</f>
        <v>http://dx.doi.org/10.1016/j.enconman.2013.12.023</v>
      </c>
    </row>
    <row r="197" spans="1:13" x14ac:dyDescent="0.2">
      <c r="A197" t="s">
        <v>13</v>
      </c>
      <c r="B197" t="s">
        <v>1245</v>
      </c>
      <c r="C197" t="s">
        <v>1246</v>
      </c>
      <c r="D197" t="s">
        <v>1247</v>
      </c>
      <c r="E197" t="s">
        <v>859</v>
      </c>
      <c r="F197" t="s">
        <v>860</v>
      </c>
      <c r="G197">
        <v>2014</v>
      </c>
      <c r="H197">
        <v>146</v>
      </c>
      <c r="I197" t="s">
        <v>15</v>
      </c>
      <c r="J197">
        <v>131</v>
      </c>
      <c r="K197">
        <v>148</v>
      </c>
      <c r="L197" t="s">
        <v>1248</v>
      </c>
      <c r="M197" t="str">
        <f>HYPERLINK("http://dx.doi.org/10.1016/j.agwat.2014.07.026","http://dx.doi.org/10.1016/j.agwat.2014.07.026")</f>
        <v>http://dx.doi.org/10.1016/j.agwat.2014.07.026</v>
      </c>
    </row>
    <row r="198" spans="1:13" x14ac:dyDescent="0.2">
      <c r="A198" t="s">
        <v>13</v>
      </c>
      <c r="B198" t="s">
        <v>1322</v>
      </c>
      <c r="C198" t="s">
        <v>1323</v>
      </c>
      <c r="D198" t="s">
        <v>1324</v>
      </c>
      <c r="E198" t="s">
        <v>355</v>
      </c>
      <c r="F198" t="s">
        <v>356</v>
      </c>
      <c r="G198">
        <v>2014</v>
      </c>
      <c r="H198">
        <v>74</v>
      </c>
      <c r="I198" t="s">
        <v>15</v>
      </c>
      <c r="J198">
        <v>132</v>
      </c>
      <c r="K198">
        <v>148</v>
      </c>
      <c r="L198" t="s">
        <v>1325</v>
      </c>
      <c r="M198" t="str">
        <f>HYPERLINK("http://dx.doi.org/10.1016/j.buildenv.2013.12.018","http://dx.doi.org/10.1016/j.buildenv.2013.12.018")</f>
        <v>http://dx.doi.org/10.1016/j.buildenv.2013.12.018</v>
      </c>
    </row>
    <row r="199" spans="1:13" x14ac:dyDescent="0.2">
      <c r="A199" t="s">
        <v>13</v>
      </c>
      <c r="B199" t="s">
        <v>1591</v>
      </c>
      <c r="C199" t="s">
        <v>1592</v>
      </c>
      <c r="D199" t="s">
        <v>1593</v>
      </c>
      <c r="E199" t="s">
        <v>1474</v>
      </c>
      <c r="F199" t="s">
        <v>1475</v>
      </c>
      <c r="G199">
        <v>2014</v>
      </c>
      <c r="H199">
        <v>35</v>
      </c>
      <c r="I199">
        <v>4</v>
      </c>
      <c r="J199">
        <v>435</v>
      </c>
      <c r="K199">
        <v>453</v>
      </c>
      <c r="L199" t="s">
        <v>1594</v>
      </c>
      <c r="M199" t="str">
        <f>HYPERLINK("http://dx.doi.org/10.1002/oca.2080","http://dx.doi.org/10.1002/oca.2080")</f>
        <v>http://dx.doi.org/10.1002/oca.2080</v>
      </c>
    </row>
    <row r="200" spans="1:13" x14ac:dyDescent="0.2">
      <c r="A200" t="s">
        <v>13</v>
      </c>
      <c r="B200" t="s">
        <v>1601</v>
      </c>
      <c r="C200" t="s">
        <v>1602</v>
      </c>
      <c r="D200" t="s">
        <v>1603</v>
      </c>
      <c r="E200" t="s">
        <v>122</v>
      </c>
      <c r="F200" t="s">
        <v>123</v>
      </c>
      <c r="G200">
        <v>2014</v>
      </c>
      <c r="H200">
        <v>2014</v>
      </c>
      <c r="I200" t="s">
        <v>15</v>
      </c>
      <c r="J200" t="s">
        <v>15</v>
      </c>
      <c r="K200" t="s">
        <v>15</v>
      </c>
      <c r="L200" t="s">
        <v>1604</v>
      </c>
      <c r="M200" t="str">
        <f>HYPERLINK("http://dx.doi.org/10.1155/2014/949128","http://dx.doi.org/10.1155/2014/949128")</f>
        <v>http://dx.doi.org/10.1155/2014/949128</v>
      </c>
    </row>
    <row r="201" spans="1:13" x14ac:dyDescent="0.2">
      <c r="A201" t="s">
        <v>13</v>
      </c>
      <c r="B201" t="s">
        <v>1696</v>
      </c>
      <c r="C201" t="s">
        <v>1697</v>
      </c>
      <c r="D201" t="s">
        <v>1698</v>
      </c>
      <c r="E201" t="s">
        <v>104</v>
      </c>
      <c r="F201" t="s">
        <v>105</v>
      </c>
      <c r="G201">
        <v>2014</v>
      </c>
      <c r="H201">
        <v>119</v>
      </c>
      <c r="I201" t="s">
        <v>15</v>
      </c>
      <c r="J201">
        <v>58</v>
      </c>
      <c r="K201">
        <v>68</v>
      </c>
      <c r="L201" t="s">
        <v>1699</v>
      </c>
      <c r="M201" t="str">
        <f>HYPERLINK("http://dx.doi.org/10.1016/j.biosystemseng.2014.01.007","http://dx.doi.org/10.1016/j.biosystemseng.2014.01.007")</f>
        <v>http://dx.doi.org/10.1016/j.biosystemseng.2014.01.007</v>
      </c>
    </row>
    <row r="202" spans="1:13" x14ac:dyDescent="0.2">
      <c r="A202" t="s">
        <v>13</v>
      </c>
      <c r="B202" t="s">
        <v>294</v>
      </c>
      <c r="C202" t="s">
        <v>295</v>
      </c>
      <c r="D202" t="s">
        <v>296</v>
      </c>
      <c r="E202" t="s">
        <v>297</v>
      </c>
      <c r="F202" t="s">
        <v>298</v>
      </c>
      <c r="G202">
        <v>2015</v>
      </c>
      <c r="H202">
        <v>99</v>
      </c>
      <c r="I202" t="s">
        <v>15</v>
      </c>
      <c r="J202">
        <v>1</v>
      </c>
      <c r="K202">
        <v>8</v>
      </c>
      <c r="L202" t="s">
        <v>299</v>
      </c>
      <c r="M202" t="str">
        <f>HYPERLINK("http://dx.doi.org/10.1016/j.enbuild.2015.04.013","http://dx.doi.org/10.1016/j.enbuild.2015.04.013")</f>
        <v>http://dx.doi.org/10.1016/j.enbuild.2015.04.013</v>
      </c>
    </row>
    <row r="203" spans="1:13" x14ac:dyDescent="0.2">
      <c r="A203" t="s">
        <v>13</v>
      </c>
      <c r="B203" t="s">
        <v>369</v>
      </c>
      <c r="C203" t="s">
        <v>370</v>
      </c>
      <c r="D203" t="s">
        <v>371</v>
      </c>
      <c r="E203" t="s">
        <v>372</v>
      </c>
      <c r="F203" t="s">
        <v>373</v>
      </c>
      <c r="G203">
        <v>2015</v>
      </c>
      <c r="H203">
        <v>8</v>
      </c>
      <c r="I203">
        <v>6</v>
      </c>
      <c r="J203">
        <v>116</v>
      </c>
      <c r="K203">
        <v>127</v>
      </c>
      <c r="L203" t="s">
        <v>374</v>
      </c>
      <c r="M203" t="str">
        <f>HYPERLINK("http://dx.doi.org/10.3965/j.ijabe.20150806.2037","http://dx.doi.org/10.3965/j.ijabe.20150806.2037")</f>
        <v>http://dx.doi.org/10.3965/j.ijabe.20150806.2037</v>
      </c>
    </row>
    <row r="204" spans="1:13" x14ac:dyDescent="0.2">
      <c r="A204" t="s">
        <v>13</v>
      </c>
      <c r="B204" t="s">
        <v>524</v>
      </c>
      <c r="C204" t="s">
        <v>525</v>
      </c>
      <c r="D204" t="s">
        <v>526</v>
      </c>
      <c r="E204" t="s">
        <v>527</v>
      </c>
      <c r="F204" t="s">
        <v>528</v>
      </c>
      <c r="G204">
        <v>2015</v>
      </c>
      <c r="H204">
        <v>15</v>
      </c>
      <c r="I204">
        <v>4</v>
      </c>
      <c r="J204">
        <v>3151</v>
      </c>
      <c r="K204">
        <v>3156</v>
      </c>
      <c r="L204" t="s">
        <v>529</v>
      </c>
      <c r="M204" t="str">
        <f>HYPERLINK("http://dx.doi.org/10.1166/jnn.2015.9666","http://dx.doi.org/10.1166/jnn.2015.9666")</f>
        <v>http://dx.doi.org/10.1166/jnn.2015.9666</v>
      </c>
    </row>
    <row r="205" spans="1:13" x14ac:dyDescent="0.2">
      <c r="A205" t="s">
        <v>13</v>
      </c>
      <c r="B205" t="s">
        <v>704</v>
      </c>
      <c r="C205" t="s">
        <v>705</v>
      </c>
      <c r="D205" t="s">
        <v>706</v>
      </c>
      <c r="E205" t="s">
        <v>707</v>
      </c>
      <c r="F205" t="s">
        <v>708</v>
      </c>
      <c r="G205">
        <v>2015</v>
      </c>
      <c r="H205">
        <v>7</v>
      </c>
      <c r="I205">
        <v>3</v>
      </c>
      <c r="J205" t="s">
        <v>15</v>
      </c>
      <c r="K205" t="s">
        <v>15</v>
      </c>
      <c r="L205" t="s">
        <v>709</v>
      </c>
      <c r="M205" t="str">
        <f>HYPERLINK("http://dx.doi.org/10.1063/1.4921408","http://dx.doi.org/10.1063/1.4921408")</f>
        <v>http://dx.doi.org/10.1063/1.4921408</v>
      </c>
    </row>
    <row r="206" spans="1:13" x14ac:dyDescent="0.2">
      <c r="A206" t="s">
        <v>13</v>
      </c>
      <c r="B206" t="s">
        <v>856</v>
      </c>
      <c r="C206" t="s">
        <v>857</v>
      </c>
      <c r="D206" t="s">
        <v>858</v>
      </c>
      <c r="E206" t="s">
        <v>859</v>
      </c>
      <c r="F206" t="s">
        <v>860</v>
      </c>
      <c r="G206">
        <v>2015</v>
      </c>
      <c r="H206">
        <v>156</v>
      </c>
      <c r="I206" t="s">
        <v>15</v>
      </c>
      <c r="J206">
        <v>90</v>
      </c>
      <c r="K206">
        <v>99</v>
      </c>
      <c r="L206" t="s">
        <v>861</v>
      </c>
      <c r="M206" t="str">
        <f>HYPERLINK("http://dx.doi.org/10.1016/j.agwat.2015.04.003","http://dx.doi.org/10.1016/j.agwat.2015.04.003")</f>
        <v>http://dx.doi.org/10.1016/j.agwat.2015.04.003</v>
      </c>
    </row>
    <row r="207" spans="1:13" x14ac:dyDescent="0.2">
      <c r="A207" t="s">
        <v>13</v>
      </c>
      <c r="B207" t="s">
        <v>862</v>
      </c>
      <c r="C207" t="s">
        <v>863</v>
      </c>
      <c r="D207" t="s">
        <v>864</v>
      </c>
      <c r="E207" t="s">
        <v>73</v>
      </c>
      <c r="F207" t="s">
        <v>74</v>
      </c>
      <c r="G207">
        <v>2015</v>
      </c>
      <c r="H207">
        <v>119</v>
      </c>
      <c r="I207" t="s">
        <v>15</v>
      </c>
      <c r="J207">
        <v>212</v>
      </c>
      <c r="K207">
        <v>224</v>
      </c>
      <c r="L207" t="s">
        <v>865</v>
      </c>
      <c r="M207" t="str">
        <f>HYPERLINK("http://dx.doi.org/10.1016/j.solener.2015.06.040","http://dx.doi.org/10.1016/j.solener.2015.06.040")</f>
        <v>http://dx.doi.org/10.1016/j.solener.2015.06.040</v>
      </c>
    </row>
    <row r="208" spans="1:13" x14ac:dyDescent="0.2">
      <c r="A208" t="s">
        <v>13</v>
      </c>
      <c r="B208" t="s">
        <v>1002</v>
      </c>
      <c r="C208" t="s">
        <v>1003</v>
      </c>
      <c r="D208" t="s">
        <v>1004</v>
      </c>
      <c r="E208" t="s">
        <v>258</v>
      </c>
      <c r="F208" t="s">
        <v>259</v>
      </c>
      <c r="G208">
        <v>2015</v>
      </c>
      <c r="H208">
        <v>91</v>
      </c>
      <c r="I208" t="s">
        <v>15</v>
      </c>
      <c r="J208">
        <v>76</v>
      </c>
      <c r="K208">
        <v>82</v>
      </c>
      <c r="L208" t="s">
        <v>1005</v>
      </c>
      <c r="M208" t="str">
        <f>HYPERLINK("http://dx.doi.org/10.1016/j.enconman.2014.11.052","http://dx.doi.org/10.1016/j.enconman.2014.11.052")</f>
        <v>http://dx.doi.org/10.1016/j.enconman.2014.11.052</v>
      </c>
    </row>
    <row r="209" spans="1:13" x14ac:dyDescent="0.2">
      <c r="A209" t="s">
        <v>13</v>
      </c>
      <c r="B209" t="s">
        <v>1074</v>
      </c>
      <c r="C209" t="s">
        <v>1075</v>
      </c>
      <c r="D209" t="s">
        <v>1076</v>
      </c>
      <c r="E209" t="s">
        <v>130</v>
      </c>
      <c r="F209" t="s">
        <v>131</v>
      </c>
      <c r="G209">
        <v>2015</v>
      </c>
      <c r="H209">
        <v>138</v>
      </c>
      <c r="I209" t="s">
        <v>15</v>
      </c>
      <c r="J209">
        <v>1</v>
      </c>
      <c r="K209">
        <v>9</v>
      </c>
      <c r="L209" t="s">
        <v>1077</v>
      </c>
      <c r="M209" t="str">
        <f>HYPERLINK("http://dx.doi.org/10.1016/j.agsy.2015.05.001","http://dx.doi.org/10.1016/j.agsy.2015.05.001")</f>
        <v>http://dx.doi.org/10.1016/j.agsy.2015.05.001</v>
      </c>
    </row>
    <row r="210" spans="1:13" x14ac:dyDescent="0.2">
      <c r="A210" t="s">
        <v>13</v>
      </c>
      <c r="B210" t="s">
        <v>1355</v>
      </c>
      <c r="C210" t="s">
        <v>1356</v>
      </c>
      <c r="D210" t="s">
        <v>1357</v>
      </c>
      <c r="E210" t="s">
        <v>179</v>
      </c>
      <c r="F210" t="s">
        <v>180</v>
      </c>
      <c r="G210">
        <v>2015</v>
      </c>
      <c r="H210">
        <v>83</v>
      </c>
      <c r="I210" t="s">
        <v>15</v>
      </c>
      <c r="J210">
        <v>280</v>
      </c>
      <c r="K210">
        <v>293</v>
      </c>
      <c r="L210" t="s">
        <v>1358</v>
      </c>
      <c r="M210" t="str">
        <f>HYPERLINK("http://dx.doi.org/10.1016/j.renene.2015.03.073","http://dx.doi.org/10.1016/j.renene.2015.03.073")</f>
        <v>http://dx.doi.org/10.1016/j.renene.2015.03.073</v>
      </c>
    </row>
    <row r="211" spans="1:13" x14ac:dyDescent="0.2">
      <c r="A211" t="s">
        <v>13</v>
      </c>
      <c r="B211" t="s">
        <v>1481</v>
      </c>
      <c r="C211" t="s">
        <v>1482</v>
      </c>
      <c r="D211" t="s">
        <v>1483</v>
      </c>
      <c r="E211" t="s">
        <v>472</v>
      </c>
      <c r="F211" t="s">
        <v>473</v>
      </c>
      <c r="G211">
        <v>2015</v>
      </c>
      <c r="H211">
        <v>159</v>
      </c>
      <c r="I211" t="s">
        <v>15</v>
      </c>
      <c r="J211">
        <v>509</v>
      </c>
      <c r="K211">
        <v>519</v>
      </c>
      <c r="L211" t="s">
        <v>1484</v>
      </c>
      <c r="M211" t="str">
        <f>HYPERLINK("http://dx.doi.org/10.1016/j.apenergy.2015.09.012","http://dx.doi.org/10.1016/j.apenergy.2015.09.012")</f>
        <v>http://dx.doi.org/10.1016/j.apenergy.2015.09.012</v>
      </c>
    </row>
    <row r="212" spans="1:13" x14ac:dyDescent="0.2">
      <c r="A212" t="s">
        <v>13</v>
      </c>
      <c r="B212" t="s">
        <v>1535</v>
      </c>
      <c r="C212" t="s">
        <v>1536</v>
      </c>
      <c r="D212" t="s">
        <v>1537</v>
      </c>
      <c r="E212" t="s">
        <v>472</v>
      </c>
      <c r="F212" t="s">
        <v>473</v>
      </c>
      <c r="G212">
        <v>2015</v>
      </c>
      <c r="H212">
        <v>137</v>
      </c>
      <c r="I212" t="s">
        <v>15</v>
      </c>
      <c r="J212">
        <v>97</v>
      </c>
      <c r="K212">
        <v>109</v>
      </c>
      <c r="L212" t="s">
        <v>1538</v>
      </c>
      <c r="M212" t="str">
        <f>HYPERLINK("http://dx.doi.org/10.1016/j.apenergy.2014.09.083","http://dx.doi.org/10.1016/j.apenergy.2014.09.083")</f>
        <v>http://dx.doi.org/10.1016/j.apenergy.2014.09.083</v>
      </c>
    </row>
    <row r="213" spans="1:13" x14ac:dyDescent="0.2">
      <c r="A213" t="s">
        <v>13</v>
      </c>
      <c r="B213" t="s">
        <v>1690</v>
      </c>
      <c r="C213" t="s">
        <v>1691</v>
      </c>
      <c r="D213" t="s">
        <v>1692</v>
      </c>
      <c r="E213" t="s">
        <v>1693</v>
      </c>
      <c r="F213" t="s">
        <v>1694</v>
      </c>
      <c r="G213">
        <v>2015</v>
      </c>
      <c r="H213">
        <v>88</v>
      </c>
      <c r="I213">
        <v>2</v>
      </c>
      <c r="J213">
        <v>343</v>
      </c>
      <c r="K213">
        <v>358</v>
      </c>
      <c r="L213" t="s">
        <v>1695</v>
      </c>
      <c r="M213" t="str">
        <f>HYPERLINK("http://dx.doi.org/10.1007/s10340-014-0609-z","http://dx.doi.org/10.1007/s10340-014-0609-z")</f>
        <v>http://dx.doi.org/10.1007/s10340-014-0609-z</v>
      </c>
    </row>
    <row r="214" spans="1:13" x14ac:dyDescent="0.2">
      <c r="A214" t="s">
        <v>13</v>
      </c>
      <c r="B214" t="s">
        <v>196</v>
      </c>
      <c r="C214" t="s">
        <v>197</v>
      </c>
      <c r="D214" t="s">
        <v>198</v>
      </c>
      <c r="E214" t="s">
        <v>73</v>
      </c>
      <c r="F214" t="s">
        <v>74</v>
      </c>
      <c r="G214">
        <v>2016</v>
      </c>
      <c r="H214">
        <v>136</v>
      </c>
      <c r="I214" t="s">
        <v>15</v>
      </c>
      <c r="J214">
        <v>639</v>
      </c>
      <c r="K214">
        <v>649</v>
      </c>
      <c r="L214" t="s">
        <v>199</v>
      </c>
      <c r="M214" t="str">
        <f>HYPERLINK("http://dx.doi.org/10.1016/j.solener.2016.07.048","http://dx.doi.org/10.1016/j.solener.2016.07.048")</f>
        <v>http://dx.doi.org/10.1016/j.solener.2016.07.048</v>
      </c>
    </row>
    <row r="215" spans="1:13" x14ac:dyDescent="0.2">
      <c r="A215" t="s">
        <v>13</v>
      </c>
      <c r="B215" t="s">
        <v>408</v>
      </c>
      <c r="C215" t="s">
        <v>409</v>
      </c>
      <c r="D215" t="s">
        <v>410</v>
      </c>
      <c r="E215" t="s">
        <v>411</v>
      </c>
      <c r="F215" t="s">
        <v>412</v>
      </c>
      <c r="G215">
        <v>2016</v>
      </c>
      <c r="H215">
        <v>114</v>
      </c>
      <c r="I215" t="s">
        <v>15</v>
      </c>
      <c r="J215">
        <v>155</v>
      </c>
      <c r="K215">
        <v>164</v>
      </c>
      <c r="L215" t="s">
        <v>413</v>
      </c>
      <c r="M215" t="str">
        <f>HYPERLINK("http://dx.doi.org/10.1016/j.energy.2016.07.132","http://dx.doi.org/10.1016/j.energy.2016.07.132")</f>
        <v>http://dx.doi.org/10.1016/j.energy.2016.07.132</v>
      </c>
    </row>
    <row r="216" spans="1:13" x14ac:dyDescent="0.2">
      <c r="A216" t="s">
        <v>13</v>
      </c>
      <c r="B216" t="s">
        <v>433</v>
      </c>
      <c r="C216" t="s">
        <v>434</v>
      </c>
      <c r="D216" t="s">
        <v>435</v>
      </c>
      <c r="E216" t="s">
        <v>92</v>
      </c>
      <c r="F216" t="s">
        <v>93</v>
      </c>
      <c r="G216">
        <v>2016</v>
      </c>
      <c r="H216">
        <v>65</v>
      </c>
      <c r="I216" t="s">
        <v>15</v>
      </c>
      <c r="J216">
        <v>1048</v>
      </c>
      <c r="K216">
        <v>1064</v>
      </c>
      <c r="L216" t="s">
        <v>436</v>
      </c>
      <c r="M216" t="str">
        <f>HYPERLINK("http://dx.doi.org/10.1016/j.rser.2016.07.070","http://dx.doi.org/10.1016/j.rser.2016.07.070")</f>
        <v>http://dx.doi.org/10.1016/j.rser.2016.07.070</v>
      </c>
    </row>
    <row r="217" spans="1:13" x14ac:dyDescent="0.2">
      <c r="A217" t="s">
        <v>13</v>
      </c>
      <c r="B217" t="s">
        <v>499</v>
      </c>
      <c r="C217" t="s">
        <v>500</v>
      </c>
      <c r="D217" t="s">
        <v>501</v>
      </c>
      <c r="E217" t="s">
        <v>502</v>
      </c>
      <c r="F217" t="s">
        <v>503</v>
      </c>
      <c r="G217">
        <v>2016</v>
      </c>
      <c r="H217">
        <v>27</v>
      </c>
      <c r="I217" t="s">
        <v>504</v>
      </c>
      <c r="J217">
        <v>836</v>
      </c>
      <c r="K217">
        <v>852</v>
      </c>
      <c r="L217" t="s">
        <v>505</v>
      </c>
      <c r="M217" t="str">
        <f>HYPERLINK("http://dx.doi.org/10.1080/14783363.2016.1202757","http://dx.doi.org/10.1080/14783363.2016.1202757")</f>
        <v>http://dx.doi.org/10.1080/14783363.2016.1202757</v>
      </c>
    </row>
    <row r="218" spans="1:13" x14ac:dyDescent="0.2">
      <c r="A218" t="s">
        <v>13</v>
      </c>
      <c r="B218" t="s">
        <v>408</v>
      </c>
      <c r="C218" t="s">
        <v>409</v>
      </c>
      <c r="D218" t="s">
        <v>623</v>
      </c>
      <c r="E218" t="s">
        <v>73</v>
      </c>
      <c r="F218" t="s">
        <v>74</v>
      </c>
      <c r="G218">
        <v>2016</v>
      </c>
      <c r="H218">
        <v>138</v>
      </c>
      <c r="I218" t="s">
        <v>15</v>
      </c>
      <c r="J218">
        <v>128</v>
      </c>
      <c r="K218">
        <v>136</v>
      </c>
      <c r="L218" t="s">
        <v>624</v>
      </c>
      <c r="M218" t="str">
        <f>HYPERLINK("http://dx.doi.org/10.1016/j.solener.2016.09.014","http://dx.doi.org/10.1016/j.solener.2016.09.014")</f>
        <v>http://dx.doi.org/10.1016/j.solener.2016.09.014</v>
      </c>
    </row>
    <row r="219" spans="1:13" x14ac:dyDescent="0.2">
      <c r="A219" t="s">
        <v>13</v>
      </c>
      <c r="B219" t="s">
        <v>433</v>
      </c>
      <c r="C219" t="s">
        <v>434</v>
      </c>
      <c r="D219" t="s">
        <v>668</v>
      </c>
      <c r="E219" t="s">
        <v>73</v>
      </c>
      <c r="F219" t="s">
        <v>74</v>
      </c>
      <c r="G219">
        <v>2016</v>
      </c>
      <c r="H219">
        <v>133</v>
      </c>
      <c r="I219" t="s">
        <v>15</v>
      </c>
      <c r="J219">
        <v>421</v>
      </c>
      <c r="K219">
        <v>428</v>
      </c>
      <c r="L219" t="s">
        <v>669</v>
      </c>
      <c r="M219" t="str">
        <f>HYPERLINK("http://dx.doi.org/10.1016/j.solener.2016.04.033","http://dx.doi.org/10.1016/j.solener.2016.04.033")</f>
        <v>http://dx.doi.org/10.1016/j.solener.2016.04.033</v>
      </c>
    </row>
    <row r="220" spans="1:13" x14ac:dyDescent="0.2">
      <c r="A220" t="s">
        <v>13</v>
      </c>
      <c r="B220" t="s">
        <v>700</v>
      </c>
      <c r="C220" t="s">
        <v>701</v>
      </c>
      <c r="D220" t="s">
        <v>702</v>
      </c>
      <c r="E220" t="s">
        <v>73</v>
      </c>
      <c r="F220" t="s">
        <v>74</v>
      </c>
      <c r="G220">
        <v>2016</v>
      </c>
      <c r="H220">
        <v>135</v>
      </c>
      <c r="I220" t="s">
        <v>15</v>
      </c>
      <c r="J220">
        <v>719</v>
      </c>
      <c r="K220">
        <v>730</v>
      </c>
      <c r="L220" t="s">
        <v>703</v>
      </c>
      <c r="M220" t="str">
        <f>HYPERLINK("http://dx.doi.org/10.1016/j.solener.2016.06.053","http://dx.doi.org/10.1016/j.solener.2016.06.053")</f>
        <v>http://dx.doi.org/10.1016/j.solener.2016.06.053</v>
      </c>
    </row>
    <row r="221" spans="1:13" x14ac:dyDescent="0.2">
      <c r="A221" t="s">
        <v>13</v>
      </c>
      <c r="B221" t="s">
        <v>796</v>
      </c>
      <c r="C221" t="s">
        <v>797</v>
      </c>
      <c r="D221" t="s">
        <v>798</v>
      </c>
      <c r="E221" t="s">
        <v>92</v>
      </c>
      <c r="F221" t="s">
        <v>93</v>
      </c>
      <c r="G221">
        <v>2016</v>
      </c>
      <c r="H221">
        <v>62</v>
      </c>
      <c r="I221" t="s">
        <v>15</v>
      </c>
      <c r="J221">
        <v>396</v>
      </c>
      <c r="K221">
        <v>417</v>
      </c>
      <c r="L221" t="s">
        <v>799</v>
      </c>
      <c r="M221" t="str">
        <f>HYPERLINK("http://dx.doi.org/10.1016/j.rser.2016.04.028","http://dx.doi.org/10.1016/j.rser.2016.04.028")</f>
        <v>http://dx.doi.org/10.1016/j.rser.2016.04.028</v>
      </c>
    </row>
    <row r="222" spans="1:13" x14ac:dyDescent="0.2">
      <c r="A222" t="s">
        <v>13</v>
      </c>
      <c r="B222" t="s">
        <v>963</v>
      </c>
      <c r="C222" t="s">
        <v>964</v>
      </c>
      <c r="D222" t="s">
        <v>965</v>
      </c>
      <c r="E222" t="s">
        <v>966</v>
      </c>
      <c r="F222" t="s">
        <v>967</v>
      </c>
      <c r="G222">
        <v>2016</v>
      </c>
      <c r="H222">
        <v>9</v>
      </c>
      <c r="I222">
        <v>5</v>
      </c>
      <c r="J222">
        <v>1065</v>
      </c>
      <c r="K222">
        <v>1085</v>
      </c>
      <c r="L222" t="s">
        <v>968</v>
      </c>
      <c r="M222" t="str">
        <f>HYPERLINK("http://dx.doi.org/10.1007/s12053-015-9410-y","http://dx.doi.org/10.1007/s12053-015-9410-y")</f>
        <v>http://dx.doi.org/10.1007/s12053-015-9410-y</v>
      </c>
    </row>
    <row r="223" spans="1:13" x14ac:dyDescent="0.2">
      <c r="A223" t="s">
        <v>13</v>
      </c>
      <c r="B223" t="s">
        <v>1034</v>
      </c>
      <c r="C223" t="s">
        <v>1035</v>
      </c>
      <c r="D223" t="s">
        <v>1036</v>
      </c>
      <c r="E223" t="s">
        <v>1037</v>
      </c>
      <c r="F223" t="s">
        <v>1038</v>
      </c>
      <c r="G223">
        <v>2016</v>
      </c>
      <c r="H223">
        <v>164</v>
      </c>
      <c r="I223">
        <v>10</v>
      </c>
      <c r="J223">
        <v>711</v>
      </c>
      <c r="K223">
        <v>721</v>
      </c>
      <c r="L223" t="s">
        <v>1039</v>
      </c>
      <c r="M223" t="str">
        <f>HYPERLINK("http://dx.doi.org/10.1111/jph.12492","http://dx.doi.org/10.1111/jph.12492")</f>
        <v>http://dx.doi.org/10.1111/jph.12492</v>
      </c>
    </row>
    <row r="224" spans="1:13" x14ac:dyDescent="0.2">
      <c r="A224" t="s">
        <v>13</v>
      </c>
      <c r="B224" t="s">
        <v>1239</v>
      </c>
      <c r="C224" t="s">
        <v>1240</v>
      </c>
      <c r="D224" t="s">
        <v>1241</v>
      </c>
      <c r="E224" t="s">
        <v>1242</v>
      </c>
      <c r="F224" t="s">
        <v>1243</v>
      </c>
      <c r="G224">
        <v>2016</v>
      </c>
      <c r="H224">
        <v>13</v>
      </c>
      <c r="I224">
        <v>2</v>
      </c>
      <c r="J224">
        <v>772</v>
      </c>
      <c r="K224">
        <v>788</v>
      </c>
      <c r="L224" t="s">
        <v>1244</v>
      </c>
      <c r="M224" t="str">
        <f>HYPERLINK("http://dx.doi.org/10.1109/TASE.2015.2392161","http://dx.doi.org/10.1109/TASE.2015.2392161")</f>
        <v>http://dx.doi.org/10.1109/TASE.2015.2392161</v>
      </c>
    </row>
    <row r="225" spans="1:13" x14ac:dyDescent="0.2">
      <c r="A225" t="s">
        <v>13</v>
      </c>
      <c r="B225" t="s">
        <v>1634</v>
      </c>
      <c r="C225" t="s">
        <v>1635</v>
      </c>
      <c r="D225" t="s">
        <v>1636</v>
      </c>
      <c r="E225" t="s">
        <v>592</v>
      </c>
      <c r="F225" t="s">
        <v>593</v>
      </c>
      <c r="G225">
        <v>2016</v>
      </c>
      <c r="H225">
        <v>52</v>
      </c>
      <c r="I225">
        <v>8</v>
      </c>
      <c r="J225">
        <v>1707</v>
      </c>
      <c r="K225">
        <v>1724</v>
      </c>
      <c r="L225" t="s">
        <v>1637</v>
      </c>
      <c r="M225" t="str">
        <f>HYPERLINK("http://dx.doi.org/10.1007/s00231-015-1723-z","http://dx.doi.org/10.1007/s00231-015-1723-z")</f>
        <v>http://dx.doi.org/10.1007/s00231-015-1723-z</v>
      </c>
    </row>
    <row r="226" spans="1:13" x14ac:dyDescent="0.2">
      <c r="A226" t="s">
        <v>13</v>
      </c>
      <c r="B226" t="s">
        <v>1722</v>
      </c>
      <c r="C226" t="s">
        <v>1723</v>
      </c>
      <c r="D226" t="s">
        <v>1724</v>
      </c>
      <c r="E226" t="s">
        <v>136</v>
      </c>
      <c r="F226" t="s">
        <v>137</v>
      </c>
      <c r="G226">
        <v>2016</v>
      </c>
      <c r="H226">
        <v>123</v>
      </c>
      <c r="I226" t="s">
        <v>15</v>
      </c>
      <c r="J226">
        <v>116</v>
      </c>
      <c r="K226">
        <v>124</v>
      </c>
      <c r="L226" t="s">
        <v>1725</v>
      </c>
      <c r="M226" t="str">
        <f>HYPERLINK("http://dx.doi.org/10.1016/j.compag.2016.02.014","http://dx.doi.org/10.1016/j.compag.2016.02.014")</f>
        <v>http://dx.doi.org/10.1016/j.compag.2016.02.014</v>
      </c>
    </row>
    <row r="227" spans="1:13" x14ac:dyDescent="0.2">
      <c r="A227" t="s">
        <v>13</v>
      </c>
      <c r="B227" t="s">
        <v>89</v>
      </c>
      <c r="C227" t="s">
        <v>90</v>
      </c>
      <c r="D227" t="s">
        <v>91</v>
      </c>
      <c r="E227" t="s">
        <v>92</v>
      </c>
      <c r="F227" t="s">
        <v>93</v>
      </c>
      <c r="G227">
        <v>2017</v>
      </c>
      <c r="H227">
        <v>75</v>
      </c>
      <c r="I227" t="s">
        <v>15</v>
      </c>
      <c r="J227">
        <v>548</v>
      </c>
      <c r="K227">
        <v>558</v>
      </c>
      <c r="L227" t="s">
        <v>94</v>
      </c>
      <c r="M227" t="str">
        <f>HYPERLINK("http://dx.doi.org/10.1016/j.rser.2016.11.023","http://dx.doi.org/10.1016/j.rser.2016.11.023")</f>
        <v>http://dx.doi.org/10.1016/j.rser.2016.11.023</v>
      </c>
    </row>
    <row r="228" spans="1:13" x14ac:dyDescent="0.2">
      <c r="A228" t="s">
        <v>13</v>
      </c>
      <c r="B228" t="s">
        <v>408</v>
      </c>
      <c r="C228" t="s">
        <v>409</v>
      </c>
      <c r="D228" t="s">
        <v>431</v>
      </c>
      <c r="E228" t="s">
        <v>411</v>
      </c>
      <c r="F228" t="s">
        <v>412</v>
      </c>
      <c r="G228">
        <v>2017</v>
      </c>
      <c r="H228">
        <v>128</v>
      </c>
      <c r="I228" t="s">
        <v>15</v>
      </c>
      <c r="J228">
        <v>183</v>
      </c>
      <c r="K228">
        <v>195</v>
      </c>
      <c r="L228" t="s">
        <v>432</v>
      </c>
      <c r="M228" t="str">
        <f>HYPERLINK("http://dx.doi.org/10.1016/j.energy.2017.04.022","http://dx.doi.org/10.1016/j.energy.2017.04.022")</f>
        <v>http://dx.doi.org/10.1016/j.energy.2017.04.022</v>
      </c>
    </row>
    <row r="229" spans="1:13" x14ac:dyDescent="0.2">
      <c r="A229" t="s">
        <v>13</v>
      </c>
      <c r="B229" t="s">
        <v>408</v>
      </c>
      <c r="C229" t="s">
        <v>409</v>
      </c>
      <c r="D229" t="s">
        <v>530</v>
      </c>
      <c r="E229" t="s">
        <v>73</v>
      </c>
      <c r="F229" t="s">
        <v>74</v>
      </c>
      <c r="G229">
        <v>2017</v>
      </c>
      <c r="H229">
        <v>155</v>
      </c>
      <c r="I229" t="s">
        <v>15</v>
      </c>
      <c r="J229">
        <v>203</v>
      </c>
      <c r="K229">
        <v>211</v>
      </c>
      <c r="L229" t="s">
        <v>531</v>
      </c>
      <c r="M229" t="str">
        <f>HYPERLINK("http://dx.doi.org/10.1016/j.solener.2017.06.021","http://dx.doi.org/10.1016/j.solener.2017.06.021")</f>
        <v>http://dx.doi.org/10.1016/j.solener.2017.06.021</v>
      </c>
    </row>
    <row r="230" spans="1:13" x14ac:dyDescent="0.2">
      <c r="A230" t="s">
        <v>13</v>
      </c>
      <c r="B230" t="s">
        <v>568</v>
      </c>
      <c r="C230" t="s">
        <v>569</v>
      </c>
      <c r="D230" t="s">
        <v>570</v>
      </c>
      <c r="E230" t="s">
        <v>212</v>
      </c>
      <c r="F230" t="s">
        <v>213</v>
      </c>
      <c r="G230">
        <v>2017</v>
      </c>
      <c r="H230">
        <v>41</v>
      </c>
      <c r="I230">
        <v>13</v>
      </c>
      <c r="J230">
        <v>1903</v>
      </c>
      <c r="K230">
        <v>1913</v>
      </c>
      <c r="L230" t="s">
        <v>571</v>
      </c>
      <c r="M230" t="str">
        <f>HYPERLINK("http://dx.doi.org/10.1002/er.3752","http://dx.doi.org/10.1002/er.3752")</f>
        <v>http://dx.doi.org/10.1002/er.3752</v>
      </c>
    </row>
    <row r="231" spans="1:13" x14ac:dyDescent="0.2">
      <c r="A231" t="s">
        <v>13</v>
      </c>
      <c r="B231" t="s">
        <v>768</v>
      </c>
      <c r="C231" t="s">
        <v>769</v>
      </c>
      <c r="D231" t="s">
        <v>770</v>
      </c>
      <c r="E231" t="s">
        <v>73</v>
      </c>
      <c r="F231" t="s">
        <v>74</v>
      </c>
      <c r="G231">
        <v>2017</v>
      </c>
      <c r="H231">
        <v>150</v>
      </c>
      <c r="I231" t="s">
        <v>15</v>
      </c>
      <c r="J231">
        <v>96</v>
      </c>
      <c r="K231">
        <v>127</v>
      </c>
      <c r="L231" t="s">
        <v>771</v>
      </c>
      <c r="M231" t="str">
        <f>HYPERLINK("http://dx.doi.org/10.1016/j.solener.2017.04.023","http://dx.doi.org/10.1016/j.solener.2017.04.023")</f>
        <v>http://dx.doi.org/10.1016/j.solener.2017.04.023</v>
      </c>
    </row>
    <row r="232" spans="1:13" x14ac:dyDescent="0.2">
      <c r="A232" t="s">
        <v>13</v>
      </c>
      <c r="B232" t="s">
        <v>817</v>
      </c>
      <c r="C232" t="s">
        <v>818</v>
      </c>
      <c r="D232" t="s">
        <v>819</v>
      </c>
      <c r="E232" t="s">
        <v>245</v>
      </c>
      <c r="F232" t="s">
        <v>246</v>
      </c>
      <c r="G232">
        <v>2017</v>
      </c>
      <c r="H232">
        <v>156</v>
      </c>
      <c r="I232" t="s">
        <v>15</v>
      </c>
      <c r="J232">
        <v>30</v>
      </c>
      <c r="K232">
        <v>40</v>
      </c>
      <c r="L232" t="s">
        <v>820</v>
      </c>
      <c r="M232" t="str">
        <f>HYPERLINK("http://dx.doi.org/10.1016/j.jclepro.2017.04.044","http://dx.doi.org/10.1016/j.jclepro.2017.04.044")</f>
        <v>http://dx.doi.org/10.1016/j.jclepro.2017.04.044</v>
      </c>
    </row>
    <row r="233" spans="1:13" x14ac:dyDescent="0.2">
      <c r="A233" t="s">
        <v>13</v>
      </c>
      <c r="B233" t="s">
        <v>979</v>
      </c>
      <c r="C233" t="s">
        <v>980</v>
      </c>
      <c r="D233" t="s">
        <v>981</v>
      </c>
      <c r="E233" t="s">
        <v>73</v>
      </c>
      <c r="F233" t="s">
        <v>74</v>
      </c>
      <c r="G233">
        <v>2017</v>
      </c>
      <c r="H233">
        <v>158</v>
      </c>
      <c r="I233" t="s">
        <v>15</v>
      </c>
      <c r="J233">
        <v>644</v>
      </c>
      <c r="K233">
        <v>653</v>
      </c>
      <c r="L233" t="s">
        <v>982</v>
      </c>
      <c r="M233" t="str">
        <f>HYPERLINK("http://dx.doi.org/10.1016/j.solener.2017.10.030","http://dx.doi.org/10.1016/j.solener.2017.10.030")</f>
        <v>http://dx.doi.org/10.1016/j.solener.2017.10.030</v>
      </c>
    </row>
    <row r="234" spans="1:13" x14ac:dyDescent="0.2">
      <c r="A234" t="s">
        <v>13</v>
      </c>
      <c r="B234" t="s">
        <v>987</v>
      </c>
      <c r="C234" t="s">
        <v>988</v>
      </c>
      <c r="D234" t="s">
        <v>989</v>
      </c>
      <c r="E234" t="s">
        <v>990</v>
      </c>
      <c r="F234" t="s">
        <v>991</v>
      </c>
      <c r="G234">
        <v>2017</v>
      </c>
      <c r="H234">
        <v>8</v>
      </c>
      <c r="I234" t="s">
        <v>15</v>
      </c>
      <c r="J234" t="s">
        <v>15</v>
      </c>
      <c r="K234" t="s">
        <v>15</v>
      </c>
      <c r="L234" t="s">
        <v>992</v>
      </c>
      <c r="M234" t="str">
        <f>HYPERLINK("http://dx.doi.org/10.3389/fpls.2017.01297","http://dx.doi.org/10.3389/fpls.2017.01297")</f>
        <v>http://dx.doi.org/10.3389/fpls.2017.01297</v>
      </c>
    </row>
    <row r="235" spans="1:13" x14ac:dyDescent="0.2">
      <c r="A235" t="s">
        <v>13</v>
      </c>
      <c r="B235" t="s">
        <v>1040</v>
      </c>
      <c r="C235" t="s">
        <v>1041</v>
      </c>
      <c r="D235" t="s">
        <v>1042</v>
      </c>
      <c r="E235" t="s">
        <v>73</v>
      </c>
      <c r="F235" t="s">
        <v>74</v>
      </c>
      <c r="G235">
        <v>2017</v>
      </c>
      <c r="H235">
        <v>147</v>
      </c>
      <c r="I235" t="s">
        <v>15</v>
      </c>
      <c r="J235">
        <v>439</v>
      </c>
      <c r="K235">
        <v>447</v>
      </c>
      <c r="L235" t="s">
        <v>1043</v>
      </c>
      <c r="M235" t="str">
        <f>HYPERLINK("http://dx.doi.org/10.1016/j.solener.2017.03.057","http://dx.doi.org/10.1016/j.solener.2017.03.057")</f>
        <v>http://dx.doi.org/10.1016/j.solener.2017.03.057</v>
      </c>
    </row>
    <row r="236" spans="1:13" x14ac:dyDescent="0.2">
      <c r="A236" t="s">
        <v>13</v>
      </c>
      <c r="B236" t="s">
        <v>1120</v>
      </c>
      <c r="C236" t="s">
        <v>1121</v>
      </c>
      <c r="D236" t="s">
        <v>1122</v>
      </c>
      <c r="E236" t="s">
        <v>104</v>
      </c>
      <c r="F236" t="s">
        <v>105</v>
      </c>
      <c r="G236">
        <v>2017</v>
      </c>
      <c r="H236">
        <v>158</v>
      </c>
      <c r="I236" t="s">
        <v>15</v>
      </c>
      <c r="J236">
        <v>10</v>
      </c>
      <c r="K236">
        <v>22</v>
      </c>
      <c r="L236" t="s">
        <v>1123</v>
      </c>
      <c r="M236" t="str">
        <f>HYPERLINK("http://dx.doi.org/10.1016/j.biosystemseng.2017.03.007","http://dx.doi.org/10.1016/j.biosystemseng.2017.03.007")</f>
        <v>http://dx.doi.org/10.1016/j.biosystemseng.2017.03.007</v>
      </c>
    </row>
    <row r="237" spans="1:13" x14ac:dyDescent="0.2">
      <c r="A237" t="s">
        <v>13</v>
      </c>
      <c r="B237" t="s">
        <v>1022</v>
      </c>
      <c r="C237" t="s">
        <v>1023</v>
      </c>
      <c r="D237" t="s">
        <v>1564</v>
      </c>
      <c r="E237" t="s">
        <v>104</v>
      </c>
      <c r="F237" t="s">
        <v>105</v>
      </c>
      <c r="G237">
        <v>2017</v>
      </c>
      <c r="H237">
        <v>161</v>
      </c>
      <c r="I237" t="s">
        <v>15</v>
      </c>
      <c r="J237">
        <v>188</v>
      </c>
      <c r="K237">
        <v>199</v>
      </c>
      <c r="L237" t="s">
        <v>1565</v>
      </c>
      <c r="M237" t="str">
        <f>HYPERLINK("http://dx.doi.org/10.1016/j.biosystemseng.2017.06.023","http://dx.doi.org/10.1016/j.biosystemseng.2017.06.023")</f>
        <v>http://dx.doi.org/10.1016/j.biosystemseng.2017.06.023</v>
      </c>
    </row>
    <row r="238" spans="1:13" x14ac:dyDescent="0.2">
      <c r="A238" t="s">
        <v>13</v>
      </c>
      <c r="B238" t="s">
        <v>1022</v>
      </c>
      <c r="C238" t="s">
        <v>1023</v>
      </c>
      <c r="D238" t="s">
        <v>1566</v>
      </c>
      <c r="E238" t="s">
        <v>104</v>
      </c>
      <c r="F238" t="s">
        <v>105</v>
      </c>
      <c r="G238">
        <v>2017</v>
      </c>
      <c r="H238">
        <v>161</v>
      </c>
      <c r="I238" t="s">
        <v>15</v>
      </c>
      <c r="J238">
        <v>174</v>
      </c>
      <c r="K238">
        <v>187</v>
      </c>
      <c r="L238" t="s">
        <v>1567</v>
      </c>
      <c r="M238" t="str">
        <f>HYPERLINK("http://dx.doi.org/10.1016/j.biosystemseng.2017.06.024","http://dx.doi.org/10.1016/j.biosystemseng.2017.06.024")</f>
        <v>http://dx.doi.org/10.1016/j.biosystemseng.2017.06.024</v>
      </c>
    </row>
    <row r="239" spans="1:13" x14ac:dyDescent="0.2">
      <c r="A239" t="s">
        <v>13</v>
      </c>
      <c r="B239" t="s">
        <v>1587</v>
      </c>
      <c r="C239" t="s">
        <v>1588</v>
      </c>
      <c r="D239" t="s">
        <v>1589</v>
      </c>
      <c r="E239" t="s">
        <v>239</v>
      </c>
      <c r="F239" t="s">
        <v>240</v>
      </c>
      <c r="G239">
        <v>2017</v>
      </c>
      <c r="H239">
        <v>10</v>
      </c>
      <c r="I239">
        <v>7</v>
      </c>
      <c r="J239" t="s">
        <v>15</v>
      </c>
      <c r="K239" t="s">
        <v>15</v>
      </c>
      <c r="L239" t="s">
        <v>1590</v>
      </c>
      <c r="M239" t="str">
        <f>HYPERLINK("http://dx.doi.org/10.3390/en10070927","http://dx.doi.org/10.3390/en10070927")</f>
        <v>http://dx.doi.org/10.3390/en10070927</v>
      </c>
    </row>
    <row r="240" spans="1:13" x14ac:dyDescent="0.2">
      <c r="A240" t="s">
        <v>13</v>
      </c>
      <c r="B240" t="s">
        <v>139</v>
      </c>
      <c r="C240" t="s">
        <v>140</v>
      </c>
      <c r="D240" t="s">
        <v>141</v>
      </c>
      <c r="E240" t="s">
        <v>142</v>
      </c>
      <c r="F240" t="s">
        <v>143</v>
      </c>
      <c r="G240">
        <v>2018</v>
      </c>
      <c r="H240">
        <v>130</v>
      </c>
      <c r="I240" t="s">
        <v>15</v>
      </c>
      <c r="J240">
        <v>587</v>
      </c>
      <c r="K240">
        <v>597</v>
      </c>
      <c r="L240" t="s">
        <v>144</v>
      </c>
      <c r="M240" t="str">
        <f>HYPERLINK("http://dx.doi.org/10.1016/j.applthermaleng.2017.11.028","http://dx.doi.org/10.1016/j.applthermaleng.2017.11.028")</f>
        <v>http://dx.doi.org/10.1016/j.applthermaleng.2017.11.028</v>
      </c>
    </row>
    <row r="241" spans="1:13" x14ac:dyDescent="0.2">
      <c r="A241" t="s">
        <v>13</v>
      </c>
      <c r="B241" t="s">
        <v>160</v>
      </c>
      <c r="C241" t="s">
        <v>161</v>
      </c>
      <c r="D241" t="s">
        <v>162</v>
      </c>
      <c r="E241" t="s">
        <v>136</v>
      </c>
      <c r="F241" t="s">
        <v>137</v>
      </c>
      <c r="G241">
        <v>2018</v>
      </c>
      <c r="H241">
        <v>150</v>
      </c>
      <c r="I241" t="s">
        <v>15</v>
      </c>
      <c r="J241">
        <v>235</v>
      </c>
      <c r="K241">
        <v>244</v>
      </c>
      <c r="L241" t="s">
        <v>163</v>
      </c>
      <c r="M241" t="str">
        <f>HYPERLINK("http://dx.doi.org/10.1016/j.compag.2018.04.025","http://dx.doi.org/10.1016/j.compag.2018.04.025")</f>
        <v>http://dx.doi.org/10.1016/j.compag.2018.04.025</v>
      </c>
    </row>
    <row r="242" spans="1:13" x14ac:dyDescent="0.2">
      <c r="A242" t="s">
        <v>13</v>
      </c>
      <c r="B242" t="s">
        <v>167</v>
      </c>
      <c r="C242" t="s">
        <v>168</v>
      </c>
      <c r="D242" t="s">
        <v>169</v>
      </c>
      <c r="E242" t="s">
        <v>92</v>
      </c>
      <c r="F242" t="s">
        <v>93</v>
      </c>
      <c r="G242">
        <v>2018</v>
      </c>
      <c r="H242">
        <v>96</v>
      </c>
      <c r="I242" t="s">
        <v>15</v>
      </c>
      <c r="J242">
        <v>487</v>
      </c>
      <c r="K242">
        <v>501</v>
      </c>
      <c r="L242" t="s">
        <v>170</v>
      </c>
      <c r="M242" t="str">
        <f>HYPERLINK("http://dx.doi.org/10.1016/j.rser.2018.06.046","http://dx.doi.org/10.1016/j.rser.2018.06.046")</f>
        <v>http://dx.doi.org/10.1016/j.rser.2018.06.046</v>
      </c>
    </row>
    <row r="243" spans="1:13" x14ac:dyDescent="0.2">
      <c r="A243" t="s">
        <v>13</v>
      </c>
      <c r="B243" t="s">
        <v>171</v>
      </c>
      <c r="C243" t="s">
        <v>172</v>
      </c>
      <c r="D243" t="s">
        <v>173</v>
      </c>
      <c r="E243" t="s">
        <v>92</v>
      </c>
      <c r="F243" t="s">
        <v>93</v>
      </c>
      <c r="G243">
        <v>2018</v>
      </c>
      <c r="H243">
        <v>90</v>
      </c>
      <c r="I243" t="s">
        <v>15</v>
      </c>
      <c r="J243">
        <v>142</v>
      </c>
      <c r="K243">
        <v>159</v>
      </c>
      <c r="L243" t="s">
        <v>174</v>
      </c>
      <c r="M243" t="str">
        <f>HYPERLINK("http://dx.doi.org/10.1016/j.rser.2018.03.043","http://dx.doi.org/10.1016/j.rser.2018.03.043")</f>
        <v>http://dx.doi.org/10.1016/j.rser.2018.03.043</v>
      </c>
    </row>
    <row r="244" spans="1:13" x14ac:dyDescent="0.2">
      <c r="A244" t="s">
        <v>13</v>
      </c>
      <c r="B244" t="s">
        <v>176</v>
      </c>
      <c r="C244" t="s">
        <v>177</v>
      </c>
      <c r="D244" t="s">
        <v>178</v>
      </c>
      <c r="E244" t="s">
        <v>179</v>
      </c>
      <c r="F244" t="s">
        <v>180</v>
      </c>
      <c r="G244">
        <v>2018</v>
      </c>
      <c r="H244">
        <v>118</v>
      </c>
      <c r="I244" t="s">
        <v>15</v>
      </c>
      <c r="J244">
        <v>799</v>
      </c>
      <c r="K244">
        <v>813</v>
      </c>
      <c r="L244" t="s">
        <v>181</v>
      </c>
      <c r="M244" t="str">
        <f>HYPERLINK("http://dx.doi.org/10.1016/j.renene.2017.11.069","http://dx.doi.org/10.1016/j.renene.2017.11.069")</f>
        <v>http://dx.doi.org/10.1016/j.renene.2017.11.069</v>
      </c>
    </row>
    <row r="245" spans="1:13" x14ac:dyDescent="0.2">
      <c r="A245" t="s">
        <v>13</v>
      </c>
      <c r="B245" t="s">
        <v>300</v>
      </c>
      <c r="C245" t="s">
        <v>301</v>
      </c>
      <c r="D245" t="s">
        <v>302</v>
      </c>
      <c r="E245" t="s">
        <v>73</v>
      </c>
      <c r="F245" t="s">
        <v>74</v>
      </c>
      <c r="G245">
        <v>2018</v>
      </c>
      <c r="H245">
        <v>162</v>
      </c>
      <c r="I245" t="s">
        <v>15</v>
      </c>
      <c r="J245">
        <v>205</v>
      </c>
      <c r="K245">
        <v>216</v>
      </c>
      <c r="L245" t="s">
        <v>303</v>
      </c>
      <c r="M245" t="str">
        <f>HYPERLINK("http://dx.doi.org/10.1016/j.solener.2018.01.023","http://dx.doi.org/10.1016/j.solener.2018.01.023")</f>
        <v>http://dx.doi.org/10.1016/j.solener.2018.01.023</v>
      </c>
    </row>
    <row r="246" spans="1:13" x14ac:dyDescent="0.2">
      <c r="A246" t="s">
        <v>13</v>
      </c>
      <c r="B246" t="s">
        <v>319</v>
      </c>
      <c r="C246" t="s">
        <v>320</v>
      </c>
      <c r="D246" t="s">
        <v>321</v>
      </c>
      <c r="E246" t="s">
        <v>322</v>
      </c>
      <c r="F246" t="s">
        <v>323</v>
      </c>
      <c r="G246">
        <v>2018</v>
      </c>
      <c r="H246">
        <v>190</v>
      </c>
      <c r="I246">
        <v>8</v>
      </c>
      <c r="J246" t="s">
        <v>15</v>
      </c>
      <c r="K246" t="s">
        <v>15</v>
      </c>
      <c r="L246" t="s">
        <v>324</v>
      </c>
      <c r="M246" t="str">
        <f>HYPERLINK("http://dx.doi.org/10.1007/s10661-018-6821-1","http://dx.doi.org/10.1007/s10661-018-6821-1")</f>
        <v>http://dx.doi.org/10.1007/s10661-018-6821-1</v>
      </c>
    </row>
    <row r="247" spans="1:13" x14ac:dyDescent="0.2">
      <c r="A247" t="s">
        <v>13</v>
      </c>
      <c r="B247" t="s">
        <v>325</v>
      </c>
      <c r="C247" t="s">
        <v>326</v>
      </c>
      <c r="D247" t="s">
        <v>327</v>
      </c>
      <c r="E247" t="s">
        <v>328</v>
      </c>
      <c r="F247" t="s">
        <v>329</v>
      </c>
      <c r="G247">
        <v>2018</v>
      </c>
      <c r="H247">
        <v>13</v>
      </c>
      <c r="I247">
        <v>2</v>
      </c>
      <c r="J247">
        <v>112</v>
      </c>
      <c r="K247">
        <v>118</v>
      </c>
      <c r="L247" t="s">
        <v>330</v>
      </c>
      <c r="M247" t="str">
        <f>HYPERLINK("http://dx.doi.org/10.4081/ija.2017.932","http://dx.doi.org/10.4081/ija.2017.932")</f>
        <v>http://dx.doi.org/10.4081/ija.2017.932</v>
      </c>
    </row>
    <row r="248" spans="1:13" x14ac:dyDescent="0.2">
      <c r="A248" t="s">
        <v>13</v>
      </c>
      <c r="B248" t="s">
        <v>427</v>
      </c>
      <c r="C248" t="s">
        <v>428</v>
      </c>
      <c r="D248" t="s">
        <v>429</v>
      </c>
      <c r="E248" t="s">
        <v>73</v>
      </c>
      <c r="F248" t="s">
        <v>74</v>
      </c>
      <c r="G248">
        <v>2018</v>
      </c>
      <c r="H248">
        <v>166</v>
      </c>
      <c r="I248" t="s">
        <v>15</v>
      </c>
      <c r="J248">
        <v>159</v>
      </c>
      <c r="K248">
        <v>170</v>
      </c>
      <c r="L248" t="s">
        <v>430</v>
      </c>
      <c r="M248" t="str">
        <f>HYPERLINK("http://dx.doi.org/10.1016/j.solener.2018.03.030","http://dx.doi.org/10.1016/j.solener.2018.03.030")</f>
        <v>http://dx.doi.org/10.1016/j.solener.2018.03.030</v>
      </c>
    </row>
    <row r="249" spans="1:13" x14ac:dyDescent="0.2">
      <c r="A249" t="s">
        <v>13</v>
      </c>
      <c r="B249" t="s">
        <v>464</v>
      </c>
      <c r="C249" t="s">
        <v>465</v>
      </c>
      <c r="D249" t="s">
        <v>466</v>
      </c>
      <c r="E249" t="s">
        <v>467</v>
      </c>
      <c r="F249" t="s">
        <v>468</v>
      </c>
      <c r="G249">
        <v>2018</v>
      </c>
      <c r="H249">
        <v>9</v>
      </c>
      <c r="I249">
        <v>1</v>
      </c>
      <c r="J249">
        <v>341</v>
      </c>
      <c r="K249">
        <v>346</v>
      </c>
      <c r="L249" t="s">
        <v>15</v>
      </c>
      <c r="M249" t="s">
        <v>15</v>
      </c>
    </row>
    <row r="250" spans="1:13" x14ac:dyDescent="0.2">
      <c r="A250" t="s">
        <v>13</v>
      </c>
      <c r="B250" t="s">
        <v>613</v>
      </c>
      <c r="C250" t="s">
        <v>614</v>
      </c>
      <c r="D250" t="s">
        <v>615</v>
      </c>
      <c r="E250" t="s">
        <v>616</v>
      </c>
      <c r="F250" t="s">
        <v>617</v>
      </c>
      <c r="G250">
        <v>2018</v>
      </c>
      <c r="H250">
        <v>54</v>
      </c>
      <c r="I250">
        <v>5</v>
      </c>
      <c r="J250">
        <v>1033</v>
      </c>
      <c r="K250">
        <v>1048</v>
      </c>
      <c r="L250" t="s">
        <v>618</v>
      </c>
      <c r="M250" t="str">
        <f>HYPERLINK("http://dx.doi.org/10.14736/kyb-2018-5-1033","http://dx.doi.org/10.14736/kyb-2018-5-1033")</f>
        <v>http://dx.doi.org/10.14736/kyb-2018-5-1033</v>
      </c>
    </row>
    <row r="251" spans="1:13" x14ac:dyDescent="0.2">
      <c r="A251" t="s">
        <v>13</v>
      </c>
      <c r="B251" t="s">
        <v>675</v>
      </c>
      <c r="C251" t="s">
        <v>676</v>
      </c>
      <c r="D251" t="s">
        <v>677</v>
      </c>
      <c r="E251" t="s">
        <v>678</v>
      </c>
      <c r="F251" t="s">
        <v>679</v>
      </c>
      <c r="G251">
        <v>2018</v>
      </c>
      <c r="H251">
        <v>29</v>
      </c>
      <c r="I251">
        <v>7</v>
      </c>
      <c r="J251">
        <v>1073</v>
      </c>
      <c r="K251">
        <v>1097</v>
      </c>
      <c r="L251" t="s">
        <v>680</v>
      </c>
      <c r="M251" t="str">
        <f>HYPERLINK("http://dx.doi.org/10.1177/0958305X18768819","http://dx.doi.org/10.1177/0958305X18768819")</f>
        <v>http://dx.doi.org/10.1177/0958305X18768819</v>
      </c>
    </row>
    <row r="252" spans="1:13" x14ac:dyDescent="0.2">
      <c r="A252" t="s">
        <v>13</v>
      </c>
      <c r="B252" t="s">
        <v>825</v>
      </c>
      <c r="C252" t="s">
        <v>826</v>
      </c>
      <c r="D252" t="s">
        <v>827</v>
      </c>
      <c r="E252" t="s">
        <v>239</v>
      </c>
      <c r="F252" t="s">
        <v>15</v>
      </c>
      <c r="G252">
        <v>2018</v>
      </c>
      <c r="H252">
        <v>11</v>
      </c>
      <c r="I252">
        <v>2</v>
      </c>
      <c r="J252" t="s">
        <v>15</v>
      </c>
      <c r="K252" t="s">
        <v>15</v>
      </c>
      <c r="L252" t="s">
        <v>828</v>
      </c>
      <c r="M252" t="str">
        <f>HYPERLINK("http://dx.doi.org/10.3390/en11020442","http://dx.doi.org/10.3390/en11020442")</f>
        <v>http://dx.doi.org/10.3390/en11020442</v>
      </c>
    </row>
    <row r="253" spans="1:13" x14ac:dyDescent="0.2">
      <c r="A253" t="s">
        <v>13</v>
      </c>
      <c r="B253" t="s">
        <v>918</v>
      </c>
      <c r="C253" t="s">
        <v>919</v>
      </c>
      <c r="D253" t="s">
        <v>920</v>
      </c>
      <c r="E253" t="s">
        <v>372</v>
      </c>
      <c r="F253" t="s">
        <v>373</v>
      </c>
      <c r="G253">
        <v>2018</v>
      </c>
      <c r="H253">
        <v>11</v>
      </c>
      <c r="I253">
        <v>1</v>
      </c>
      <c r="J253">
        <v>1</v>
      </c>
      <c r="K253">
        <v>22</v>
      </c>
      <c r="L253" t="s">
        <v>921</v>
      </c>
      <c r="M253" t="str">
        <f>HYPERLINK("http://dx.doi.org/10.25165/j.ijabe.20181101.3210","http://dx.doi.org/10.25165/j.ijabe.20181101.3210")</f>
        <v>http://dx.doi.org/10.25165/j.ijabe.20181101.3210</v>
      </c>
    </row>
    <row r="254" spans="1:13" x14ac:dyDescent="0.2">
      <c r="A254" t="s">
        <v>13</v>
      </c>
      <c r="B254" t="s">
        <v>1044</v>
      </c>
      <c r="C254" t="s">
        <v>1045</v>
      </c>
      <c r="D254" t="s">
        <v>1046</v>
      </c>
      <c r="E254" t="s">
        <v>640</v>
      </c>
      <c r="F254" t="s">
        <v>641</v>
      </c>
      <c r="G254">
        <v>2018</v>
      </c>
      <c r="H254">
        <v>39</v>
      </c>
      <c r="I254">
        <v>10</v>
      </c>
      <c r="J254" t="s">
        <v>15</v>
      </c>
      <c r="K254" t="s">
        <v>15</v>
      </c>
      <c r="L254" t="s">
        <v>1047</v>
      </c>
      <c r="M254" t="str">
        <f>HYPERLINK("http://dx.doi.org/10.1007/s10765-018-2434-8","http://dx.doi.org/10.1007/s10765-018-2434-8")</f>
        <v>http://dx.doi.org/10.1007/s10765-018-2434-8</v>
      </c>
    </row>
    <row r="255" spans="1:13" x14ac:dyDescent="0.2">
      <c r="A255" t="s">
        <v>13</v>
      </c>
      <c r="B255" t="s">
        <v>1147</v>
      </c>
      <c r="C255" t="s">
        <v>1148</v>
      </c>
      <c r="D255" t="s">
        <v>1149</v>
      </c>
      <c r="E255" t="s">
        <v>1150</v>
      </c>
      <c r="F255" t="s">
        <v>1151</v>
      </c>
      <c r="G255">
        <v>2018</v>
      </c>
      <c r="H255">
        <v>33</v>
      </c>
      <c r="I255">
        <v>11</v>
      </c>
      <c r="J255">
        <v>1230</v>
      </c>
      <c r="K255">
        <v>1249</v>
      </c>
      <c r="L255" t="s">
        <v>1152</v>
      </c>
      <c r="M255" t="str">
        <f>HYPERLINK("http://dx.doi.org/10.1029/2018PA003391","http://dx.doi.org/10.1029/2018PA003391")</f>
        <v>http://dx.doi.org/10.1029/2018PA003391</v>
      </c>
    </row>
    <row r="256" spans="1:13" x14ac:dyDescent="0.2">
      <c r="A256" t="s">
        <v>13</v>
      </c>
      <c r="B256" t="s">
        <v>1205</v>
      </c>
      <c r="C256" t="s">
        <v>1206</v>
      </c>
      <c r="D256" t="s">
        <v>1207</v>
      </c>
      <c r="E256" t="s">
        <v>1208</v>
      </c>
      <c r="F256" t="s">
        <v>1209</v>
      </c>
      <c r="G256">
        <v>2018</v>
      </c>
      <c r="H256">
        <v>62</v>
      </c>
      <c r="I256" t="s">
        <v>15</v>
      </c>
      <c r="J256">
        <v>86</v>
      </c>
      <c r="K256">
        <v>100</v>
      </c>
      <c r="L256" t="s">
        <v>1210</v>
      </c>
      <c r="M256" t="str">
        <f>HYPERLINK("http://dx.doi.org/10.1016/j.asoc.2017.10.023","http://dx.doi.org/10.1016/j.asoc.2017.10.023")</f>
        <v>http://dx.doi.org/10.1016/j.asoc.2017.10.023</v>
      </c>
    </row>
    <row r="257" spans="1:13" x14ac:dyDescent="0.2">
      <c r="A257" t="s">
        <v>13</v>
      </c>
      <c r="B257" t="s">
        <v>160</v>
      </c>
      <c r="C257" t="s">
        <v>1267</v>
      </c>
      <c r="D257" t="s">
        <v>1294</v>
      </c>
      <c r="E257" t="s">
        <v>212</v>
      </c>
      <c r="F257" t="s">
        <v>213</v>
      </c>
      <c r="G257">
        <v>2018</v>
      </c>
      <c r="H257">
        <v>42</v>
      </c>
      <c r="I257">
        <v>6</v>
      </c>
      <c r="J257">
        <v>2263</v>
      </c>
      <c r="K257">
        <v>2272</v>
      </c>
      <c r="L257" t="s">
        <v>1295</v>
      </c>
      <c r="M257" t="str">
        <f>HYPERLINK("http://dx.doi.org/10.1002/er.4019","http://dx.doi.org/10.1002/er.4019")</f>
        <v>http://dx.doi.org/10.1002/er.4019</v>
      </c>
    </row>
    <row r="258" spans="1:13" x14ac:dyDescent="0.2">
      <c r="A258" t="s">
        <v>13</v>
      </c>
      <c r="B258" t="s">
        <v>160</v>
      </c>
      <c r="C258" t="s">
        <v>1267</v>
      </c>
      <c r="D258" t="s">
        <v>1347</v>
      </c>
      <c r="E258" t="s">
        <v>136</v>
      </c>
      <c r="F258" t="s">
        <v>137</v>
      </c>
      <c r="G258">
        <v>2018</v>
      </c>
      <c r="H258">
        <v>154</v>
      </c>
      <c r="I258" t="s">
        <v>15</v>
      </c>
      <c r="J258">
        <v>99</v>
      </c>
      <c r="K258">
        <v>111</v>
      </c>
      <c r="L258" t="s">
        <v>1348</v>
      </c>
      <c r="M258" t="str">
        <f>HYPERLINK("http://dx.doi.org/10.1016/j.compag.2018.08.040","http://dx.doi.org/10.1016/j.compag.2018.08.040")</f>
        <v>http://dx.doi.org/10.1016/j.compag.2018.08.040</v>
      </c>
    </row>
    <row r="259" spans="1:13" x14ac:dyDescent="0.2">
      <c r="A259" t="s">
        <v>13</v>
      </c>
      <c r="B259" t="s">
        <v>1425</v>
      </c>
      <c r="C259" t="s">
        <v>1426</v>
      </c>
      <c r="D259" t="s">
        <v>1427</v>
      </c>
      <c r="E259" t="s">
        <v>104</v>
      </c>
      <c r="F259" t="s">
        <v>105</v>
      </c>
      <c r="G259">
        <v>2018</v>
      </c>
      <c r="H259">
        <v>171</v>
      </c>
      <c r="I259" t="s">
        <v>15</v>
      </c>
      <c r="J259">
        <v>205</v>
      </c>
      <c r="K259">
        <v>219</v>
      </c>
      <c r="L259" t="s">
        <v>1428</v>
      </c>
      <c r="M259" t="str">
        <f>HYPERLINK("http://dx.doi.org/10.1016/j.biosystemseng.2018.05.002","http://dx.doi.org/10.1016/j.biosystemseng.2018.05.002")</f>
        <v>http://dx.doi.org/10.1016/j.biosystemseng.2018.05.002</v>
      </c>
    </row>
    <row r="260" spans="1:13" x14ac:dyDescent="0.2">
      <c r="A260" t="s">
        <v>13</v>
      </c>
      <c r="B260" t="s">
        <v>1471</v>
      </c>
      <c r="C260" t="s">
        <v>1472</v>
      </c>
      <c r="D260" t="s">
        <v>1473</v>
      </c>
      <c r="E260" t="s">
        <v>1474</v>
      </c>
      <c r="F260" t="s">
        <v>1475</v>
      </c>
      <c r="G260">
        <v>2018</v>
      </c>
      <c r="H260">
        <v>39</v>
      </c>
      <c r="I260">
        <v>2</v>
      </c>
      <c r="J260">
        <v>638</v>
      </c>
      <c r="K260">
        <v>662</v>
      </c>
      <c r="L260" t="s">
        <v>1476</v>
      </c>
      <c r="M260" t="str">
        <f>HYPERLINK("http://dx.doi.org/10.1002/oca.2370","http://dx.doi.org/10.1002/oca.2370")</f>
        <v>http://dx.doi.org/10.1002/oca.2370</v>
      </c>
    </row>
    <row r="261" spans="1:13" x14ac:dyDescent="0.2">
      <c r="A261" t="s">
        <v>13</v>
      </c>
      <c r="B261" t="s">
        <v>1429</v>
      </c>
      <c r="C261" t="s">
        <v>1430</v>
      </c>
      <c r="D261" t="s">
        <v>1511</v>
      </c>
      <c r="E261" t="s">
        <v>136</v>
      </c>
      <c r="F261" t="s">
        <v>137</v>
      </c>
      <c r="G261">
        <v>2018</v>
      </c>
      <c r="H261">
        <v>146</v>
      </c>
      <c r="I261" t="s">
        <v>15</v>
      </c>
      <c r="J261">
        <v>93</v>
      </c>
      <c r="K261">
        <v>103</v>
      </c>
      <c r="L261" t="s">
        <v>1512</v>
      </c>
      <c r="M261" t="str">
        <f>HYPERLINK("http://dx.doi.org/10.1016/j.compag.2018.02.001","http://dx.doi.org/10.1016/j.compag.2018.02.001")</f>
        <v>http://dx.doi.org/10.1016/j.compag.2018.02.001</v>
      </c>
    </row>
    <row r="262" spans="1:13" x14ac:dyDescent="0.2">
      <c r="A262" t="s">
        <v>13</v>
      </c>
      <c r="B262" t="s">
        <v>1559</v>
      </c>
      <c r="C262" t="s">
        <v>1560</v>
      </c>
      <c r="D262" t="s">
        <v>1561</v>
      </c>
      <c r="E262" t="s">
        <v>1562</v>
      </c>
      <c r="F262" t="s">
        <v>1563</v>
      </c>
      <c r="G262">
        <v>2018</v>
      </c>
      <c r="H262">
        <v>17</v>
      </c>
      <c r="I262">
        <v>2</v>
      </c>
      <c r="J262">
        <v>399</v>
      </c>
      <c r="K262">
        <v>416</v>
      </c>
      <c r="L262" t="s">
        <v>15</v>
      </c>
      <c r="M262" t="s">
        <v>15</v>
      </c>
    </row>
    <row r="263" spans="1:13" x14ac:dyDescent="0.2">
      <c r="A263" t="s">
        <v>13</v>
      </c>
      <c r="B263" t="s">
        <v>1595</v>
      </c>
      <c r="C263" t="s">
        <v>1596</v>
      </c>
      <c r="D263" t="s">
        <v>1597</v>
      </c>
      <c r="E263" t="s">
        <v>1598</v>
      </c>
      <c r="F263" t="s">
        <v>1599</v>
      </c>
      <c r="G263">
        <v>2018</v>
      </c>
      <c r="H263">
        <v>57</v>
      </c>
      <c r="I263">
        <v>2</v>
      </c>
      <c r="J263">
        <v>773</v>
      </c>
      <c r="K263">
        <v>779</v>
      </c>
      <c r="L263" t="s">
        <v>1600</v>
      </c>
      <c r="M263" t="str">
        <f>HYPERLINK("http://dx.doi.org/10.1016/j.aej.2014.04.009","http://dx.doi.org/10.1016/j.aej.2014.04.009")</f>
        <v>http://dx.doi.org/10.1016/j.aej.2014.04.009</v>
      </c>
    </row>
    <row r="264" spans="1:13" x14ac:dyDescent="0.2">
      <c r="A264" t="s">
        <v>13</v>
      </c>
      <c r="B264" t="s">
        <v>1771</v>
      </c>
      <c r="C264" t="s">
        <v>1772</v>
      </c>
      <c r="D264" t="s">
        <v>1773</v>
      </c>
      <c r="E264" t="s">
        <v>1774</v>
      </c>
      <c r="F264" t="s">
        <v>1775</v>
      </c>
      <c r="G264">
        <v>2018</v>
      </c>
      <c r="H264">
        <v>83</v>
      </c>
      <c r="I264">
        <v>5</v>
      </c>
      <c r="J264">
        <v>269</v>
      </c>
      <c r="K264">
        <v>279</v>
      </c>
      <c r="L264" t="s">
        <v>1776</v>
      </c>
      <c r="M264" t="str">
        <f>HYPERLINK("http://dx.doi.org/10.17660/eJHS.2018/83.5.1","http://dx.doi.org/10.17660/eJHS.2018/83.5.1")</f>
        <v>http://dx.doi.org/10.17660/eJHS.2018/83.5.1</v>
      </c>
    </row>
    <row r="265" spans="1:13" x14ac:dyDescent="0.2">
      <c r="A265" t="s">
        <v>13</v>
      </c>
      <c r="B265" t="s">
        <v>48</v>
      </c>
      <c r="C265" t="s">
        <v>49</v>
      </c>
      <c r="D265" t="s">
        <v>50</v>
      </c>
      <c r="E265" t="s">
        <v>51</v>
      </c>
      <c r="F265" t="s">
        <v>52</v>
      </c>
      <c r="G265">
        <v>2019</v>
      </c>
      <c r="H265">
        <v>38</v>
      </c>
      <c r="I265">
        <v>1</v>
      </c>
      <c r="J265">
        <v>24</v>
      </c>
      <c r="K265">
        <v>36</v>
      </c>
      <c r="L265" t="s">
        <v>53</v>
      </c>
      <c r="M265" t="str">
        <f>HYPERLINK("http://dx.doi.org/10.1080/14786451.2018.1424167","http://dx.doi.org/10.1080/14786451.2018.1424167")</f>
        <v>http://dx.doi.org/10.1080/14786451.2018.1424167</v>
      </c>
    </row>
    <row r="266" spans="1:13" x14ac:dyDescent="0.2">
      <c r="A266" t="s">
        <v>13</v>
      </c>
      <c r="B266" t="s">
        <v>133</v>
      </c>
      <c r="C266" t="s">
        <v>134</v>
      </c>
      <c r="D266" t="s">
        <v>135</v>
      </c>
      <c r="E266" t="s">
        <v>136</v>
      </c>
      <c r="F266" t="s">
        <v>137</v>
      </c>
      <c r="G266">
        <v>2019</v>
      </c>
      <c r="H266">
        <v>164</v>
      </c>
      <c r="I266" t="s">
        <v>15</v>
      </c>
      <c r="J266" t="s">
        <v>15</v>
      </c>
      <c r="K266" t="s">
        <v>15</v>
      </c>
      <c r="L266" t="s">
        <v>138</v>
      </c>
      <c r="M266" t="str">
        <f>HYPERLINK("http://dx.doi.org/10.1016/j.compag.2019.104904","http://dx.doi.org/10.1016/j.compag.2019.104904")</f>
        <v>http://dx.doi.org/10.1016/j.compag.2019.104904</v>
      </c>
    </row>
    <row r="267" spans="1:13" x14ac:dyDescent="0.2">
      <c r="A267" t="s">
        <v>13</v>
      </c>
      <c r="B267" t="s">
        <v>192</v>
      </c>
      <c r="C267" t="s">
        <v>193</v>
      </c>
      <c r="D267" t="s">
        <v>194</v>
      </c>
      <c r="E267" t="s">
        <v>73</v>
      </c>
      <c r="F267" t="s">
        <v>74</v>
      </c>
      <c r="G267">
        <v>2019</v>
      </c>
      <c r="H267">
        <v>191</v>
      </c>
      <c r="I267" t="s">
        <v>15</v>
      </c>
      <c r="J267">
        <v>109</v>
      </c>
      <c r="K267">
        <v>137</v>
      </c>
      <c r="L267" t="s">
        <v>195</v>
      </c>
      <c r="M267" t="str">
        <f>HYPERLINK("http://dx.doi.org/10.1016/j.solener.2019.08.042","http://dx.doi.org/10.1016/j.solener.2019.08.042")</f>
        <v>http://dx.doi.org/10.1016/j.solener.2019.08.042</v>
      </c>
    </row>
    <row r="268" spans="1:13" x14ac:dyDescent="0.2">
      <c r="A268" t="s">
        <v>13</v>
      </c>
      <c r="B268" t="s">
        <v>280</v>
      </c>
      <c r="C268" t="s">
        <v>281</v>
      </c>
      <c r="D268" t="s">
        <v>282</v>
      </c>
      <c r="E268" t="s">
        <v>110</v>
      </c>
      <c r="F268" t="s">
        <v>111</v>
      </c>
      <c r="G268">
        <v>2019</v>
      </c>
      <c r="H268">
        <v>54</v>
      </c>
      <c r="I268">
        <v>9</v>
      </c>
      <c r="J268">
        <v>1492</v>
      </c>
      <c r="K268">
        <v>1500</v>
      </c>
      <c r="L268" t="s">
        <v>283</v>
      </c>
      <c r="M268" t="str">
        <f>HYPERLINK("http://dx.doi.org/10.21273/HORTSCI14179-19","http://dx.doi.org/10.21273/HORTSCI14179-19")</f>
        <v>http://dx.doi.org/10.21273/HORTSCI14179-19</v>
      </c>
    </row>
    <row r="269" spans="1:13" x14ac:dyDescent="0.2">
      <c r="A269" t="s">
        <v>13</v>
      </c>
      <c r="B269" t="s">
        <v>475</v>
      </c>
      <c r="C269" t="s">
        <v>476</v>
      </c>
      <c r="D269" t="s">
        <v>477</v>
      </c>
      <c r="E269" t="s">
        <v>239</v>
      </c>
      <c r="F269" t="s">
        <v>15</v>
      </c>
      <c r="G269">
        <v>2019</v>
      </c>
      <c r="H269">
        <v>12</v>
      </c>
      <c r="I269">
        <v>24</v>
      </c>
      <c r="J269" t="s">
        <v>15</v>
      </c>
      <c r="K269" t="s">
        <v>15</v>
      </c>
      <c r="L269" t="s">
        <v>478</v>
      </c>
      <c r="M269" t="str">
        <f>HYPERLINK("http://dx.doi.org/10.3390/en12244716","http://dx.doi.org/10.3390/en12244716")</f>
        <v>http://dx.doi.org/10.3390/en12244716</v>
      </c>
    </row>
    <row r="270" spans="1:13" x14ac:dyDescent="0.2">
      <c r="A270" t="s">
        <v>13</v>
      </c>
      <c r="B270" t="s">
        <v>516</v>
      </c>
      <c r="C270" t="s">
        <v>517</v>
      </c>
      <c r="D270" t="s">
        <v>518</v>
      </c>
      <c r="E270" t="s">
        <v>519</v>
      </c>
      <c r="F270" t="s">
        <v>520</v>
      </c>
      <c r="G270">
        <v>2019</v>
      </c>
      <c r="H270">
        <v>9</v>
      </c>
      <c r="I270">
        <v>4</v>
      </c>
      <c r="J270">
        <v>4405</v>
      </c>
      <c r="K270">
        <v>4410</v>
      </c>
      <c r="L270" t="s">
        <v>15</v>
      </c>
      <c r="M270" t="s">
        <v>15</v>
      </c>
    </row>
    <row r="271" spans="1:13" x14ac:dyDescent="0.2">
      <c r="A271" t="s">
        <v>13</v>
      </c>
      <c r="B271" t="s">
        <v>113</v>
      </c>
      <c r="C271" t="s">
        <v>114</v>
      </c>
      <c r="D271" t="s">
        <v>607</v>
      </c>
      <c r="E271" t="s">
        <v>116</v>
      </c>
      <c r="F271" t="s">
        <v>117</v>
      </c>
      <c r="G271">
        <v>2019</v>
      </c>
      <c r="H271">
        <v>25</v>
      </c>
      <c r="I271">
        <v>1</v>
      </c>
      <c r="J271">
        <v>90</v>
      </c>
      <c r="K271">
        <v>114</v>
      </c>
      <c r="L271" t="s">
        <v>608</v>
      </c>
      <c r="M271" t="str">
        <f>HYPERLINK("http://dx.doi.org/10.1080/13873954.2018.1555172","http://dx.doi.org/10.1080/13873954.2018.1555172")</f>
        <v>http://dx.doi.org/10.1080/13873954.2018.1555172</v>
      </c>
    </row>
    <row r="272" spans="1:13" x14ac:dyDescent="0.2">
      <c r="A272" t="s">
        <v>13</v>
      </c>
      <c r="B272" t="s">
        <v>637</v>
      </c>
      <c r="C272" t="s">
        <v>638</v>
      </c>
      <c r="D272" t="s">
        <v>639</v>
      </c>
      <c r="E272" t="s">
        <v>640</v>
      </c>
      <c r="F272" t="s">
        <v>641</v>
      </c>
      <c r="G272">
        <v>2019</v>
      </c>
      <c r="H272">
        <v>40</v>
      </c>
      <c r="I272">
        <v>6</v>
      </c>
      <c r="J272" t="s">
        <v>15</v>
      </c>
      <c r="K272" t="s">
        <v>15</v>
      </c>
      <c r="L272" t="s">
        <v>642</v>
      </c>
      <c r="M272" t="str">
        <f>HYPERLINK("http://dx.doi.org/10.1007/s10765-019-2528-y","http://dx.doi.org/10.1007/s10765-019-2528-y")</f>
        <v>http://dx.doi.org/10.1007/s10765-019-2528-y</v>
      </c>
    </row>
    <row r="273" spans="1:13" x14ac:dyDescent="0.2">
      <c r="A273" t="s">
        <v>13</v>
      </c>
      <c r="B273" t="s">
        <v>739</v>
      </c>
      <c r="C273" t="s">
        <v>740</v>
      </c>
      <c r="D273" t="s">
        <v>741</v>
      </c>
      <c r="E273" t="s">
        <v>110</v>
      </c>
      <c r="F273" t="s">
        <v>111</v>
      </c>
      <c r="G273">
        <v>2019</v>
      </c>
      <c r="H273">
        <v>54</v>
      </c>
      <c r="I273">
        <v>3</v>
      </c>
      <c r="J273">
        <v>547</v>
      </c>
      <c r="K273">
        <v>554</v>
      </c>
      <c r="L273" t="s">
        <v>742</v>
      </c>
      <c r="M273" t="str">
        <f>HYPERLINK("http://dx.doi.org/10.21273/HORTSCI13703-18","http://dx.doi.org/10.21273/HORTSCI13703-18")</f>
        <v>http://dx.doi.org/10.21273/HORTSCI13703-18</v>
      </c>
    </row>
    <row r="274" spans="1:13" x14ac:dyDescent="0.2">
      <c r="A274" t="s">
        <v>13</v>
      </c>
      <c r="B274" t="s">
        <v>821</v>
      </c>
      <c r="C274" t="s">
        <v>822</v>
      </c>
      <c r="D274" t="s">
        <v>823</v>
      </c>
      <c r="E274" t="s">
        <v>239</v>
      </c>
      <c r="F274" t="s">
        <v>15</v>
      </c>
      <c r="G274">
        <v>2019</v>
      </c>
      <c r="H274">
        <v>12</v>
      </c>
      <c r="I274">
        <v>19</v>
      </c>
      <c r="J274" t="s">
        <v>15</v>
      </c>
      <c r="K274" t="s">
        <v>15</v>
      </c>
      <c r="L274" t="s">
        <v>824</v>
      </c>
      <c r="M274" t="str">
        <f>HYPERLINK("http://dx.doi.org/10.3390/en12193592","http://dx.doi.org/10.3390/en12193592")</f>
        <v>http://dx.doi.org/10.3390/en12193592</v>
      </c>
    </row>
    <row r="275" spans="1:13" x14ac:dyDescent="0.2">
      <c r="A275" t="s">
        <v>13</v>
      </c>
      <c r="B275" t="s">
        <v>889</v>
      </c>
      <c r="C275" t="s">
        <v>890</v>
      </c>
      <c r="D275" t="s">
        <v>891</v>
      </c>
      <c r="E275" t="s">
        <v>136</v>
      </c>
      <c r="F275" t="s">
        <v>137</v>
      </c>
      <c r="G275">
        <v>2019</v>
      </c>
      <c r="H275">
        <v>162</v>
      </c>
      <c r="I275" t="s">
        <v>15</v>
      </c>
      <c r="J275">
        <v>134</v>
      </c>
      <c r="K275">
        <v>142</v>
      </c>
      <c r="L275" t="s">
        <v>892</v>
      </c>
      <c r="M275" t="str">
        <f>HYPERLINK("http://dx.doi.org/10.1016/j.compag.2019.04.013","http://dx.doi.org/10.1016/j.compag.2019.04.013")</f>
        <v>http://dx.doi.org/10.1016/j.compag.2019.04.013</v>
      </c>
    </row>
    <row r="276" spans="1:13" x14ac:dyDescent="0.2">
      <c r="A276" t="s">
        <v>13</v>
      </c>
      <c r="B276" t="s">
        <v>922</v>
      </c>
      <c r="C276" t="s">
        <v>923</v>
      </c>
      <c r="D276" t="s">
        <v>924</v>
      </c>
      <c r="E276" t="s">
        <v>73</v>
      </c>
      <c r="F276" t="s">
        <v>74</v>
      </c>
      <c r="G276">
        <v>2019</v>
      </c>
      <c r="H276">
        <v>191</v>
      </c>
      <c r="I276" t="s">
        <v>15</v>
      </c>
      <c r="J276">
        <v>46</v>
      </c>
      <c r="K276">
        <v>56</v>
      </c>
      <c r="L276" t="s">
        <v>925</v>
      </c>
      <c r="M276" t="str">
        <f>HYPERLINK("http://dx.doi.org/10.1016/j.solener.2019.07.089","http://dx.doi.org/10.1016/j.solener.2019.07.089")</f>
        <v>http://dx.doi.org/10.1016/j.solener.2019.07.089</v>
      </c>
    </row>
    <row r="277" spans="1:13" x14ac:dyDescent="0.2">
      <c r="A277" t="s">
        <v>13</v>
      </c>
      <c r="B277" t="s">
        <v>930</v>
      </c>
      <c r="C277" t="s">
        <v>931</v>
      </c>
      <c r="D277" t="s">
        <v>932</v>
      </c>
      <c r="E277" t="s">
        <v>933</v>
      </c>
      <c r="F277" t="s">
        <v>934</v>
      </c>
      <c r="G277">
        <v>2019</v>
      </c>
      <c r="H277">
        <v>20</v>
      </c>
      <c r="I277">
        <v>4</v>
      </c>
      <c r="J277">
        <v>697</v>
      </c>
      <c r="K277">
        <v>722</v>
      </c>
      <c r="L277" t="s">
        <v>935</v>
      </c>
      <c r="M277" t="str">
        <f>HYPERLINK("http://dx.doi.org/10.1007/s11119-018-9601-6","http://dx.doi.org/10.1007/s11119-018-9601-6")</f>
        <v>http://dx.doi.org/10.1007/s11119-018-9601-6</v>
      </c>
    </row>
    <row r="278" spans="1:13" x14ac:dyDescent="0.2">
      <c r="A278" t="s">
        <v>13</v>
      </c>
      <c r="B278" t="s">
        <v>1006</v>
      </c>
      <c r="C278" t="s">
        <v>1007</v>
      </c>
      <c r="D278" t="s">
        <v>1008</v>
      </c>
      <c r="E278" t="s">
        <v>472</v>
      </c>
      <c r="F278" t="s">
        <v>473</v>
      </c>
      <c r="G278">
        <v>2019</v>
      </c>
      <c r="H278">
        <v>253</v>
      </c>
      <c r="I278" t="s">
        <v>15</v>
      </c>
      <c r="J278" t="s">
        <v>15</v>
      </c>
      <c r="K278" t="s">
        <v>15</v>
      </c>
      <c r="L278" t="s">
        <v>1009</v>
      </c>
      <c r="M278" t="str">
        <f>HYPERLINK("http://dx.doi.org/10.1016/j.apenergy.2019.113564","http://dx.doi.org/10.1016/j.apenergy.2019.113564")</f>
        <v>http://dx.doi.org/10.1016/j.apenergy.2019.113564</v>
      </c>
    </row>
    <row r="279" spans="1:13" x14ac:dyDescent="0.2">
      <c r="A279" t="s">
        <v>13</v>
      </c>
      <c r="B279" t="s">
        <v>1010</v>
      </c>
      <c r="C279" t="s">
        <v>1011</v>
      </c>
      <c r="D279" t="s">
        <v>1012</v>
      </c>
      <c r="E279" t="s">
        <v>1013</v>
      </c>
      <c r="F279" t="s">
        <v>1014</v>
      </c>
      <c r="G279">
        <v>2019</v>
      </c>
      <c r="H279">
        <v>14</v>
      </c>
      <c r="I279">
        <v>1</v>
      </c>
      <c r="J279">
        <v>5</v>
      </c>
      <c r="K279">
        <v>15</v>
      </c>
      <c r="L279" t="s">
        <v>1015</v>
      </c>
      <c r="M279" t="str">
        <f>HYPERLINK("http://dx.doi.org/10.1007/s00003-018-1194-5","http://dx.doi.org/10.1007/s00003-018-1194-5")</f>
        <v>http://dx.doi.org/10.1007/s00003-018-1194-5</v>
      </c>
    </row>
    <row r="280" spans="1:13" x14ac:dyDescent="0.2">
      <c r="A280" t="s">
        <v>13</v>
      </c>
      <c r="B280" t="s">
        <v>1289</v>
      </c>
      <c r="C280" t="s">
        <v>1290</v>
      </c>
      <c r="D280" t="s">
        <v>1291</v>
      </c>
      <c r="E280" t="s">
        <v>1292</v>
      </c>
      <c r="F280" t="s">
        <v>1293</v>
      </c>
      <c r="G280">
        <v>2019</v>
      </c>
      <c r="H280">
        <v>20</v>
      </c>
      <c r="I280" t="s">
        <v>15</v>
      </c>
      <c r="J280">
        <v>67</v>
      </c>
      <c r="K280">
        <v>73</v>
      </c>
      <c r="L280" t="s">
        <v>15</v>
      </c>
      <c r="M280" t="s">
        <v>15</v>
      </c>
    </row>
    <row r="281" spans="1:13" x14ac:dyDescent="0.2">
      <c r="A281" t="s">
        <v>13</v>
      </c>
      <c r="B281" t="s">
        <v>1312</v>
      </c>
      <c r="C281" t="s">
        <v>1313</v>
      </c>
      <c r="D281" t="s">
        <v>1314</v>
      </c>
      <c r="E281" t="s">
        <v>1315</v>
      </c>
      <c r="F281" t="s">
        <v>1316</v>
      </c>
      <c r="G281">
        <v>2019</v>
      </c>
      <c r="H281">
        <v>21</v>
      </c>
      <c r="I281" t="s">
        <v>15</v>
      </c>
      <c r="J281">
        <v>1889</v>
      </c>
      <c r="K281">
        <v>1904</v>
      </c>
      <c r="L281" t="s">
        <v>15</v>
      </c>
      <c r="M281" t="s">
        <v>15</v>
      </c>
    </row>
    <row r="282" spans="1:13" x14ac:dyDescent="0.2">
      <c r="A282" t="s">
        <v>13</v>
      </c>
      <c r="B282" t="s">
        <v>167</v>
      </c>
      <c r="C282" t="s">
        <v>168</v>
      </c>
      <c r="D282" t="s">
        <v>1415</v>
      </c>
      <c r="E282" t="s">
        <v>1416</v>
      </c>
      <c r="F282" t="s">
        <v>1417</v>
      </c>
      <c r="G282">
        <v>2019</v>
      </c>
      <c r="H282">
        <v>675</v>
      </c>
      <c r="I282" t="s">
        <v>15</v>
      </c>
      <c r="J282">
        <v>560</v>
      </c>
      <c r="K282">
        <v>569</v>
      </c>
      <c r="L282" t="s">
        <v>1418</v>
      </c>
      <c r="M282" t="str">
        <f>HYPERLINK("http://dx.doi.org/10.1016/j.scitotenv.2019.04.092","http://dx.doi.org/10.1016/j.scitotenv.2019.04.092")</f>
        <v>http://dx.doi.org/10.1016/j.scitotenv.2019.04.092</v>
      </c>
    </row>
    <row r="283" spans="1:13" x14ac:dyDescent="0.2">
      <c r="A283" t="s">
        <v>13</v>
      </c>
      <c r="B283" t="s">
        <v>1429</v>
      </c>
      <c r="C283" t="s">
        <v>1430</v>
      </c>
      <c r="D283" t="s">
        <v>1431</v>
      </c>
      <c r="E283" t="s">
        <v>189</v>
      </c>
      <c r="F283" t="s">
        <v>190</v>
      </c>
      <c r="G283">
        <v>2019</v>
      </c>
      <c r="H283">
        <v>85</v>
      </c>
      <c r="I283" t="s">
        <v>15</v>
      </c>
      <c r="J283">
        <v>90</v>
      </c>
      <c r="K283">
        <v>99</v>
      </c>
      <c r="L283" t="s">
        <v>1432</v>
      </c>
      <c r="M283" t="str">
        <f>HYPERLINK("http://dx.doi.org/10.1016/j.conengprac.2019.01.010","http://dx.doi.org/10.1016/j.conengprac.2019.01.010")</f>
        <v>http://dx.doi.org/10.1016/j.conengprac.2019.01.010</v>
      </c>
    </row>
    <row r="284" spans="1:13" x14ac:dyDescent="0.2">
      <c r="A284" t="s">
        <v>13</v>
      </c>
      <c r="B284" t="s">
        <v>1481</v>
      </c>
      <c r="C284" t="s">
        <v>1482</v>
      </c>
      <c r="D284" t="s">
        <v>1529</v>
      </c>
      <c r="E284" t="s">
        <v>136</v>
      </c>
      <c r="F284" t="s">
        <v>137</v>
      </c>
      <c r="G284">
        <v>2019</v>
      </c>
      <c r="H284">
        <v>162</v>
      </c>
      <c r="I284" t="s">
        <v>15</v>
      </c>
      <c r="J284">
        <v>1035</v>
      </c>
      <c r="K284">
        <v>1048</v>
      </c>
      <c r="L284" t="s">
        <v>1530</v>
      </c>
      <c r="M284" t="str">
        <f>HYPERLINK("http://dx.doi.org/10.1016/j.compag.2019.05.040","http://dx.doi.org/10.1016/j.compag.2019.05.040")</f>
        <v>http://dx.doi.org/10.1016/j.compag.2019.05.040</v>
      </c>
    </row>
    <row r="285" spans="1:13" x14ac:dyDescent="0.2">
      <c r="A285" t="s">
        <v>13</v>
      </c>
      <c r="B285" t="s">
        <v>1627</v>
      </c>
      <c r="C285" t="s">
        <v>1628</v>
      </c>
      <c r="D285" t="s">
        <v>1629</v>
      </c>
      <c r="E285" t="s">
        <v>239</v>
      </c>
      <c r="F285" t="s">
        <v>15</v>
      </c>
      <c r="G285">
        <v>2019</v>
      </c>
      <c r="H285">
        <v>12</v>
      </c>
      <c r="I285">
        <v>15</v>
      </c>
      <c r="J285" t="s">
        <v>15</v>
      </c>
      <c r="K285" t="s">
        <v>15</v>
      </c>
      <c r="L285" t="s">
        <v>1630</v>
      </c>
      <c r="M285" t="str">
        <f>HYPERLINK("http://dx.doi.org/10.3390/en12152873","http://dx.doi.org/10.3390/en12152873")</f>
        <v>http://dx.doi.org/10.3390/en12152873</v>
      </c>
    </row>
    <row r="286" spans="1:13" x14ac:dyDescent="0.2">
      <c r="A286" t="s">
        <v>13</v>
      </c>
      <c r="B286" t="s">
        <v>1648</v>
      </c>
      <c r="C286" t="s">
        <v>1649</v>
      </c>
      <c r="D286" t="s">
        <v>1650</v>
      </c>
      <c r="E286" t="s">
        <v>1651</v>
      </c>
      <c r="F286" t="s">
        <v>1652</v>
      </c>
      <c r="G286">
        <v>2019</v>
      </c>
      <c r="H286">
        <v>17</v>
      </c>
      <c r="I286">
        <v>4</v>
      </c>
      <c r="J286">
        <v>8449</v>
      </c>
      <c r="K286">
        <v>8464</v>
      </c>
      <c r="L286" t="s">
        <v>1653</v>
      </c>
      <c r="M286" t="str">
        <f>HYPERLINK("http://dx.doi.org/10.15666/aeer/1704_84498464","http://dx.doi.org/10.15666/aeer/1704_84498464")</f>
        <v>http://dx.doi.org/10.15666/aeer/1704_84498464</v>
      </c>
    </row>
    <row r="287" spans="1:13" x14ac:dyDescent="0.2">
      <c r="A287" t="s">
        <v>13</v>
      </c>
      <c r="B287" t="s">
        <v>1682</v>
      </c>
      <c r="C287" t="s">
        <v>1683</v>
      </c>
      <c r="D287" t="s">
        <v>1684</v>
      </c>
      <c r="E287" t="s">
        <v>945</v>
      </c>
      <c r="F287" t="s">
        <v>15</v>
      </c>
      <c r="G287">
        <v>2019</v>
      </c>
      <c r="H287">
        <v>19</v>
      </c>
      <c r="I287">
        <v>8</v>
      </c>
      <c r="J287" t="s">
        <v>15</v>
      </c>
      <c r="K287" t="s">
        <v>15</v>
      </c>
      <c r="L287" t="s">
        <v>1685</v>
      </c>
      <c r="M287" t="str">
        <f>HYPERLINK("http://dx.doi.org/10.3390/s19081807","http://dx.doi.org/10.3390/s19081807")</f>
        <v>http://dx.doi.org/10.3390/s19081807</v>
      </c>
    </row>
    <row r="288" spans="1:13" x14ac:dyDescent="0.2">
      <c r="A288" t="s">
        <v>13</v>
      </c>
      <c r="B288" t="s">
        <v>1781</v>
      </c>
      <c r="C288" t="s">
        <v>1782</v>
      </c>
      <c r="D288" t="s">
        <v>1783</v>
      </c>
      <c r="E288" t="s">
        <v>372</v>
      </c>
      <c r="F288" t="s">
        <v>373</v>
      </c>
      <c r="G288">
        <v>2019</v>
      </c>
      <c r="H288">
        <v>12</v>
      </c>
      <c r="I288">
        <v>3</v>
      </c>
      <c r="J288">
        <v>118</v>
      </c>
      <c r="K288">
        <v>125</v>
      </c>
      <c r="L288" t="s">
        <v>1784</v>
      </c>
      <c r="M288" t="str">
        <f>HYPERLINK("http://dx.doi.org/10.25165/j.ijabe.20191203.4680","http://dx.doi.org/10.25165/j.ijabe.20191203.4680")</f>
        <v>http://dx.doi.org/10.25165/j.ijabe.20191203.4680</v>
      </c>
    </row>
    <row r="289" spans="1:13" x14ac:dyDescent="0.2">
      <c r="A289" t="s">
        <v>13</v>
      </c>
      <c r="B289" t="s">
        <v>31</v>
      </c>
      <c r="C289" t="s">
        <v>32</v>
      </c>
      <c r="D289" t="s">
        <v>33</v>
      </c>
      <c r="E289" t="s">
        <v>34</v>
      </c>
      <c r="F289" t="s">
        <v>35</v>
      </c>
      <c r="G289">
        <v>2020</v>
      </c>
      <c r="H289">
        <v>33</v>
      </c>
      <c r="I289" t="s">
        <v>15</v>
      </c>
      <c r="J289" t="s">
        <v>15</v>
      </c>
      <c r="K289" t="s">
        <v>15</v>
      </c>
      <c r="L289" t="s">
        <v>36</v>
      </c>
      <c r="M289" t="str">
        <f>HYPERLINK("http://dx.doi.org/10.1016/j.dib.2020.106339","http://dx.doi.org/10.1016/j.dib.2020.106339")</f>
        <v>http://dx.doi.org/10.1016/j.dib.2020.106339</v>
      </c>
    </row>
    <row r="290" spans="1:13" x14ac:dyDescent="0.2">
      <c r="A290" t="s">
        <v>13</v>
      </c>
      <c r="B290" t="s">
        <v>101</v>
      </c>
      <c r="C290" t="s">
        <v>102</v>
      </c>
      <c r="D290" t="s">
        <v>103</v>
      </c>
      <c r="E290" t="s">
        <v>104</v>
      </c>
      <c r="F290" t="s">
        <v>105</v>
      </c>
      <c r="G290">
        <v>2020</v>
      </c>
      <c r="H290">
        <v>194</v>
      </c>
      <c r="I290" t="s">
        <v>15</v>
      </c>
      <c r="J290">
        <v>1</v>
      </c>
      <c r="K290">
        <v>15</v>
      </c>
      <c r="L290" t="s">
        <v>106</v>
      </c>
      <c r="M290" t="str">
        <f>HYPERLINK("http://dx.doi.org/10.1016/j.biosystemseng.2020.03.009","http://dx.doi.org/10.1016/j.biosystemseng.2020.03.009")</f>
        <v>http://dx.doi.org/10.1016/j.biosystemseng.2020.03.009</v>
      </c>
    </row>
    <row r="291" spans="1:13" x14ac:dyDescent="0.2">
      <c r="A291" t="s">
        <v>13</v>
      </c>
      <c r="B291" t="s">
        <v>107</v>
      </c>
      <c r="C291" t="s">
        <v>108</v>
      </c>
      <c r="D291" t="s">
        <v>109</v>
      </c>
      <c r="E291" t="s">
        <v>110</v>
      </c>
      <c r="F291" t="s">
        <v>111</v>
      </c>
      <c r="G291">
        <v>2020</v>
      </c>
      <c r="H291">
        <v>55</v>
      </c>
      <c r="I291">
        <v>9</v>
      </c>
      <c r="J291" t="s">
        <v>112</v>
      </c>
      <c r="K291" t="s">
        <v>112</v>
      </c>
      <c r="L291" t="s">
        <v>15</v>
      </c>
      <c r="M291" t="s">
        <v>15</v>
      </c>
    </row>
    <row r="292" spans="1:13" x14ac:dyDescent="0.2">
      <c r="A292" t="s">
        <v>13</v>
      </c>
      <c r="B292" t="s">
        <v>200</v>
      </c>
      <c r="C292" t="s">
        <v>201</v>
      </c>
      <c r="D292" t="s">
        <v>202</v>
      </c>
      <c r="E292" t="s">
        <v>203</v>
      </c>
      <c r="F292" t="s">
        <v>204</v>
      </c>
      <c r="G292">
        <v>2020</v>
      </c>
      <c r="H292">
        <v>11</v>
      </c>
      <c r="I292">
        <v>2</v>
      </c>
      <c r="J292">
        <v>299</v>
      </c>
      <c r="K292">
        <v>316</v>
      </c>
      <c r="L292" t="s">
        <v>205</v>
      </c>
      <c r="M292" t="str">
        <f>HYPERLINK("http://dx.doi.org/10.5194/ms-11-299-2020","http://dx.doi.org/10.5194/ms-11-299-2020")</f>
        <v>http://dx.doi.org/10.5194/ms-11-299-2020</v>
      </c>
    </row>
    <row r="293" spans="1:13" x14ac:dyDescent="0.2">
      <c r="A293" t="s">
        <v>13</v>
      </c>
      <c r="B293" t="s">
        <v>284</v>
      </c>
      <c r="C293" t="s">
        <v>285</v>
      </c>
      <c r="D293" t="s">
        <v>286</v>
      </c>
      <c r="E293" t="s">
        <v>287</v>
      </c>
      <c r="F293" t="s">
        <v>288</v>
      </c>
      <c r="G293">
        <v>2020</v>
      </c>
      <c r="H293">
        <v>44</v>
      </c>
      <c r="I293">
        <v>12</v>
      </c>
      <c r="J293">
        <v>751</v>
      </c>
      <c r="K293">
        <v>763</v>
      </c>
      <c r="L293" t="s">
        <v>289</v>
      </c>
      <c r="M293" t="str">
        <f>HYPERLINK("http://dx.doi.org/10.3795/KSME-B.2020.44.12.751","http://dx.doi.org/10.3795/KSME-B.2020.44.12.751")</f>
        <v>http://dx.doi.org/10.3795/KSME-B.2020.44.12.751</v>
      </c>
    </row>
    <row r="294" spans="1:13" x14ac:dyDescent="0.2">
      <c r="A294" t="s">
        <v>13</v>
      </c>
      <c r="B294" t="s">
        <v>315</v>
      </c>
      <c r="C294" t="s">
        <v>316</v>
      </c>
      <c r="D294" t="s">
        <v>317</v>
      </c>
      <c r="E294" t="s">
        <v>73</v>
      </c>
      <c r="F294" t="s">
        <v>74</v>
      </c>
      <c r="G294">
        <v>2020</v>
      </c>
      <c r="H294">
        <v>206</v>
      </c>
      <c r="I294" t="s">
        <v>15</v>
      </c>
      <c r="J294">
        <v>120</v>
      </c>
      <c r="K294">
        <v>135</v>
      </c>
      <c r="L294" t="s">
        <v>318</v>
      </c>
      <c r="M294" t="str">
        <f>HYPERLINK("http://dx.doi.org/10.1016/j.solener.2020.06.006","http://dx.doi.org/10.1016/j.solener.2020.06.006")</f>
        <v>http://dx.doi.org/10.1016/j.solener.2020.06.006</v>
      </c>
    </row>
    <row r="295" spans="1:13" x14ac:dyDescent="0.2">
      <c r="A295" t="s">
        <v>13</v>
      </c>
      <c r="B295" t="s">
        <v>452</v>
      </c>
      <c r="C295" t="s">
        <v>453</v>
      </c>
      <c r="D295" t="s">
        <v>454</v>
      </c>
      <c r="E295" t="s">
        <v>455</v>
      </c>
      <c r="F295" t="s">
        <v>456</v>
      </c>
      <c r="G295">
        <v>2020</v>
      </c>
      <c r="H295">
        <v>91</v>
      </c>
      <c r="I295" t="s">
        <v>15</v>
      </c>
      <c r="J295" t="s">
        <v>15</v>
      </c>
      <c r="K295" t="s">
        <v>15</v>
      </c>
      <c r="L295" t="s">
        <v>457</v>
      </c>
      <c r="M295" t="str">
        <f>HYPERLINK("http://dx.doi.org/10.1016/j.aquaeng.2020.102119","http://dx.doi.org/10.1016/j.aquaeng.2020.102119")</f>
        <v>http://dx.doi.org/10.1016/j.aquaeng.2020.102119</v>
      </c>
    </row>
    <row r="296" spans="1:13" x14ac:dyDescent="0.2">
      <c r="A296" t="s">
        <v>13</v>
      </c>
      <c r="B296" t="s">
        <v>479</v>
      </c>
      <c r="C296" t="s">
        <v>480</v>
      </c>
      <c r="D296" t="s">
        <v>481</v>
      </c>
      <c r="E296" t="s">
        <v>482</v>
      </c>
      <c r="F296" t="s">
        <v>483</v>
      </c>
      <c r="G296">
        <v>2020</v>
      </c>
      <c r="H296">
        <v>7</v>
      </c>
      <c r="I296" t="s">
        <v>15</v>
      </c>
      <c r="J296" t="s">
        <v>15</v>
      </c>
      <c r="K296" t="s">
        <v>15</v>
      </c>
      <c r="L296" t="s">
        <v>484</v>
      </c>
      <c r="M296" t="str">
        <f>HYPERLINK("http://dx.doi.org/10.1016/j.ecmx.2020.100045","http://dx.doi.org/10.1016/j.ecmx.2020.100045")</f>
        <v>http://dx.doi.org/10.1016/j.ecmx.2020.100045</v>
      </c>
    </row>
    <row r="297" spans="1:13" x14ac:dyDescent="0.2">
      <c r="A297" t="s">
        <v>13</v>
      </c>
      <c r="B297" t="s">
        <v>506</v>
      </c>
      <c r="C297" t="s">
        <v>507</v>
      </c>
      <c r="D297" t="s">
        <v>508</v>
      </c>
      <c r="E297" t="s">
        <v>509</v>
      </c>
      <c r="F297" t="s">
        <v>15</v>
      </c>
      <c r="G297">
        <v>2020</v>
      </c>
      <c r="H297">
        <v>12</v>
      </c>
      <c r="I297">
        <v>19</v>
      </c>
      <c r="J297" t="s">
        <v>15</v>
      </c>
      <c r="K297" t="s">
        <v>15</v>
      </c>
      <c r="L297" t="s">
        <v>510</v>
      </c>
      <c r="M297" t="str">
        <f>HYPERLINK("http://dx.doi.org/10.3390/su12198171","http://dx.doi.org/10.3390/su12198171")</f>
        <v>http://dx.doi.org/10.3390/su12198171</v>
      </c>
    </row>
    <row r="298" spans="1:13" x14ac:dyDescent="0.2">
      <c r="A298" t="s">
        <v>13</v>
      </c>
      <c r="B298" t="s">
        <v>536</v>
      </c>
      <c r="C298" t="s">
        <v>537</v>
      </c>
      <c r="D298" t="s">
        <v>538</v>
      </c>
      <c r="E298" t="s">
        <v>73</v>
      </c>
      <c r="F298" t="s">
        <v>74</v>
      </c>
      <c r="G298">
        <v>2020</v>
      </c>
      <c r="H298">
        <v>211</v>
      </c>
      <c r="I298" t="s">
        <v>15</v>
      </c>
      <c r="J298">
        <v>908</v>
      </c>
      <c r="K298">
        <v>919</v>
      </c>
      <c r="L298" t="s">
        <v>539</v>
      </c>
      <c r="M298" t="str">
        <f>HYPERLINK("http://dx.doi.org/10.1016/j.solener.2020.10.012","http://dx.doi.org/10.1016/j.solener.2020.10.012")</f>
        <v>http://dx.doi.org/10.1016/j.solener.2020.10.012</v>
      </c>
    </row>
    <row r="299" spans="1:13" x14ac:dyDescent="0.2">
      <c r="A299" t="s">
        <v>13</v>
      </c>
      <c r="B299" t="s">
        <v>572</v>
      </c>
      <c r="C299" t="s">
        <v>573</v>
      </c>
      <c r="D299" t="s">
        <v>574</v>
      </c>
      <c r="E299" t="s">
        <v>179</v>
      </c>
      <c r="F299" t="s">
        <v>180</v>
      </c>
      <c r="G299">
        <v>2020</v>
      </c>
      <c r="H299">
        <v>154</v>
      </c>
      <c r="I299" t="s">
        <v>15</v>
      </c>
      <c r="J299">
        <v>614</v>
      </c>
      <c r="K299">
        <v>624</v>
      </c>
      <c r="L299" t="s">
        <v>575</v>
      </c>
      <c r="M299" t="str">
        <f>HYPERLINK("http://dx.doi.org/10.1016/j.renene.2020.03.028","http://dx.doi.org/10.1016/j.renene.2020.03.028")</f>
        <v>http://dx.doi.org/10.1016/j.renene.2020.03.028</v>
      </c>
    </row>
    <row r="300" spans="1:13" x14ac:dyDescent="0.2">
      <c r="A300" t="s">
        <v>13</v>
      </c>
      <c r="B300" t="s">
        <v>576</v>
      </c>
      <c r="C300" t="s">
        <v>577</v>
      </c>
      <c r="D300" t="s">
        <v>578</v>
      </c>
      <c r="E300" t="s">
        <v>579</v>
      </c>
      <c r="F300" t="s">
        <v>580</v>
      </c>
      <c r="G300">
        <v>2020</v>
      </c>
      <c r="H300">
        <v>6</v>
      </c>
      <c r="I300">
        <v>3</v>
      </c>
      <c r="J300">
        <v>313</v>
      </c>
      <c r="K300">
        <v>326</v>
      </c>
      <c r="L300" t="s">
        <v>581</v>
      </c>
      <c r="M300" t="str">
        <f>HYPERLINK("http://dx.doi.org/10.18186/thermal.711554","http://dx.doi.org/10.18186/thermal.711554")</f>
        <v>http://dx.doi.org/10.18186/thermal.711554</v>
      </c>
    </row>
    <row r="301" spans="1:13" x14ac:dyDescent="0.2">
      <c r="A301" t="s">
        <v>13</v>
      </c>
      <c r="B301" t="s">
        <v>585</v>
      </c>
      <c r="C301" t="s">
        <v>586</v>
      </c>
      <c r="D301" t="s">
        <v>587</v>
      </c>
      <c r="E301" t="s">
        <v>104</v>
      </c>
      <c r="F301" t="s">
        <v>105</v>
      </c>
      <c r="G301">
        <v>2020</v>
      </c>
      <c r="H301">
        <v>194</v>
      </c>
      <c r="I301" t="s">
        <v>15</v>
      </c>
      <c r="J301">
        <v>61</v>
      </c>
      <c r="K301">
        <v>81</v>
      </c>
      <c r="L301" t="s">
        <v>588</v>
      </c>
      <c r="M301" t="str">
        <f>HYPERLINK("http://dx.doi.org/10.1016/j.biosystemseng.2020.03.010","http://dx.doi.org/10.1016/j.biosystemseng.2020.03.010")</f>
        <v>http://dx.doi.org/10.1016/j.biosystemseng.2020.03.010</v>
      </c>
    </row>
    <row r="302" spans="1:13" x14ac:dyDescent="0.2">
      <c r="A302" t="s">
        <v>13</v>
      </c>
      <c r="B302" t="s">
        <v>589</v>
      </c>
      <c r="C302" t="s">
        <v>590</v>
      </c>
      <c r="D302" t="s">
        <v>591</v>
      </c>
      <c r="E302" t="s">
        <v>592</v>
      </c>
      <c r="F302" t="s">
        <v>593</v>
      </c>
      <c r="G302">
        <v>2020</v>
      </c>
      <c r="H302">
        <v>56</v>
      </c>
      <c r="I302">
        <v>10</v>
      </c>
      <c r="J302">
        <v>2831</v>
      </c>
      <c r="K302">
        <v>2845</v>
      </c>
      <c r="L302" t="s">
        <v>594</v>
      </c>
      <c r="M302" t="str">
        <f>HYPERLINK("http://dx.doi.org/10.1007/s00231-020-02886-x","http://dx.doi.org/10.1007/s00231-020-02886-x")</f>
        <v>http://dx.doi.org/10.1007/s00231-020-02886-x</v>
      </c>
    </row>
    <row r="303" spans="1:13" x14ac:dyDescent="0.2">
      <c r="A303" t="s">
        <v>13</v>
      </c>
      <c r="B303" t="s">
        <v>710</v>
      </c>
      <c r="C303" t="s">
        <v>711</v>
      </c>
      <c r="D303" t="s">
        <v>712</v>
      </c>
      <c r="E303" t="s">
        <v>179</v>
      </c>
      <c r="F303" t="s">
        <v>180</v>
      </c>
      <c r="G303">
        <v>2020</v>
      </c>
      <c r="H303">
        <v>160</v>
      </c>
      <c r="I303" t="s">
        <v>15</v>
      </c>
      <c r="J303">
        <v>730</v>
      </c>
      <c r="K303">
        <v>745</v>
      </c>
      <c r="L303" t="s">
        <v>713</v>
      </c>
      <c r="M303" t="str">
        <f>HYPERLINK("http://dx.doi.org/10.1016/j.renene.2020.06.144","http://dx.doi.org/10.1016/j.renene.2020.06.144")</f>
        <v>http://dx.doi.org/10.1016/j.renene.2020.06.144</v>
      </c>
    </row>
    <row r="304" spans="1:13" x14ac:dyDescent="0.2">
      <c r="A304" t="s">
        <v>13</v>
      </c>
      <c r="B304" t="s">
        <v>800</v>
      </c>
      <c r="C304" t="s">
        <v>801</v>
      </c>
      <c r="D304" t="s">
        <v>802</v>
      </c>
      <c r="E304" t="s">
        <v>179</v>
      </c>
      <c r="F304" t="s">
        <v>180</v>
      </c>
      <c r="G304">
        <v>2020</v>
      </c>
      <c r="H304">
        <v>145</v>
      </c>
      <c r="I304" t="s">
        <v>15</v>
      </c>
      <c r="J304">
        <v>1255</v>
      </c>
      <c r="K304">
        <v>1265</v>
      </c>
      <c r="L304" t="s">
        <v>803</v>
      </c>
      <c r="M304" t="str">
        <f>HYPERLINK("http://dx.doi.org/10.1016/j.renene.2019.06.090","http://dx.doi.org/10.1016/j.renene.2019.06.090")</f>
        <v>http://dx.doi.org/10.1016/j.renene.2019.06.090</v>
      </c>
    </row>
    <row r="305" spans="1:13" x14ac:dyDescent="0.2">
      <c r="A305" t="s">
        <v>13</v>
      </c>
      <c r="B305" t="s">
        <v>811</v>
      </c>
      <c r="C305" t="s">
        <v>812</v>
      </c>
      <c r="D305" t="s">
        <v>813</v>
      </c>
      <c r="E305" t="s">
        <v>239</v>
      </c>
      <c r="F305" t="s">
        <v>15</v>
      </c>
      <c r="G305">
        <v>2020</v>
      </c>
      <c r="H305">
        <v>13</v>
      </c>
      <c r="I305">
        <v>11</v>
      </c>
      <c r="J305" t="s">
        <v>15</v>
      </c>
      <c r="K305" t="s">
        <v>15</v>
      </c>
      <c r="L305" t="s">
        <v>814</v>
      </c>
      <c r="M305" t="str">
        <f>HYPERLINK("http://dx.doi.org/10.3390/en13112934","http://dx.doi.org/10.3390/en13112934")</f>
        <v>http://dx.doi.org/10.3390/en13112934</v>
      </c>
    </row>
    <row r="306" spans="1:13" x14ac:dyDescent="0.2">
      <c r="A306" t="s">
        <v>13</v>
      </c>
      <c r="B306" t="s">
        <v>842</v>
      </c>
      <c r="C306" t="s">
        <v>843</v>
      </c>
      <c r="D306" t="s">
        <v>844</v>
      </c>
      <c r="E306" t="s">
        <v>142</v>
      </c>
      <c r="F306" t="s">
        <v>143</v>
      </c>
      <c r="G306">
        <v>2020</v>
      </c>
      <c r="H306">
        <v>179</v>
      </c>
      <c r="I306" t="s">
        <v>15</v>
      </c>
      <c r="J306" t="s">
        <v>15</v>
      </c>
      <c r="K306" t="s">
        <v>15</v>
      </c>
      <c r="L306" t="s">
        <v>845</v>
      </c>
      <c r="M306" t="str">
        <f>HYPERLINK("http://dx.doi.org/10.1016/j.applthermaleng.2020.115672","http://dx.doi.org/10.1016/j.applthermaleng.2020.115672")</f>
        <v>http://dx.doi.org/10.1016/j.applthermaleng.2020.115672</v>
      </c>
    </row>
    <row r="307" spans="1:13" x14ac:dyDescent="0.2">
      <c r="A307" t="s">
        <v>13</v>
      </c>
      <c r="B307" t="s">
        <v>874</v>
      </c>
      <c r="C307" t="s">
        <v>875</v>
      </c>
      <c r="D307" t="s">
        <v>876</v>
      </c>
      <c r="E307" t="s">
        <v>877</v>
      </c>
      <c r="F307" t="s">
        <v>878</v>
      </c>
      <c r="G307">
        <v>2020</v>
      </c>
      <c r="H307">
        <v>19</v>
      </c>
      <c r="I307">
        <v>2</v>
      </c>
      <c r="J307" t="s">
        <v>15</v>
      </c>
      <c r="K307" t="s">
        <v>15</v>
      </c>
      <c r="L307" t="s">
        <v>879</v>
      </c>
      <c r="M307" t="str">
        <f>HYPERLINK("http://dx.doi.org/10.1142/S1469026820500133","http://dx.doi.org/10.1142/S1469026820500133")</f>
        <v>http://dx.doi.org/10.1142/S1469026820500133</v>
      </c>
    </row>
    <row r="308" spans="1:13" x14ac:dyDescent="0.2">
      <c r="A308" t="s">
        <v>13</v>
      </c>
      <c r="B308" t="s">
        <v>912</v>
      </c>
      <c r="C308" t="s">
        <v>913</v>
      </c>
      <c r="D308" t="s">
        <v>914</v>
      </c>
      <c r="E308" t="s">
        <v>915</v>
      </c>
      <c r="F308" t="s">
        <v>916</v>
      </c>
      <c r="G308">
        <v>2020</v>
      </c>
      <c r="H308">
        <v>46</v>
      </c>
      <c r="I308">
        <v>6</v>
      </c>
      <c r="J308">
        <v>400</v>
      </c>
      <c r="K308">
        <v>406</v>
      </c>
      <c r="L308" t="s">
        <v>917</v>
      </c>
      <c r="M308" t="str">
        <f>HYPERLINK("http://dx.doi.org/10.1134/S1063773720060080","http://dx.doi.org/10.1134/S1063773720060080")</f>
        <v>http://dx.doi.org/10.1134/S1063773720060080</v>
      </c>
    </row>
    <row r="309" spans="1:13" x14ac:dyDescent="0.2">
      <c r="A309" t="s">
        <v>13</v>
      </c>
      <c r="B309" t="s">
        <v>926</v>
      </c>
      <c r="C309" t="s">
        <v>927</v>
      </c>
      <c r="D309" t="s">
        <v>928</v>
      </c>
      <c r="E309" t="s">
        <v>136</v>
      </c>
      <c r="F309" t="s">
        <v>137</v>
      </c>
      <c r="G309">
        <v>2020</v>
      </c>
      <c r="H309">
        <v>174</v>
      </c>
      <c r="I309" t="s">
        <v>15</v>
      </c>
      <c r="J309" t="s">
        <v>15</v>
      </c>
      <c r="K309" t="s">
        <v>15</v>
      </c>
      <c r="L309" t="s">
        <v>929</v>
      </c>
      <c r="M309" t="str">
        <f>HYPERLINK("http://dx.doi.org/10.1016/j.compag.2020.105477","http://dx.doi.org/10.1016/j.compag.2020.105477")</f>
        <v>http://dx.doi.org/10.1016/j.compag.2020.105477</v>
      </c>
    </row>
    <row r="310" spans="1:13" x14ac:dyDescent="0.2">
      <c r="A310" t="s">
        <v>13</v>
      </c>
      <c r="B310" t="s">
        <v>950</v>
      </c>
      <c r="C310" t="s">
        <v>951</v>
      </c>
      <c r="D310" t="s">
        <v>952</v>
      </c>
      <c r="E310" t="s">
        <v>179</v>
      </c>
      <c r="F310" t="s">
        <v>180</v>
      </c>
      <c r="G310">
        <v>2020</v>
      </c>
      <c r="H310">
        <v>156</v>
      </c>
      <c r="I310" t="s">
        <v>15</v>
      </c>
      <c r="J310">
        <v>1</v>
      </c>
      <c r="K310">
        <v>13</v>
      </c>
      <c r="L310" t="s">
        <v>953</v>
      </c>
      <c r="M310" t="str">
        <f>HYPERLINK("http://dx.doi.org/10.1016/j.renene.2020.04.070","http://dx.doi.org/10.1016/j.renene.2020.04.070")</f>
        <v>http://dx.doi.org/10.1016/j.renene.2020.04.070</v>
      </c>
    </row>
    <row r="311" spans="1:13" x14ac:dyDescent="0.2">
      <c r="A311" t="s">
        <v>13</v>
      </c>
      <c r="B311" t="s">
        <v>983</v>
      </c>
      <c r="C311" t="s">
        <v>984</v>
      </c>
      <c r="D311" t="s">
        <v>985</v>
      </c>
      <c r="E311" t="s">
        <v>104</v>
      </c>
      <c r="F311" t="s">
        <v>105</v>
      </c>
      <c r="G311">
        <v>2020</v>
      </c>
      <c r="H311">
        <v>191</v>
      </c>
      <c r="I311" t="s">
        <v>15</v>
      </c>
      <c r="J311">
        <v>13</v>
      </c>
      <c r="K311">
        <v>26</v>
      </c>
      <c r="L311" t="s">
        <v>986</v>
      </c>
      <c r="M311" t="str">
        <f>HYPERLINK("http://dx.doi.org/10.1016/j.biosystemseng.2019.12.009","http://dx.doi.org/10.1016/j.biosystemseng.2019.12.009")</f>
        <v>http://dx.doi.org/10.1016/j.biosystemseng.2019.12.009</v>
      </c>
    </row>
    <row r="312" spans="1:13" x14ac:dyDescent="0.2">
      <c r="A312" t="s">
        <v>13</v>
      </c>
      <c r="B312" t="s">
        <v>1022</v>
      </c>
      <c r="C312" t="s">
        <v>1023</v>
      </c>
      <c r="D312" t="s">
        <v>1024</v>
      </c>
      <c r="E312" t="s">
        <v>104</v>
      </c>
      <c r="F312" t="s">
        <v>105</v>
      </c>
      <c r="G312">
        <v>2020</v>
      </c>
      <c r="H312">
        <v>192</v>
      </c>
      <c r="I312" t="s">
        <v>15</v>
      </c>
      <c r="J312">
        <v>90</v>
      </c>
      <c r="K312">
        <v>107</v>
      </c>
      <c r="L312" t="s">
        <v>1025</v>
      </c>
      <c r="M312" t="str">
        <f>HYPERLINK("http://dx.doi.org/10.1016/j.biosystemseng.2020.01.005","http://dx.doi.org/10.1016/j.biosystemseng.2020.01.005")</f>
        <v>http://dx.doi.org/10.1016/j.biosystemseng.2020.01.005</v>
      </c>
    </row>
    <row r="313" spans="1:13" x14ac:dyDescent="0.2">
      <c r="A313" t="s">
        <v>13</v>
      </c>
      <c r="B313" t="s">
        <v>811</v>
      </c>
      <c r="C313" t="s">
        <v>812</v>
      </c>
      <c r="D313" t="s">
        <v>1057</v>
      </c>
      <c r="E313" t="s">
        <v>104</v>
      </c>
      <c r="F313" t="s">
        <v>105</v>
      </c>
      <c r="G313">
        <v>2020</v>
      </c>
      <c r="H313">
        <v>197</v>
      </c>
      <c r="I313" t="s">
        <v>15</v>
      </c>
      <c r="J313">
        <v>105</v>
      </c>
      <c r="K313">
        <v>121</v>
      </c>
      <c r="L313" t="s">
        <v>1058</v>
      </c>
      <c r="M313" t="str">
        <f>HYPERLINK("http://dx.doi.org/10.1016/j.biosystemseng.2020.06.016","http://dx.doi.org/10.1016/j.biosystemseng.2020.06.016")</f>
        <v>http://dx.doi.org/10.1016/j.biosystemseng.2020.06.016</v>
      </c>
    </row>
    <row r="314" spans="1:13" x14ac:dyDescent="0.2">
      <c r="A314" t="s">
        <v>13</v>
      </c>
      <c r="B314" t="s">
        <v>1059</v>
      </c>
      <c r="C314" t="s">
        <v>1060</v>
      </c>
      <c r="D314" t="s">
        <v>1061</v>
      </c>
      <c r="E314" t="s">
        <v>509</v>
      </c>
      <c r="F314" t="s">
        <v>15</v>
      </c>
      <c r="G314">
        <v>2020</v>
      </c>
      <c r="H314">
        <v>12</v>
      </c>
      <c r="I314">
        <v>9</v>
      </c>
      <c r="J314" t="s">
        <v>15</v>
      </c>
      <c r="K314" t="s">
        <v>15</v>
      </c>
      <c r="L314" t="s">
        <v>1062</v>
      </c>
      <c r="M314" t="str">
        <f>HYPERLINK("http://dx.doi.org/10.3390/su12093886","http://dx.doi.org/10.3390/su12093886")</f>
        <v>http://dx.doi.org/10.3390/su12093886</v>
      </c>
    </row>
    <row r="315" spans="1:13" x14ac:dyDescent="0.2">
      <c r="A315" t="s">
        <v>13</v>
      </c>
      <c r="B315" t="s">
        <v>1066</v>
      </c>
      <c r="C315" t="s">
        <v>1067</v>
      </c>
      <c r="D315" t="s">
        <v>1068</v>
      </c>
      <c r="E315" t="s">
        <v>239</v>
      </c>
      <c r="F315" t="s">
        <v>15</v>
      </c>
      <c r="G315">
        <v>2020</v>
      </c>
      <c r="H315">
        <v>13</v>
      </c>
      <c r="I315">
        <v>14</v>
      </c>
      <c r="J315" t="s">
        <v>15</v>
      </c>
      <c r="K315" t="s">
        <v>15</v>
      </c>
      <c r="L315" t="s">
        <v>1069</v>
      </c>
      <c r="M315" t="str">
        <f>HYPERLINK("http://dx.doi.org/10.3390/en13143676","http://dx.doi.org/10.3390/en13143676")</f>
        <v>http://dx.doi.org/10.3390/en13143676</v>
      </c>
    </row>
    <row r="316" spans="1:13" x14ac:dyDescent="0.2">
      <c r="A316" t="s">
        <v>13</v>
      </c>
      <c r="B316" t="s">
        <v>1100</v>
      </c>
      <c r="C316" t="s">
        <v>1101</v>
      </c>
      <c r="D316" t="s">
        <v>1102</v>
      </c>
      <c r="E316" t="s">
        <v>239</v>
      </c>
      <c r="F316" t="s">
        <v>15</v>
      </c>
      <c r="G316">
        <v>2020</v>
      </c>
      <c r="H316">
        <v>13</v>
      </c>
      <c r="I316">
        <v>2</v>
      </c>
      <c r="J316" t="s">
        <v>15</v>
      </c>
      <c r="K316" t="s">
        <v>15</v>
      </c>
      <c r="L316" t="s">
        <v>1103</v>
      </c>
      <c r="M316" t="str">
        <f>HYPERLINK("http://dx.doi.org/10.3390/en13020472","http://dx.doi.org/10.3390/en13020472")</f>
        <v>http://dx.doi.org/10.3390/en13020472</v>
      </c>
    </row>
    <row r="317" spans="1:13" x14ac:dyDescent="0.2">
      <c r="A317" t="s">
        <v>13</v>
      </c>
      <c r="B317" t="s">
        <v>1106</v>
      </c>
      <c r="C317" t="s">
        <v>1107</v>
      </c>
      <c r="D317" t="s">
        <v>1108</v>
      </c>
      <c r="E317" t="s">
        <v>910</v>
      </c>
      <c r="F317" t="s">
        <v>15</v>
      </c>
      <c r="G317">
        <v>2020</v>
      </c>
      <c r="H317">
        <v>10</v>
      </c>
      <c r="I317">
        <v>19</v>
      </c>
      <c r="J317" t="s">
        <v>15</v>
      </c>
      <c r="K317" t="s">
        <v>15</v>
      </c>
      <c r="L317" t="s">
        <v>1109</v>
      </c>
      <c r="M317" t="str">
        <f>HYPERLINK("http://dx.doi.org/10.3390/app10196884","http://dx.doi.org/10.3390/app10196884")</f>
        <v>http://dx.doi.org/10.3390/app10196884</v>
      </c>
    </row>
    <row r="318" spans="1:13" x14ac:dyDescent="0.2">
      <c r="A318" t="s">
        <v>13</v>
      </c>
      <c r="B318" t="s">
        <v>1124</v>
      </c>
      <c r="C318" t="s">
        <v>1125</v>
      </c>
      <c r="D318" t="s">
        <v>1126</v>
      </c>
      <c r="E318" t="s">
        <v>411</v>
      </c>
      <c r="F318" t="s">
        <v>412</v>
      </c>
      <c r="G318">
        <v>2020</v>
      </c>
      <c r="H318">
        <v>198</v>
      </c>
      <c r="I318" t="s">
        <v>15</v>
      </c>
      <c r="J318" t="s">
        <v>15</v>
      </c>
      <c r="K318" t="s">
        <v>15</v>
      </c>
      <c r="L318" t="s">
        <v>1127</v>
      </c>
      <c r="M318" t="str">
        <f>HYPERLINK("http://dx.doi.org/10.1016/j.energy.2020.117281","http://dx.doi.org/10.1016/j.energy.2020.117281")</f>
        <v>http://dx.doi.org/10.1016/j.energy.2020.117281</v>
      </c>
    </row>
    <row r="319" spans="1:13" x14ac:dyDescent="0.2">
      <c r="A319" t="s">
        <v>13</v>
      </c>
      <c r="B319" t="s">
        <v>1153</v>
      </c>
      <c r="C319" t="s">
        <v>1154</v>
      </c>
      <c r="D319" t="s">
        <v>1155</v>
      </c>
      <c r="E319" t="s">
        <v>859</v>
      </c>
      <c r="F319" t="s">
        <v>860</v>
      </c>
      <c r="G319">
        <v>2020</v>
      </c>
      <c r="H319">
        <v>241</v>
      </c>
      <c r="I319" t="s">
        <v>15</v>
      </c>
      <c r="J319" t="s">
        <v>15</v>
      </c>
      <c r="K319" t="s">
        <v>15</v>
      </c>
      <c r="L319" t="s">
        <v>1156</v>
      </c>
      <c r="M319" t="str">
        <f>HYPERLINK("http://dx.doi.org/10.1016/j.agwat.2020.106331","http://dx.doi.org/10.1016/j.agwat.2020.106331")</f>
        <v>http://dx.doi.org/10.1016/j.agwat.2020.106331</v>
      </c>
    </row>
    <row r="320" spans="1:13" x14ac:dyDescent="0.2">
      <c r="A320" t="s">
        <v>13</v>
      </c>
      <c r="B320" t="s">
        <v>1211</v>
      </c>
      <c r="C320" t="s">
        <v>1212</v>
      </c>
      <c r="D320" t="s">
        <v>1213</v>
      </c>
      <c r="E320" t="s">
        <v>1214</v>
      </c>
      <c r="F320" t="s">
        <v>15</v>
      </c>
      <c r="G320">
        <v>2020</v>
      </c>
      <c r="H320">
        <v>14</v>
      </c>
      <c r="I320">
        <v>2</v>
      </c>
      <c r="J320" t="s">
        <v>15</v>
      </c>
      <c r="K320" t="s">
        <v>15</v>
      </c>
      <c r="L320" t="s">
        <v>1215</v>
      </c>
      <c r="M320" t="str">
        <f>HYPERLINK("http://dx.doi.org/10.1117/1.JRS.14.024519","http://dx.doi.org/10.1117/1.JRS.14.024519")</f>
        <v>http://dx.doi.org/10.1117/1.JRS.14.024519</v>
      </c>
    </row>
    <row r="321" spans="1:13" x14ac:dyDescent="0.2">
      <c r="A321" t="s">
        <v>13</v>
      </c>
      <c r="B321" t="s">
        <v>1258</v>
      </c>
      <c r="C321" t="s">
        <v>1259</v>
      </c>
      <c r="D321" t="s">
        <v>1260</v>
      </c>
      <c r="E321" t="s">
        <v>1261</v>
      </c>
      <c r="F321" t="s">
        <v>1262</v>
      </c>
      <c r="G321">
        <v>2020</v>
      </c>
      <c r="H321">
        <v>111</v>
      </c>
      <c r="I321" t="s">
        <v>15</v>
      </c>
      <c r="J321">
        <v>807</v>
      </c>
      <c r="K321">
        <v>814</v>
      </c>
      <c r="L321" t="s">
        <v>1263</v>
      </c>
      <c r="M321" t="str">
        <f>HYPERLINK("http://dx.doi.org/10.1016/j.marpetgeo.2019.08.055","http://dx.doi.org/10.1016/j.marpetgeo.2019.08.055")</f>
        <v>http://dx.doi.org/10.1016/j.marpetgeo.2019.08.055</v>
      </c>
    </row>
    <row r="322" spans="1:13" x14ac:dyDescent="0.2">
      <c r="A322" t="s">
        <v>13</v>
      </c>
      <c r="B322" t="s">
        <v>160</v>
      </c>
      <c r="C322" t="s">
        <v>1267</v>
      </c>
      <c r="D322" t="s">
        <v>1268</v>
      </c>
      <c r="E322" t="s">
        <v>1081</v>
      </c>
      <c r="F322" t="s">
        <v>15</v>
      </c>
      <c r="G322">
        <v>2020</v>
      </c>
      <c r="H322">
        <v>29</v>
      </c>
      <c r="I322" t="s">
        <v>15</v>
      </c>
      <c r="J322" t="s">
        <v>15</v>
      </c>
      <c r="K322" t="s">
        <v>15</v>
      </c>
      <c r="L322" t="s">
        <v>1269</v>
      </c>
      <c r="M322" t="str">
        <f>HYPERLINK("http://dx.doi.org/10.1016/j.jobe.2019.101114","http://dx.doi.org/10.1016/j.jobe.2019.101114")</f>
        <v>http://dx.doi.org/10.1016/j.jobe.2019.101114</v>
      </c>
    </row>
    <row r="323" spans="1:13" x14ac:dyDescent="0.2">
      <c r="A323" t="s">
        <v>13</v>
      </c>
      <c r="B323" t="s">
        <v>1366</v>
      </c>
      <c r="C323" t="s">
        <v>1367</v>
      </c>
      <c r="D323" t="s">
        <v>1368</v>
      </c>
      <c r="E323" t="s">
        <v>1088</v>
      </c>
      <c r="F323" t="s">
        <v>15</v>
      </c>
      <c r="G323">
        <v>2020</v>
      </c>
      <c r="H323">
        <v>10</v>
      </c>
      <c r="I323">
        <v>9</v>
      </c>
      <c r="J323" t="s">
        <v>15</v>
      </c>
      <c r="K323" t="s">
        <v>15</v>
      </c>
      <c r="L323" t="s">
        <v>1369</v>
      </c>
      <c r="M323" t="str">
        <f>HYPERLINK("http://dx.doi.org/10.3390/agronomy10091236","http://dx.doi.org/10.3390/agronomy10091236")</f>
        <v>http://dx.doi.org/10.3390/agronomy10091236</v>
      </c>
    </row>
    <row r="324" spans="1:13" x14ac:dyDescent="0.2">
      <c r="A324" t="s">
        <v>13</v>
      </c>
      <c r="B324" t="s">
        <v>1376</v>
      </c>
      <c r="C324" t="s">
        <v>1377</v>
      </c>
      <c r="D324" t="s">
        <v>1378</v>
      </c>
      <c r="E324" t="s">
        <v>1379</v>
      </c>
      <c r="F324" t="s">
        <v>1380</v>
      </c>
      <c r="G324">
        <v>2020</v>
      </c>
      <c r="H324">
        <v>179</v>
      </c>
      <c r="I324" t="s">
        <v>15</v>
      </c>
      <c r="J324">
        <v>28</v>
      </c>
      <c r="K324">
        <v>37</v>
      </c>
      <c r="L324" t="s">
        <v>1381</v>
      </c>
      <c r="M324" t="str">
        <f>HYPERLINK("http://dx.doi.org/10.5004/dwt.2020.25001","http://dx.doi.org/10.5004/dwt.2020.25001")</f>
        <v>http://dx.doi.org/10.5004/dwt.2020.25001</v>
      </c>
    </row>
    <row r="325" spans="1:13" x14ac:dyDescent="0.2">
      <c r="A325" t="s">
        <v>13</v>
      </c>
      <c r="B325" t="s">
        <v>31</v>
      </c>
      <c r="C325" t="s">
        <v>32</v>
      </c>
      <c r="D325" t="s">
        <v>1395</v>
      </c>
      <c r="E325" t="s">
        <v>142</v>
      </c>
      <c r="F325" t="s">
        <v>143</v>
      </c>
      <c r="G325">
        <v>2020</v>
      </c>
      <c r="H325">
        <v>179</v>
      </c>
      <c r="I325" t="s">
        <v>15</v>
      </c>
      <c r="J325" t="s">
        <v>15</v>
      </c>
      <c r="K325" t="s">
        <v>15</v>
      </c>
      <c r="L325" t="s">
        <v>1396</v>
      </c>
      <c r="M325" t="str">
        <f>HYPERLINK("http://dx.doi.org/10.1016/j.applthermaleng.2020.115698","http://dx.doi.org/10.1016/j.applthermaleng.2020.115698")</f>
        <v>http://dx.doi.org/10.1016/j.applthermaleng.2020.115698</v>
      </c>
    </row>
    <row r="326" spans="1:13" x14ac:dyDescent="0.2">
      <c r="A326" t="s">
        <v>13</v>
      </c>
      <c r="B326" t="s">
        <v>1397</v>
      </c>
      <c r="C326" t="s">
        <v>1398</v>
      </c>
      <c r="D326" t="s">
        <v>1399</v>
      </c>
      <c r="E326" t="s">
        <v>142</v>
      </c>
      <c r="F326" t="s">
        <v>143</v>
      </c>
      <c r="G326">
        <v>2020</v>
      </c>
      <c r="H326">
        <v>164</v>
      </c>
      <c r="I326" t="s">
        <v>15</v>
      </c>
      <c r="J326" t="s">
        <v>15</v>
      </c>
      <c r="K326" t="s">
        <v>15</v>
      </c>
      <c r="L326" t="s">
        <v>1400</v>
      </c>
      <c r="M326" t="str">
        <f>HYPERLINK("http://dx.doi.org/10.1016/j.applthermaleng.2019.114563","http://dx.doi.org/10.1016/j.applthermaleng.2019.114563")</f>
        <v>http://dx.doi.org/10.1016/j.applthermaleng.2019.114563</v>
      </c>
    </row>
    <row r="327" spans="1:13" x14ac:dyDescent="0.2">
      <c r="A327" t="s">
        <v>13</v>
      </c>
      <c r="B327" t="s">
        <v>1419</v>
      </c>
      <c r="C327" t="s">
        <v>1420</v>
      </c>
      <c r="D327" t="s">
        <v>1421</v>
      </c>
      <c r="E327" t="s">
        <v>1422</v>
      </c>
      <c r="F327" t="s">
        <v>1423</v>
      </c>
      <c r="G327">
        <v>2020</v>
      </c>
      <c r="H327">
        <v>252</v>
      </c>
      <c r="I327" t="s">
        <v>15</v>
      </c>
      <c r="J327" t="s">
        <v>15</v>
      </c>
      <c r="K327" t="s">
        <v>15</v>
      </c>
      <c r="L327" t="s">
        <v>1424</v>
      </c>
      <c r="M327" t="str">
        <f>HYPERLINK("http://dx.doi.org/10.1016/j.conbuildmat.2020.119093","http://dx.doi.org/10.1016/j.conbuildmat.2020.119093")</f>
        <v>http://dx.doi.org/10.1016/j.conbuildmat.2020.119093</v>
      </c>
    </row>
    <row r="328" spans="1:13" x14ac:dyDescent="0.2">
      <c r="A328" t="s">
        <v>13</v>
      </c>
      <c r="B328" t="s">
        <v>1433</v>
      </c>
      <c r="C328" t="s">
        <v>1434</v>
      </c>
      <c r="D328" t="s">
        <v>1435</v>
      </c>
      <c r="E328" t="s">
        <v>136</v>
      </c>
      <c r="F328" t="s">
        <v>137</v>
      </c>
      <c r="G328">
        <v>2020</v>
      </c>
      <c r="H328">
        <v>177</v>
      </c>
      <c r="I328" t="s">
        <v>15</v>
      </c>
      <c r="J328" t="s">
        <v>15</v>
      </c>
      <c r="K328" t="s">
        <v>15</v>
      </c>
      <c r="L328" t="s">
        <v>1436</v>
      </c>
      <c r="M328" t="str">
        <f>HYPERLINK("http://dx.doi.org/10.1016/j.compag.2020.105698","http://dx.doi.org/10.1016/j.compag.2020.105698")</f>
        <v>http://dx.doi.org/10.1016/j.compag.2020.105698</v>
      </c>
    </row>
    <row r="329" spans="1:13" x14ac:dyDescent="0.2">
      <c r="A329" t="s">
        <v>13</v>
      </c>
      <c r="B329" t="s">
        <v>1497</v>
      </c>
      <c r="C329" t="s">
        <v>1498</v>
      </c>
      <c r="D329" t="s">
        <v>1499</v>
      </c>
      <c r="E329" t="s">
        <v>1500</v>
      </c>
      <c r="F329" t="s">
        <v>1501</v>
      </c>
      <c r="G329">
        <v>2020</v>
      </c>
      <c r="H329">
        <v>2020</v>
      </c>
      <c r="I329" t="s">
        <v>15</v>
      </c>
      <c r="J329" t="s">
        <v>15</v>
      </c>
      <c r="K329" t="s">
        <v>15</v>
      </c>
      <c r="L329" t="s">
        <v>1502</v>
      </c>
      <c r="M329" t="str">
        <f>HYPERLINK("http://dx.doi.org/10.34133/2020/4261965","http://dx.doi.org/10.34133/2020/4261965")</f>
        <v>http://dx.doi.org/10.34133/2020/4261965</v>
      </c>
    </row>
    <row r="330" spans="1:13" x14ac:dyDescent="0.2">
      <c r="A330" t="s">
        <v>13</v>
      </c>
      <c r="B330" t="s">
        <v>1613</v>
      </c>
      <c r="C330" t="s">
        <v>1614</v>
      </c>
      <c r="D330" t="s">
        <v>1615</v>
      </c>
      <c r="E330" t="s">
        <v>496</v>
      </c>
      <c r="F330" t="s">
        <v>497</v>
      </c>
      <c r="G330">
        <v>2020</v>
      </c>
      <c r="H330">
        <v>8</v>
      </c>
      <c r="I330" t="s">
        <v>15</v>
      </c>
      <c r="J330">
        <v>211562</v>
      </c>
      <c r="K330">
        <v>211575</v>
      </c>
      <c r="L330" t="s">
        <v>1616</v>
      </c>
      <c r="M330" t="str">
        <f>HYPERLINK("http://dx.doi.org/10.1109/ACCESS.2020.3037222","http://dx.doi.org/10.1109/ACCESS.2020.3037222")</f>
        <v>http://dx.doi.org/10.1109/ACCESS.2020.3037222</v>
      </c>
    </row>
    <row r="331" spans="1:13" x14ac:dyDescent="0.2">
      <c r="A331" t="s">
        <v>13</v>
      </c>
      <c r="B331" t="s">
        <v>1672</v>
      </c>
      <c r="C331" t="s">
        <v>1673</v>
      </c>
      <c r="D331" t="s">
        <v>1674</v>
      </c>
      <c r="E331" t="s">
        <v>351</v>
      </c>
      <c r="F331" t="s">
        <v>15</v>
      </c>
      <c r="G331">
        <v>2020</v>
      </c>
      <c r="H331">
        <v>10</v>
      </c>
      <c r="I331">
        <v>6</v>
      </c>
      <c r="J331" t="s">
        <v>15</v>
      </c>
      <c r="K331" t="s">
        <v>15</v>
      </c>
      <c r="L331" t="s">
        <v>1675</v>
      </c>
      <c r="M331" t="str">
        <f>HYPERLINK("http://dx.doi.org/10.3390/agriculture10060234","http://dx.doi.org/10.3390/agriculture10060234")</f>
        <v>http://dx.doi.org/10.3390/agriculture10060234</v>
      </c>
    </row>
    <row r="332" spans="1:13" x14ac:dyDescent="0.2">
      <c r="A332" t="s">
        <v>13</v>
      </c>
      <c r="B332" t="s">
        <v>1714</v>
      </c>
      <c r="C332" t="s">
        <v>1715</v>
      </c>
      <c r="D332" t="s">
        <v>1716</v>
      </c>
      <c r="E332" t="s">
        <v>945</v>
      </c>
      <c r="F332" t="s">
        <v>15</v>
      </c>
      <c r="G332">
        <v>2020</v>
      </c>
      <c r="H332">
        <v>20</v>
      </c>
      <c r="I332">
        <v>22</v>
      </c>
      <c r="J332" t="s">
        <v>15</v>
      </c>
      <c r="K332" t="s">
        <v>15</v>
      </c>
      <c r="L332" t="s">
        <v>1717</v>
      </c>
      <c r="M332" t="str">
        <f>HYPERLINK("http://dx.doi.org/10.3390/s20226430","http://dx.doi.org/10.3390/s20226430")</f>
        <v>http://dx.doi.org/10.3390/s20226430</v>
      </c>
    </row>
    <row r="333" spans="1:13" x14ac:dyDescent="0.2">
      <c r="A333" t="s">
        <v>13</v>
      </c>
      <c r="B333" t="s">
        <v>1785</v>
      </c>
      <c r="C333" t="s">
        <v>1786</v>
      </c>
      <c r="D333" t="s">
        <v>1787</v>
      </c>
      <c r="E333" t="s">
        <v>245</v>
      </c>
      <c r="F333" t="s">
        <v>246</v>
      </c>
      <c r="G333">
        <v>2020</v>
      </c>
      <c r="H333">
        <v>263</v>
      </c>
      <c r="I333" t="s">
        <v>15</v>
      </c>
      <c r="J333" t="s">
        <v>15</v>
      </c>
      <c r="K333" t="s">
        <v>15</v>
      </c>
      <c r="L333" t="s">
        <v>1788</v>
      </c>
      <c r="M333" t="str">
        <f>HYPERLINK("http://dx.doi.org/10.1016/j.jclepro.2020.121303","http://dx.doi.org/10.1016/j.jclepro.2020.121303")</f>
        <v>http://dx.doi.org/10.1016/j.jclepro.2020.121303</v>
      </c>
    </row>
    <row r="334" spans="1:13" x14ac:dyDescent="0.2">
      <c r="A334" t="s">
        <v>13</v>
      </c>
      <c r="B334" t="s">
        <v>1789</v>
      </c>
      <c r="C334" t="s">
        <v>1790</v>
      </c>
      <c r="D334" t="s">
        <v>1791</v>
      </c>
      <c r="E334" t="s">
        <v>1242</v>
      </c>
      <c r="F334" t="s">
        <v>1243</v>
      </c>
      <c r="G334">
        <v>2020</v>
      </c>
      <c r="H334">
        <v>17</v>
      </c>
      <c r="I334">
        <v>1</v>
      </c>
      <c r="J334">
        <v>117</v>
      </c>
      <c r="K334">
        <v>128</v>
      </c>
      <c r="L334" t="s">
        <v>1792</v>
      </c>
      <c r="M334" t="str">
        <f>HYPERLINK("http://dx.doi.org/10.1109/TASE.2019.2910756","http://dx.doi.org/10.1109/TASE.2019.2910756")</f>
        <v>http://dx.doi.org/10.1109/TASE.2019.2910756</v>
      </c>
    </row>
    <row r="335" spans="1:13" x14ac:dyDescent="0.2">
      <c r="A335" t="s">
        <v>13</v>
      </c>
      <c r="B335" t="s">
        <v>113</v>
      </c>
      <c r="C335" t="s">
        <v>114</v>
      </c>
      <c r="D335" t="s">
        <v>115</v>
      </c>
      <c r="E335" t="s">
        <v>116</v>
      </c>
      <c r="F335" t="s">
        <v>117</v>
      </c>
      <c r="G335">
        <v>2021</v>
      </c>
      <c r="H335">
        <v>27</v>
      </c>
      <c r="I335">
        <v>1</v>
      </c>
      <c r="J335">
        <v>405</v>
      </c>
      <c r="K335">
        <v>410</v>
      </c>
      <c r="L335" t="s">
        <v>118</v>
      </c>
      <c r="M335" t="str">
        <f>HYPERLINK("http://dx.doi.org/10.1080/13873954.2021.1932572","http://dx.doi.org/10.1080/13873954.2021.1932572")</f>
        <v>http://dx.doi.org/10.1080/13873954.2021.1932572</v>
      </c>
    </row>
    <row r="336" spans="1:13" x14ac:dyDescent="0.2">
      <c r="A336" t="s">
        <v>13</v>
      </c>
      <c r="B336" t="s">
        <v>206</v>
      </c>
      <c r="C336" t="s">
        <v>207</v>
      </c>
      <c r="D336" t="s">
        <v>208</v>
      </c>
      <c r="E336" t="s">
        <v>73</v>
      </c>
      <c r="F336" t="s">
        <v>74</v>
      </c>
      <c r="G336">
        <v>2021</v>
      </c>
      <c r="H336">
        <v>229</v>
      </c>
      <c r="I336" t="s">
        <v>15</v>
      </c>
      <c r="J336">
        <v>3</v>
      </c>
      <c r="K336">
        <v>21</v>
      </c>
      <c r="L336" t="s">
        <v>209</v>
      </c>
      <c r="M336" t="str">
        <f>HYPERLINK("http://dx.doi.org/10.1016/j.solener.2021.04.058","http://dx.doi.org/10.1016/j.solener.2021.04.058")</f>
        <v>http://dx.doi.org/10.1016/j.solener.2021.04.058</v>
      </c>
    </row>
    <row r="337" spans="1:13" x14ac:dyDescent="0.2">
      <c r="A337" t="s">
        <v>13</v>
      </c>
      <c r="B337" t="s">
        <v>230</v>
      </c>
      <c r="C337" t="s">
        <v>231</v>
      </c>
      <c r="D337" t="s">
        <v>232</v>
      </c>
      <c r="E337" t="s">
        <v>233</v>
      </c>
      <c r="F337" t="s">
        <v>234</v>
      </c>
      <c r="G337">
        <v>2021</v>
      </c>
      <c r="H337">
        <v>35</v>
      </c>
      <c r="I337">
        <v>1</v>
      </c>
      <c r="J337">
        <v>71</v>
      </c>
      <c r="K337">
        <v>80</v>
      </c>
      <c r="L337" t="s">
        <v>235</v>
      </c>
      <c r="M337" t="str">
        <f>HYPERLINK("http://dx.doi.org/10.1007/s13218-020-00700-8","http://dx.doi.org/10.1007/s13218-020-00700-8")</f>
        <v>http://dx.doi.org/10.1007/s13218-020-00700-8</v>
      </c>
    </row>
    <row r="338" spans="1:13" x14ac:dyDescent="0.2">
      <c r="A338" t="s">
        <v>13</v>
      </c>
      <c r="B338" t="s">
        <v>242</v>
      </c>
      <c r="C338" t="s">
        <v>243</v>
      </c>
      <c r="D338" t="s">
        <v>244</v>
      </c>
      <c r="E338" t="s">
        <v>245</v>
      </c>
      <c r="F338" t="s">
        <v>246</v>
      </c>
      <c r="G338">
        <v>2021</v>
      </c>
      <c r="H338">
        <v>285</v>
      </c>
      <c r="I338" t="s">
        <v>15</v>
      </c>
      <c r="J338" t="s">
        <v>15</v>
      </c>
      <c r="K338" t="s">
        <v>15</v>
      </c>
      <c r="L338" t="s">
        <v>247</v>
      </c>
      <c r="M338" t="str">
        <f>HYPERLINK("http://dx.doi.org/10.1016/j.jclepro.2020.124843","http://dx.doi.org/10.1016/j.jclepro.2020.124843")</f>
        <v>http://dx.doi.org/10.1016/j.jclepro.2020.124843</v>
      </c>
    </row>
    <row r="339" spans="1:13" x14ac:dyDescent="0.2">
      <c r="A339" t="s">
        <v>13</v>
      </c>
      <c r="B339" t="s">
        <v>335</v>
      </c>
      <c r="C339" t="s">
        <v>336</v>
      </c>
      <c r="D339" t="s">
        <v>337</v>
      </c>
      <c r="E339" t="s">
        <v>338</v>
      </c>
      <c r="F339" t="s">
        <v>339</v>
      </c>
      <c r="G339">
        <v>2021</v>
      </c>
      <c r="H339">
        <v>28</v>
      </c>
      <c r="I339">
        <v>6</v>
      </c>
      <c r="J339">
        <v>633</v>
      </c>
      <c r="K339">
        <v>639</v>
      </c>
      <c r="L339" t="s">
        <v>15</v>
      </c>
      <c r="M339" t="s">
        <v>15</v>
      </c>
    </row>
    <row r="340" spans="1:13" x14ac:dyDescent="0.2">
      <c r="A340" t="s">
        <v>13</v>
      </c>
      <c r="B340" t="s">
        <v>340</v>
      </c>
      <c r="C340" t="s">
        <v>341</v>
      </c>
      <c r="D340" t="s">
        <v>342</v>
      </c>
      <c r="E340" t="s">
        <v>343</v>
      </c>
      <c r="F340" t="s">
        <v>344</v>
      </c>
      <c r="G340">
        <v>2021</v>
      </c>
      <c r="H340">
        <v>22</v>
      </c>
      <c r="I340" t="s">
        <v>15</v>
      </c>
      <c r="J340" t="s">
        <v>15</v>
      </c>
      <c r="K340" t="s">
        <v>15</v>
      </c>
      <c r="L340" t="s">
        <v>345</v>
      </c>
      <c r="M340" t="str">
        <f>HYPERLINK("http://dx.doi.org/10.1016/j.tsep.2020.100804","http://dx.doi.org/10.1016/j.tsep.2020.100804")</f>
        <v>http://dx.doi.org/10.1016/j.tsep.2020.100804</v>
      </c>
    </row>
    <row r="341" spans="1:13" x14ac:dyDescent="0.2">
      <c r="A341" t="s">
        <v>13</v>
      </c>
      <c r="B341" t="s">
        <v>348</v>
      </c>
      <c r="C341" t="s">
        <v>349</v>
      </c>
      <c r="D341" t="s">
        <v>350</v>
      </c>
      <c r="E341" t="s">
        <v>351</v>
      </c>
      <c r="F341" t="s">
        <v>15</v>
      </c>
      <c r="G341">
        <v>2021</v>
      </c>
      <c r="H341">
        <v>11</v>
      </c>
      <c r="I341">
        <v>11</v>
      </c>
      <c r="J341" t="s">
        <v>15</v>
      </c>
      <c r="K341" t="s">
        <v>15</v>
      </c>
      <c r="L341" t="s">
        <v>352</v>
      </c>
      <c r="M341" t="str">
        <f>HYPERLINK("http://dx.doi.org/10.3390/agriculture11111051","http://dx.doi.org/10.3390/agriculture11111051")</f>
        <v>http://dx.doi.org/10.3390/agriculture11111051</v>
      </c>
    </row>
    <row r="342" spans="1:13" x14ac:dyDescent="0.2">
      <c r="A342" t="s">
        <v>13</v>
      </c>
      <c r="B342" t="s">
        <v>362</v>
      </c>
      <c r="C342" t="s">
        <v>363</v>
      </c>
      <c r="D342" t="s">
        <v>364</v>
      </c>
      <c r="E342" t="s">
        <v>239</v>
      </c>
      <c r="F342" t="s">
        <v>15</v>
      </c>
      <c r="G342">
        <v>2021</v>
      </c>
      <c r="H342">
        <v>14</v>
      </c>
      <c r="I342">
        <v>2</v>
      </c>
      <c r="J342" t="s">
        <v>15</v>
      </c>
      <c r="K342" t="s">
        <v>15</v>
      </c>
      <c r="L342" t="s">
        <v>365</v>
      </c>
      <c r="M342" t="str">
        <f>HYPERLINK("http://dx.doi.org/10.3390/en14020438","http://dx.doi.org/10.3390/en14020438")</f>
        <v>http://dx.doi.org/10.3390/en14020438</v>
      </c>
    </row>
    <row r="343" spans="1:13" x14ac:dyDescent="0.2">
      <c r="A343" t="s">
        <v>13</v>
      </c>
      <c r="B343" t="s">
        <v>402</v>
      </c>
      <c r="C343" t="s">
        <v>403</v>
      </c>
      <c r="D343" t="s">
        <v>404</v>
      </c>
      <c r="E343" t="s">
        <v>405</v>
      </c>
      <c r="F343" t="s">
        <v>406</v>
      </c>
      <c r="G343">
        <v>2021</v>
      </c>
      <c r="H343">
        <v>307</v>
      </c>
      <c r="I343" t="s">
        <v>15</v>
      </c>
      <c r="J343" t="s">
        <v>15</v>
      </c>
      <c r="K343" t="s">
        <v>15</v>
      </c>
      <c r="L343" t="s">
        <v>407</v>
      </c>
      <c r="M343" t="str">
        <f>HYPERLINK("http://dx.doi.org/10.1016/j.agrformet.2021.108494","http://dx.doi.org/10.1016/j.agrformet.2021.108494")</f>
        <v>http://dx.doi.org/10.1016/j.agrformet.2021.108494</v>
      </c>
    </row>
    <row r="344" spans="1:13" x14ac:dyDescent="0.2">
      <c r="A344" t="s">
        <v>13</v>
      </c>
      <c r="B344" t="s">
        <v>469</v>
      </c>
      <c r="C344" t="s">
        <v>470</v>
      </c>
      <c r="D344" t="s">
        <v>471</v>
      </c>
      <c r="E344" t="s">
        <v>472</v>
      </c>
      <c r="F344" t="s">
        <v>473</v>
      </c>
      <c r="G344">
        <v>2021</v>
      </c>
      <c r="H344">
        <v>281</v>
      </c>
      <c r="I344" t="s">
        <v>15</v>
      </c>
      <c r="J344" t="s">
        <v>15</v>
      </c>
      <c r="K344" t="s">
        <v>15</v>
      </c>
      <c r="L344" t="s">
        <v>474</v>
      </c>
      <c r="M344" t="str">
        <f>HYPERLINK("http://dx.doi.org/10.1016/j.apenergy.2020.116019","http://dx.doi.org/10.1016/j.apenergy.2020.116019")</f>
        <v>http://dx.doi.org/10.1016/j.apenergy.2020.116019</v>
      </c>
    </row>
    <row r="345" spans="1:13" x14ac:dyDescent="0.2">
      <c r="A345" t="s">
        <v>13</v>
      </c>
      <c r="B345" t="s">
        <v>485</v>
      </c>
      <c r="C345" t="s">
        <v>486</v>
      </c>
      <c r="D345" t="s">
        <v>487</v>
      </c>
      <c r="E345" t="s">
        <v>488</v>
      </c>
      <c r="F345" t="s">
        <v>489</v>
      </c>
      <c r="G345">
        <v>2021</v>
      </c>
      <c r="H345">
        <v>14</v>
      </c>
      <c r="I345">
        <v>1</v>
      </c>
      <c r="J345">
        <v>165</v>
      </c>
      <c r="K345">
        <v>178</v>
      </c>
      <c r="L345" t="s">
        <v>490</v>
      </c>
      <c r="M345" t="str">
        <f>HYPERLINK("http://dx.doi.org/10.1007/s12273-019-0597-2","http://dx.doi.org/10.1007/s12273-019-0597-2")</f>
        <v>http://dx.doi.org/10.1007/s12273-019-0597-2</v>
      </c>
    </row>
    <row r="346" spans="1:13" x14ac:dyDescent="0.2">
      <c r="A346" t="s">
        <v>13</v>
      </c>
      <c r="B346" t="s">
        <v>192</v>
      </c>
      <c r="C346" t="s">
        <v>193</v>
      </c>
      <c r="D346" t="s">
        <v>495</v>
      </c>
      <c r="E346" t="s">
        <v>496</v>
      </c>
      <c r="F346" t="s">
        <v>497</v>
      </c>
      <c r="G346">
        <v>2021</v>
      </c>
      <c r="H346">
        <v>9</v>
      </c>
      <c r="I346" t="s">
        <v>15</v>
      </c>
      <c r="J346">
        <v>2986</v>
      </c>
      <c r="K346">
        <v>3003</v>
      </c>
      <c r="L346" t="s">
        <v>498</v>
      </c>
      <c r="M346" t="str">
        <f>HYPERLINK("http://dx.doi.org/10.1109/ACCESS.2020.3047851","http://dx.doi.org/10.1109/ACCESS.2020.3047851")</f>
        <v>http://dx.doi.org/10.1109/ACCESS.2020.3047851</v>
      </c>
    </row>
    <row r="347" spans="1:13" x14ac:dyDescent="0.2">
      <c r="A347" t="s">
        <v>13</v>
      </c>
      <c r="B347" t="s">
        <v>532</v>
      </c>
      <c r="C347" t="s">
        <v>533</v>
      </c>
      <c r="D347" t="s">
        <v>534</v>
      </c>
      <c r="E347" t="s">
        <v>239</v>
      </c>
      <c r="F347" t="s">
        <v>15</v>
      </c>
      <c r="G347">
        <v>2021</v>
      </c>
      <c r="H347">
        <v>14</v>
      </c>
      <c r="I347">
        <v>18</v>
      </c>
      <c r="J347" t="s">
        <v>15</v>
      </c>
      <c r="K347" t="s">
        <v>15</v>
      </c>
      <c r="L347" t="s">
        <v>535</v>
      </c>
      <c r="M347" t="str">
        <f>HYPERLINK("http://dx.doi.org/10.3390/en14185956","http://dx.doi.org/10.3390/en14185956")</f>
        <v>http://dx.doi.org/10.3390/en14185956</v>
      </c>
    </row>
    <row r="348" spans="1:13" x14ac:dyDescent="0.2">
      <c r="A348" t="s">
        <v>13</v>
      </c>
      <c r="B348" t="s">
        <v>601</v>
      </c>
      <c r="C348" t="s">
        <v>602</v>
      </c>
      <c r="D348" t="s">
        <v>603</v>
      </c>
      <c r="E348" t="s">
        <v>604</v>
      </c>
      <c r="F348" t="s">
        <v>605</v>
      </c>
      <c r="G348">
        <v>2021</v>
      </c>
      <c r="H348">
        <v>35</v>
      </c>
      <c r="I348">
        <v>15</v>
      </c>
      <c r="J348">
        <v>1905</v>
      </c>
      <c r="K348">
        <v>1929</v>
      </c>
      <c r="L348" t="s">
        <v>606</v>
      </c>
      <c r="M348" t="str">
        <f>HYPERLINK("http://dx.doi.org/10.1080/08839514.2021.1995232","http://dx.doi.org/10.1080/08839514.2021.1995232")</f>
        <v>http://dx.doi.org/10.1080/08839514.2021.1995232</v>
      </c>
    </row>
    <row r="349" spans="1:13" x14ac:dyDescent="0.2">
      <c r="A349" t="s">
        <v>13</v>
      </c>
      <c r="B349" t="s">
        <v>653</v>
      </c>
      <c r="C349" t="s">
        <v>654</v>
      </c>
      <c r="D349" t="s">
        <v>655</v>
      </c>
      <c r="E349" t="s">
        <v>656</v>
      </c>
      <c r="F349" t="s">
        <v>657</v>
      </c>
      <c r="G349">
        <v>2021</v>
      </c>
      <c r="H349">
        <v>14</v>
      </c>
      <c r="I349">
        <v>3</v>
      </c>
      <c r="J349">
        <v>247</v>
      </c>
      <c r="K349">
        <v>276</v>
      </c>
      <c r="L349" t="s">
        <v>658</v>
      </c>
      <c r="M349" t="str">
        <f>HYPERLINK("http://dx.doi.org/10.1080/19401493.2021.1908426","http://dx.doi.org/10.1080/19401493.2021.1908426")</f>
        <v>http://dx.doi.org/10.1080/19401493.2021.1908426</v>
      </c>
    </row>
    <row r="350" spans="1:13" x14ac:dyDescent="0.2">
      <c r="A350" t="s">
        <v>13</v>
      </c>
      <c r="B350" t="s">
        <v>662</v>
      </c>
      <c r="C350" t="s">
        <v>663</v>
      </c>
      <c r="D350" t="s">
        <v>664</v>
      </c>
      <c r="E350" t="s">
        <v>665</v>
      </c>
      <c r="F350" t="s">
        <v>666</v>
      </c>
      <c r="G350">
        <v>2021</v>
      </c>
      <c r="H350">
        <v>67</v>
      </c>
      <c r="I350">
        <v>1</v>
      </c>
      <c r="J350">
        <v>100</v>
      </c>
      <c r="K350">
        <v>108</v>
      </c>
      <c r="L350" t="s">
        <v>667</v>
      </c>
      <c r="M350" t="str">
        <f>HYPERLINK("http://dx.doi.org/10.31349/RevMexFis.67.100","http://dx.doi.org/10.31349/RevMexFis.67.100")</f>
        <v>http://dx.doi.org/10.31349/RevMexFis.67.100</v>
      </c>
    </row>
    <row r="351" spans="1:13" x14ac:dyDescent="0.2">
      <c r="A351" t="s">
        <v>13</v>
      </c>
      <c r="B351" t="s">
        <v>670</v>
      </c>
      <c r="C351" t="s">
        <v>671</v>
      </c>
      <c r="D351" t="s">
        <v>672</v>
      </c>
      <c r="E351" t="s">
        <v>673</v>
      </c>
      <c r="F351" t="s">
        <v>15</v>
      </c>
      <c r="G351">
        <v>2021</v>
      </c>
      <c r="H351">
        <v>13</v>
      </c>
      <c r="I351">
        <v>16</v>
      </c>
      <c r="J351" t="s">
        <v>15</v>
      </c>
      <c r="K351" t="s">
        <v>15</v>
      </c>
      <c r="L351" t="s">
        <v>674</v>
      </c>
      <c r="M351" t="str">
        <f>HYPERLINK("http://dx.doi.org/10.3390/rs13163241","http://dx.doi.org/10.3390/rs13163241")</f>
        <v>http://dx.doi.org/10.3390/rs13163241</v>
      </c>
    </row>
    <row r="352" spans="1:13" x14ac:dyDescent="0.2">
      <c r="A352" t="s">
        <v>13</v>
      </c>
      <c r="B352" t="s">
        <v>758</v>
      </c>
      <c r="C352" t="s">
        <v>759</v>
      </c>
      <c r="D352" t="s">
        <v>760</v>
      </c>
      <c r="E352" t="s">
        <v>239</v>
      </c>
      <c r="F352" t="s">
        <v>15</v>
      </c>
      <c r="G352">
        <v>2021</v>
      </c>
      <c r="H352">
        <v>14</v>
      </c>
      <c r="I352">
        <v>17</v>
      </c>
      <c r="J352" t="s">
        <v>15</v>
      </c>
      <c r="K352" t="s">
        <v>15</v>
      </c>
      <c r="L352" t="s">
        <v>761</v>
      </c>
      <c r="M352" t="str">
        <f>HYPERLINK("http://dx.doi.org/10.3390/en14175369","http://dx.doi.org/10.3390/en14175369")</f>
        <v>http://dx.doi.org/10.3390/en14175369</v>
      </c>
    </row>
    <row r="353" spans="1:13" x14ac:dyDescent="0.2">
      <c r="A353" t="s">
        <v>13</v>
      </c>
      <c r="B353" t="s">
        <v>880</v>
      </c>
      <c r="C353" t="s">
        <v>881</v>
      </c>
      <c r="D353" t="s">
        <v>882</v>
      </c>
      <c r="E353" t="s">
        <v>245</v>
      </c>
      <c r="F353" t="s">
        <v>246</v>
      </c>
      <c r="G353">
        <v>2021</v>
      </c>
      <c r="H353">
        <v>324</v>
      </c>
      <c r="I353" t="s">
        <v>15</v>
      </c>
      <c r="J353" t="s">
        <v>15</v>
      </c>
      <c r="K353" t="s">
        <v>15</v>
      </c>
      <c r="L353" t="s">
        <v>883</v>
      </c>
      <c r="M353" t="str">
        <f>HYPERLINK("http://dx.doi.org/10.1016/j.jclepro.2021.129172","http://dx.doi.org/10.1016/j.jclepro.2021.129172")</f>
        <v>http://dx.doi.org/10.1016/j.jclepro.2021.129172</v>
      </c>
    </row>
    <row r="354" spans="1:13" x14ac:dyDescent="0.2">
      <c r="A354" t="s">
        <v>13</v>
      </c>
      <c r="B354" t="s">
        <v>954</v>
      </c>
      <c r="C354" t="s">
        <v>955</v>
      </c>
      <c r="D354" t="s">
        <v>956</v>
      </c>
      <c r="E354" t="s">
        <v>957</v>
      </c>
      <c r="F354" t="s">
        <v>958</v>
      </c>
      <c r="G354">
        <v>2021</v>
      </c>
      <c r="H354">
        <v>196</v>
      </c>
      <c r="I354" t="s">
        <v>15</v>
      </c>
      <c r="J354" t="s">
        <v>15</v>
      </c>
      <c r="K354" t="s">
        <v>15</v>
      </c>
      <c r="L354" t="s">
        <v>959</v>
      </c>
      <c r="M354" t="str">
        <f>HYPERLINK("http://dx.doi.org/10.1016/j.epsr.2021.107260","http://dx.doi.org/10.1016/j.epsr.2021.107260")</f>
        <v>http://dx.doi.org/10.1016/j.epsr.2021.107260</v>
      </c>
    </row>
    <row r="355" spans="1:13" x14ac:dyDescent="0.2">
      <c r="A355" t="s">
        <v>13</v>
      </c>
      <c r="B355" t="s">
        <v>998</v>
      </c>
      <c r="C355" t="s">
        <v>999</v>
      </c>
      <c r="D355" t="s">
        <v>1000</v>
      </c>
      <c r="E355" t="s">
        <v>136</v>
      </c>
      <c r="F355" t="s">
        <v>137</v>
      </c>
      <c r="G355">
        <v>2021</v>
      </c>
      <c r="H355">
        <v>186</v>
      </c>
      <c r="I355" t="s">
        <v>15</v>
      </c>
      <c r="J355" t="s">
        <v>15</v>
      </c>
      <c r="K355" t="s">
        <v>15</v>
      </c>
      <c r="L355" t="s">
        <v>1001</v>
      </c>
      <c r="M355" t="str">
        <f>HYPERLINK("http://dx.doi.org/10.1016/j.compag.2021.106186","http://dx.doi.org/10.1016/j.compag.2021.106186")</f>
        <v>http://dx.doi.org/10.1016/j.compag.2021.106186</v>
      </c>
    </row>
    <row r="356" spans="1:13" x14ac:dyDescent="0.2">
      <c r="A356" t="s">
        <v>13</v>
      </c>
      <c r="B356" t="s">
        <v>1052</v>
      </c>
      <c r="C356" t="s">
        <v>1053</v>
      </c>
      <c r="D356" t="s">
        <v>1054</v>
      </c>
      <c r="E356" t="s">
        <v>1055</v>
      </c>
      <c r="F356" t="s">
        <v>15</v>
      </c>
      <c r="G356">
        <v>2021</v>
      </c>
      <c r="H356">
        <v>11</v>
      </c>
      <c r="I356">
        <v>5</v>
      </c>
      <c r="J356" t="s">
        <v>15</v>
      </c>
      <c r="K356" t="s">
        <v>15</v>
      </c>
      <c r="L356" t="s">
        <v>1056</v>
      </c>
      <c r="M356" t="str">
        <f>HYPERLINK("http://dx.doi.org/10.3390/min11050482","http://dx.doi.org/10.3390/min11050482")</f>
        <v>http://dx.doi.org/10.3390/min11050482</v>
      </c>
    </row>
    <row r="357" spans="1:13" x14ac:dyDescent="0.2">
      <c r="A357" t="s">
        <v>13</v>
      </c>
      <c r="B357" t="s">
        <v>1078</v>
      </c>
      <c r="C357" t="s">
        <v>1079</v>
      </c>
      <c r="D357" t="s">
        <v>1080</v>
      </c>
      <c r="E357" t="s">
        <v>1081</v>
      </c>
      <c r="F357" t="s">
        <v>15</v>
      </c>
      <c r="G357">
        <v>2021</v>
      </c>
      <c r="H357">
        <v>44</v>
      </c>
      <c r="I357" t="s">
        <v>15</v>
      </c>
      <c r="J357" t="s">
        <v>15</v>
      </c>
      <c r="K357" t="s">
        <v>15</v>
      </c>
      <c r="L357" t="s">
        <v>1082</v>
      </c>
      <c r="M357" t="str">
        <f>HYPERLINK("http://dx.doi.org/10.1016/j.jobe.2021.102682","http://dx.doi.org/10.1016/j.jobe.2021.102682")</f>
        <v>http://dx.doi.org/10.1016/j.jobe.2021.102682</v>
      </c>
    </row>
    <row r="358" spans="1:13" x14ac:dyDescent="0.2">
      <c r="A358" t="s">
        <v>13</v>
      </c>
      <c r="B358" t="s">
        <v>1141</v>
      </c>
      <c r="C358" t="s">
        <v>1142</v>
      </c>
      <c r="D358" t="s">
        <v>1143</v>
      </c>
      <c r="E358" t="s">
        <v>1144</v>
      </c>
      <c r="F358" t="s">
        <v>1145</v>
      </c>
      <c r="G358">
        <v>2021</v>
      </c>
      <c r="H358">
        <v>30</v>
      </c>
      <c r="I358">
        <v>4</v>
      </c>
      <c r="J358">
        <v>536</v>
      </c>
      <c r="K358">
        <v>550</v>
      </c>
      <c r="L358" t="s">
        <v>1146</v>
      </c>
      <c r="M358" t="str">
        <f>HYPERLINK("http://dx.doi.org/10.3906/yer-2101-21","http://dx.doi.org/10.3906/yer-2101-21")</f>
        <v>http://dx.doi.org/10.3906/yer-2101-21</v>
      </c>
    </row>
    <row r="359" spans="1:13" x14ac:dyDescent="0.2">
      <c r="A359" t="s">
        <v>13</v>
      </c>
      <c r="B359" t="s">
        <v>1162</v>
      </c>
      <c r="C359" t="s">
        <v>1163</v>
      </c>
      <c r="D359" t="s">
        <v>1164</v>
      </c>
      <c r="E359" t="s">
        <v>910</v>
      </c>
      <c r="F359" t="s">
        <v>15</v>
      </c>
      <c r="G359">
        <v>2021</v>
      </c>
      <c r="H359">
        <v>11</v>
      </c>
      <c r="I359">
        <v>22</v>
      </c>
      <c r="J359" t="s">
        <v>15</v>
      </c>
      <c r="K359" t="s">
        <v>15</v>
      </c>
      <c r="L359" t="s">
        <v>1165</v>
      </c>
      <c r="M359" t="str">
        <f>HYPERLINK("http://dx.doi.org/10.3390/app112210785","http://dx.doi.org/10.3390/app112210785")</f>
        <v>http://dx.doi.org/10.3390/app112210785</v>
      </c>
    </row>
    <row r="360" spans="1:13" x14ac:dyDescent="0.2">
      <c r="A360" t="s">
        <v>13</v>
      </c>
      <c r="B360" t="s">
        <v>1191</v>
      </c>
      <c r="C360" t="s">
        <v>1192</v>
      </c>
      <c r="D360" t="s">
        <v>1193</v>
      </c>
      <c r="E360" t="s">
        <v>104</v>
      </c>
      <c r="F360" t="s">
        <v>105</v>
      </c>
      <c r="G360">
        <v>2021</v>
      </c>
      <c r="H360">
        <v>208</v>
      </c>
      <c r="I360" t="s">
        <v>15</v>
      </c>
      <c r="J360">
        <v>131</v>
      </c>
      <c r="K360">
        <v>151</v>
      </c>
      <c r="L360" t="s">
        <v>1194</v>
      </c>
      <c r="M360" t="str">
        <f>HYPERLINK("http://dx.doi.org/10.1016/j.biosystemseng.2021.05.010","http://dx.doi.org/10.1016/j.biosystemseng.2021.05.010")</f>
        <v>http://dx.doi.org/10.1016/j.biosystemseng.2021.05.010</v>
      </c>
    </row>
    <row r="361" spans="1:13" x14ac:dyDescent="0.2">
      <c r="A361" t="s">
        <v>13</v>
      </c>
      <c r="B361" t="s">
        <v>1306</v>
      </c>
      <c r="C361" t="s">
        <v>1307</v>
      </c>
      <c r="D361" t="s">
        <v>1308</v>
      </c>
      <c r="E361" t="s">
        <v>1309</v>
      </c>
      <c r="F361" t="s">
        <v>1310</v>
      </c>
      <c r="G361">
        <v>2021</v>
      </c>
      <c r="H361">
        <v>28</v>
      </c>
      <c r="I361">
        <v>5</v>
      </c>
      <c r="J361">
        <v>2613</v>
      </c>
      <c r="K361">
        <v>2627</v>
      </c>
      <c r="L361" t="s">
        <v>1311</v>
      </c>
      <c r="M361" t="str">
        <f>HYPERLINK("http://dx.doi.org/10.24200/sci.2021.53709.3375","http://dx.doi.org/10.24200/sci.2021.53709.3375")</f>
        <v>http://dx.doi.org/10.24200/sci.2021.53709.3375</v>
      </c>
    </row>
    <row r="362" spans="1:13" x14ac:dyDescent="0.2">
      <c r="A362" t="s">
        <v>13</v>
      </c>
      <c r="B362" t="s">
        <v>1337</v>
      </c>
      <c r="C362" t="s">
        <v>1338</v>
      </c>
      <c r="D362" t="s">
        <v>1339</v>
      </c>
      <c r="E362" t="s">
        <v>1340</v>
      </c>
      <c r="F362" t="s">
        <v>1341</v>
      </c>
      <c r="G362">
        <v>2021</v>
      </c>
      <c r="H362">
        <v>39</v>
      </c>
      <c r="I362">
        <v>4</v>
      </c>
      <c r="J362">
        <v>1097</v>
      </c>
      <c r="K362">
        <v>1106</v>
      </c>
      <c r="L362" t="s">
        <v>1342</v>
      </c>
      <c r="M362" t="str">
        <f>HYPERLINK("http://dx.doi.org/10.18280/ijht.390407","http://dx.doi.org/10.18280/ijht.390407")</f>
        <v>http://dx.doi.org/10.18280/ijht.390407</v>
      </c>
    </row>
    <row r="363" spans="1:13" x14ac:dyDescent="0.2">
      <c r="A363" t="s">
        <v>13</v>
      </c>
      <c r="B363" t="s">
        <v>1456</v>
      </c>
      <c r="C363" t="s">
        <v>1457</v>
      </c>
      <c r="D363" t="s">
        <v>1458</v>
      </c>
      <c r="E363" t="s">
        <v>104</v>
      </c>
      <c r="F363" t="s">
        <v>105</v>
      </c>
      <c r="G363">
        <v>2021</v>
      </c>
      <c r="H363">
        <v>208</v>
      </c>
      <c r="I363" t="s">
        <v>15</v>
      </c>
      <c r="J363">
        <v>319</v>
      </c>
      <c r="K363">
        <v>332</v>
      </c>
      <c r="L363" t="s">
        <v>1459</v>
      </c>
      <c r="M363" t="str">
        <f>HYPERLINK("http://dx.doi.org/10.1016/j.biosystemseng.2021.05.014","http://dx.doi.org/10.1016/j.biosystemseng.2021.05.014")</f>
        <v>http://dx.doi.org/10.1016/j.biosystemseng.2021.05.014</v>
      </c>
    </row>
    <row r="364" spans="1:13" x14ac:dyDescent="0.2">
      <c r="A364" t="s">
        <v>13</v>
      </c>
      <c r="B364" t="s">
        <v>1519</v>
      </c>
      <c r="C364" t="s">
        <v>1520</v>
      </c>
      <c r="D364" t="s">
        <v>1521</v>
      </c>
      <c r="E364" t="s">
        <v>104</v>
      </c>
      <c r="F364" t="s">
        <v>105</v>
      </c>
      <c r="G364">
        <v>2021</v>
      </c>
      <c r="H364">
        <v>202</v>
      </c>
      <c r="I364" t="s">
        <v>15</v>
      </c>
      <c r="J364">
        <v>195</v>
      </c>
      <c r="K364">
        <v>216</v>
      </c>
      <c r="L364" t="s">
        <v>1522</v>
      </c>
      <c r="M364" t="str">
        <f>HYPERLINK("http://dx.doi.org/10.1016/j.biosystemseng.2020.12.006","http://dx.doi.org/10.1016/j.biosystemseng.2020.12.006")</f>
        <v>http://dx.doi.org/10.1016/j.biosystemseng.2020.12.006</v>
      </c>
    </row>
    <row r="365" spans="1:13" x14ac:dyDescent="0.2">
      <c r="A365" t="s">
        <v>13</v>
      </c>
      <c r="B365" t="s">
        <v>1523</v>
      </c>
      <c r="C365" t="s">
        <v>1524</v>
      </c>
      <c r="D365" t="s">
        <v>1525</v>
      </c>
      <c r="E365" t="s">
        <v>1088</v>
      </c>
      <c r="F365" t="s">
        <v>15</v>
      </c>
      <c r="G365">
        <v>2021</v>
      </c>
      <c r="H365">
        <v>11</v>
      </c>
      <c r="I365">
        <v>1</v>
      </c>
      <c r="J365" t="s">
        <v>15</v>
      </c>
      <c r="K365" t="s">
        <v>15</v>
      </c>
      <c r="L365" t="s">
        <v>1526</v>
      </c>
      <c r="M365" t="str">
        <f>HYPERLINK("http://dx.doi.org/10.3390/agronomy11010167","http://dx.doi.org/10.3390/agronomy11010167")</f>
        <v>http://dx.doi.org/10.3390/agronomy11010167</v>
      </c>
    </row>
    <row r="366" spans="1:13" x14ac:dyDescent="0.2">
      <c r="A366" t="s">
        <v>13</v>
      </c>
      <c r="B366" t="s">
        <v>1545</v>
      </c>
      <c r="C366" t="s">
        <v>1546</v>
      </c>
      <c r="D366" t="s">
        <v>1547</v>
      </c>
      <c r="E366" t="s">
        <v>496</v>
      </c>
      <c r="F366" t="s">
        <v>497</v>
      </c>
      <c r="G366">
        <v>2021</v>
      </c>
      <c r="H366">
        <v>9</v>
      </c>
      <c r="I366" t="s">
        <v>15</v>
      </c>
      <c r="J366">
        <v>140298</v>
      </c>
      <c r="K366">
        <v>140314</v>
      </c>
      <c r="L366" t="s">
        <v>1548</v>
      </c>
      <c r="M366" t="str">
        <f>HYPERLINK("http://dx.doi.org/10.1109/ACCESS.2021.3119295","http://dx.doi.org/10.1109/ACCESS.2021.3119295")</f>
        <v>http://dx.doi.org/10.1109/ACCESS.2021.3119295</v>
      </c>
    </row>
    <row r="367" spans="1:13" x14ac:dyDescent="0.2">
      <c r="A367" t="s">
        <v>13</v>
      </c>
      <c r="B367" t="s">
        <v>1549</v>
      </c>
      <c r="C367" t="s">
        <v>1550</v>
      </c>
      <c r="D367" t="s">
        <v>1551</v>
      </c>
      <c r="E367" t="s">
        <v>104</v>
      </c>
      <c r="F367" t="s">
        <v>105</v>
      </c>
      <c r="G367">
        <v>2021</v>
      </c>
      <c r="H367">
        <v>208</v>
      </c>
      <c r="I367" t="s">
        <v>15</v>
      </c>
      <c r="J367">
        <v>300</v>
      </c>
      <c r="K367">
        <v>318</v>
      </c>
      <c r="L367" t="s">
        <v>1552</v>
      </c>
      <c r="M367" t="str">
        <f>HYPERLINK("http://dx.doi.org/10.1016/j.biosystemseng.2021.06.002","http://dx.doi.org/10.1016/j.biosystemseng.2021.06.002")</f>
        <v>http://dx.doi.org/10.1016/j.biosystemseng.2021.06.002</v>
      </c>
    </row>
    <row r="368" spans="1:13" x14ac:dyDescent="0.2">
      <c r="A368" t="s">
        <v>13</v>
      </c>
      <c r="B368" t="s">
        <v>1638</v>
      </c>
      <c r="C368" t="s">
        <v>1639</v>
      </c>
      <c r="D368" t="s">
        <v>1640</v>
      </c>
      <c r="E368" t="s">
        <v>1641</v>
      </c>
      <c r="F368" t="s">
        <v>15</v>
      </c>
      <c r="G368">
        <v>2021</v>
      </c>
      <c r="H368">
        <v>10</v>
      </c>
      <c r="I368">
        <v>12</v>
      </c>
      <c r="J368" t="s">
        <v>15</v>
      </c>
      <c r="K368" t="s">
        <v>15</v>
      </c>
      <c r="L368" t="s">
        <v>1642</v>
      </c>
      <c r="M368" t="str">
        <f>HYPERLINK("http://dx.doi.org/10.3390/plants10122652","http://dx.doi.org/10.3390/plants10122652")</f>
        <v>http://dx.doi.org/10.3390/plants10122652</v>
      </c>
    </row>
    <row r="369" spans="1:13" x14ac:dyDescent="0.2">
      <c r="A369" t="s">
        <v>13</v>
      </c>
      <c r="B369" t="s">
        <v>1666</v>
      </c>
      <c r="C369" t="s">
        <v>1667</v>
      </c>
      <c r="D369" t="s">
        <v>1668</v>
      </c>
      <c r="E369" t="s">
        <v>1669</v>
      </c>
      <c r="F369" t="s">
        <v>1670</v>
      </c>
      <c r="G369">
        <v>2021</v>
      </c>
      <c r="H369">
        <v>107</v>
      </c>
      <c r="I369" t="s">
        <v>15</v>
      </c>
      <c r="J369">
        <v>103</v>
      </c>
      <c r="K369">
        <v>113</v>
      </c>
      <c r="L369" t="s">
        <v>1671</v>
      </c>
      <c r="M369" t="str">
        <f>HYPERLINK("http://dx.doi.org/10.1016/j.jprocont.2021.10.004","http://dx.doi.org/10.1016/j.jprocont.2021.10.004")</f>
        <v>http://dx.doi.org/10.1016/j.jprocont.2021.10.004</v>
      </c>
    </row>
    <row r="370" spans="1:13" x14ac:dyDescent="0.2">
      <c r="A370" t="s">
        <v>13</v>
      </c>
      <c r="B370" t="s">
        <v>1686</v>
      </c>
      <c r="C370" t="s">
        <v>1687</v>
      </c>
      <c r="D370" t="s">
        <v>1688</v>
      </c>
      <c r="E370" t="s">
        <v>136</v>
      </c>
      <c r="F370" t="s">
        <v>137</v>
      </c>
      <c r="G370">
        <v>2021</v>
      </c>
      <c r="H370">
        <v>188</v>
      </c>
      <c r="I370" t="s">
        <v>15</v>
      </c>
      <c r="J370" t="s">
        <v>15</v>
      </c>
      <c r="K370" t="s">
        <v>15</v>
      </c>
      <c r="L370" t="s">
        <v>1689</v>
      </c>
      <c r="M370" t="str">
        <f>HYPERLINK("http://dx.doi.org/10.1016/j.compag.2021.106300","http://dx.doi.org/10.1016/j.compag.2021.106300")</f>
        <v>http://dx.doi.org/10.1016/j.compag.2021.106300</v>
      </c>
    </row>
    <row r="371" spans="1:13" x14ac:dyDescent="0.2">
      <c r="A371" t="s">
        <v>13</v>
      </c>
      <c r="B371" t="s">
        <v>1736</v>
      </c>
      <c r="C371" t="s">
        <v>1737</v>
      </c>
      <c r="D371" t="s">
        <v>1738</v>
      </c>
      <c r="E371" t="s">
        <v>239</v>
      </c>
      <c r="F371" t="s">
        <v>15</v>
      </c>
      <c r="G371">
        <v>2021</v>
      </c>
      <c r="H371">
        <v>14</v>
      </c>
      <c r="I371">
        <v>11</v>
      </c>
      <c r="J371" t="s">
        <v>15</v>
      </c>
      <c r="K371" t="s">
        <v>15</v>
      </c>
      <c r="L371" t="s">
        <v>1739</v>
      </c>
      <c r="M371" t="str">
        <f>HYPERLINK("http://dx.doi.org/10.3390/en14113353","http://dx.doi.org/10.3390/en14113353")</f>
        <v>http://dx.doi.org/10.3390/en14113353</v>
      </c>
    </row>
    <row r="372" spans="1:13" x14ac:dyDescent="0.2">
      <c r="A372" t="s">
        <v>13</v>
      </c>
      <c r="B372" t="s">
        <v>1750</v>
      </c>
      <c r="C372" t="s">
        <v>1751</v>
      </c>
      <c r="D372" t="s">
        <v>1752</v>
      </c>
      <c r="E372" t="s">
        <v>1753</v>
      </c>
      <c r="F372" t="s">
        <v>1754</v>
      </c>
      <c r="G372">
        <v>2021</v>
      </c>
      <c r="H372">
        <v>35</v>
      </c>
      <c r="I372">
        <v>6</v>
      </c>
      <c r="J372">
        <v>894</v>
      </c>
      <c r="K372">
        <v>900</v>
      </c>
      <c r="L372" t="s">
        <v>1755</v>
      </c>
      <c r="M372" t="str">
        <f>HYPERLINK("http://dx.doi.org/10.1017/wet.2021.43","http://dx.doi.org/10.1017/wet.2021.43")</f>
        <v>http://dx.doi.org/10.1017/wet.2021.43</v>
      </c>
    </row>
    <row r="373" spans="1:13" x14ac:dyDescent="0.2">
      <c r="A373" t="s">
        <v>13</v>
      </c>
      <c r="B373" t="s">
        <v>1471</v>
      </c>
      <c r="C373" t="s">
        <v>1472</v>
      </c>
      <c r="D373" t="s">
        <v>1765</v>
      </c>
      <c r="E373" t="s">
        <v>104</v>
      </c>
      <c r="F373" t="s">
        <v>105</v>
      </c>
      <c r="G373">
        <v>2021</v>
      </c>
      <c r="H373">
        <v>205</v>
      </c>
      <c r="I373" t="s">
        <v>15</v>
      </c>
      <c r="J373">
        <v>212</v>
      </c>
      <c r="K373">
        <v>233</v>
      </c>
      <c r="L373" t="s">
        <v>1766</v>
      </c>
      <c r="M373" t="str">
        <f>HYPERLINK("http://dx.doi.org/10.1016/j.biosystemseng.2021.03.004","http://dx.doi.org/10.1016/j.biosystemseng.2021.03.004")</f>
        <v>http://dx.doi.org/10.1016/j.biosystemseng.2021.03.004</v>
      </c>
    </row>
    <row r="374" spans="1:13" x14ac:dyDescent="0.2">
      <c r="A374" t="s">
        <v>13</v>
      </c>
      <c r="B374" t="s">
        <v>1777</v>
      </c>
      <c r="C374" t="s">
        <v>1778</v>
      </c>
      <c r="D374" t="s">
        <v>1779</v>
      </c>
      <c r="E374" t="s">
        <v>411</v>
      </c>
      <c r="F374" t="s">
        <v>412</v>
      </c>
      <c r="G374">
        <v>2021</v>
      </c>
      <c r="H374">
        <v>235</v>
      </c>
      <c r="I374" t="s">
        <v>15</v>
      </c>
      <c r="J374" t="s">
        <v>15</v>
      </c>
      <c r="K374" t="s">
        <v>15</v>
      </c>
      <c r="L374" t="s">
        <v>1780</v>
      </c>
      <c r="M374" t="str">
        <f>HYPERLINK("http://dx.doi.org/10.1016/j.energy.2021.121425","http://dx.doi.org/10.1016/j.energy.2021.121425")</f>
        <v>http://dx.doi.org/10.1016/j.energy.2021.121425</v>
      </c>
    </row>
    <row r="375" spans="1:13" x14ac:dyDescent="0.2">
      <c r="A375" t="s">
        <v>13</v>
      </c>
      <c r="B375" t="s">
        <v>127</v>
      </c>
      <c r="C375" t="s">
        <v>128</v>
      </c>
      <c r="D375" t="s">
        <v>129</v>
      </c>
      <c r="E375" t="s">
        <v>130</v>
      </c>
      <c r="F375" t="s">
        <v>131</v>
      </c>
      <c r="G375">
        <v>2022</v>
      </c>
      <c r="H375">
        <v>198</v>
      </c>
      <c r="I375" t="s">
        <v>15</v>
      </c>
      <c r="J375" t="s">
        <v>15</v>
      </c>
      <c r="K375" t="s">
        <v>15</v>
      </c>
      <c r="L375" t="s">
        <v>132</v>
      </c>
      <c r="M375" t="str">
        <f>HYPERLINK("http://dx.doi.org/10.1016/j.agsy.2022.103388","http://dx.doi.org/10.1016/j.agsy.2022.103388")</f>
        <v>http://dx.doi.org/10.1016/j.agsy.2022.103388</v>
      </c>
    </row>
    <row r="376" spans="1:13" x14ac:dyDescent="0.2">
      <c r="A376" t="s">
        <v>13</v>
      </c>
      <c r="B376" t="s">
        <v>236</v>
      </c>
      <c r="C376" t="s">
        <v>237</v>
      </c>
      <c r="D376" t="s">
        <v>238</v>
      </c>
      <c r="E376" t="s">
        <v>239</v>
      </c>
      <c r="F376" t="s">
        <v>15</v>
      </c>
      <c r="G376">
        <v>2022</v>
      </c>
      <c r="H376">
        <v>15</v>
      </c>
      <c r="I376">
        <v>24</v>
      </c>
      <c r="J376" t="s">
        <v>15</v>
      </c>
      <c r="K376" t="s">
        <v>15</v>
      </c>
      <c r="L376" t="s">
        <v>241</v>
      </c>
      <c r="M376" t="str">
        <f>HYPERLINK("http://dx.doi.org/10.3390/en15249493","http://dx.doi.org/10.3390/en15249493")</f>
        <v>http://dx.doi.org/10.3390/en15249493</v>
      </c>
    </row>
    <row r="377" spans="1:13" x14ac:dyDescent="0.2">
      <c r="A377" t="s">
        <v>13</v>
      </c>
      <c r="B377" t="s">
        <v>416</v>
      </c>
      <c r="C377" t="s">
        <v>417</v>
      </c>
      <c r="D377" t="s">
        <v>418</v>
      </c>
      <c r="E377" t="s">
        <v>179</v>
      </c>
      <c r="F377" t="s">
        <v>180</v>
      </c>
      <c r="G377">
        <v>2022</v>
      </c>
      <c r="H377">
        <v>184</v>
      </c>
      <c r="I377" t="s">
        <v>15</v>
      </c>
      <c r="J377">
        <v>45</v>
      </c>
      <c r="K377">
        <v>55</v>
      </c>
      <c r="L377" t="s">
        <v>419</v>
      </c>
      <c r="M377" t="str">
        <f>HYPERLINK("http://dx.doi.org/10.1016/j.renene.2021.11.063","http://dx.doi.org/10.1016/j.renene.2021.11.063")</f>
        <v>http://dx.doi.org/10.1016/j.renene.2021.11.063</v>
      </c>
    </row>
    <row r="378" spans="1:13" x14ac:dyDescent="0.2">
      <c r="A378" t="s">
        <v>13</v>
      </c>
      <c r="B378" t="s">
        <v>443</v>
      </c>
      <c r="C378" t="s">
        <v>444</v>
      </c>
      <c r="D378" t="s">
        <v>445</v>
      </c>
      <c r="E378" t="s">
        <v>446</v>
      </c>
      <c r="F378" t="s">
        <v>447</v>
      </c>
      <c r="G378">
        <v>2022</v>
      </c>
      <c r="H378">
        <v>9</v>
      </c>
      <c r="I378">
        <v>9</v>
      </c>
      <c r="J378">
        <v>6325</v>
      </c>
      <c r="K378">
        <v>6334</v>
      </c>
      <c r="L378" t="s">
        <v>448</v>
      </c>
      <c r="M378" t="str">
        <f>HYPERLINK("http://dx.doi.org/10.1109/JIOT.2020.2996081","http://dx.doi.org/10.1109/JIOT.2020.2996081")</f>
        <v>http://dx.doi.org/10.1109/JIOT.2020.2996081</v>
      </c>
    </row>
    <row r="379" spans="1:13" x14ac:dyDescent="0.2">
      <c r="A379" t="s">
        <v>13</v>
      </c>
      <c r="B379" t="s">
        <v>553</v>
      </c>
      <c r="C379" t="s">
        <v>554</v>
      </c>
      <c r="D379" t="s">
        <v>555</v>
      </c>
      <c r="E379" t="s">
        <v>556</v>
      </c>
      <c r="F379" t="s">
        <v>15</v>
      </c>
      <c r="G379">
        <v>2022</v>
      </c>
      <c r="H379">
        <v>6</v>
      </c>
      <c r="I379" t="s">
        <v>15</v>
      </c>
      <c r="J379">
        <v>857</v>
      </c>
      <c r="K379">
        <v>861</v>
      </c>
      <c r="L379" t="s">
        <v>557</v>
      </c>
      <c r="M379" t="str">
        <f>HYPERLINK("http://dx.doi.org/10.1109/JRFID.2022.3204363","http://dx.doi.org/10.1109/JRFID.2022.3204363")</f>
        <v>http://dx.doi.org/10.1109/JRFID.2022.3204363</v>
      </c>
    </row>
    <row r="380" spans="1:13" x14ac:dyDescent="0.2">
      <c r="A380" t="s">
        <v>13</v>
      </c>
      <c r="B380" t="s">
        <v>725</v>
      </c>
      <c r="C380" t="s">
        <v>726</v>
      </c>
      <c r="D380" t="s">
        <v>727</v>
      </c>
      <c r="E380" t="s">
        <v>579</v>
      </c>
      <c r="F380" t="s">
        <v>580</v>
      </c>
      <c r="G380">
        <v>2022</v>
      </c>
      <c r="H380">
        <v>8</v>
      </c>
      <c r="I380">
        <v>1</v>
      </c>
      <c r="J380">
        <v>103</v>
      </c>
      <c r="K380">
        <v>119</v>
      </c>
      <c r="L380" t="s">
        <v>728</v>
      </c>
      <c r="M380" t="str">
        <f>HYPERLINK("http://dx.doi.org/10.14744/jten.2022.xxxx","http://dx.doi.org/10.14744/jten.2022.xxxx")</f>
        <v>http://dx.doi.org/10.14744/jten.2022.xxxx</v>
      </c>
    </row>
    <row r="381" spans="1:13" x14ac:dyDescent="0.2">
      <c r="A381" t="s">
        <v>13</v>
      </c>
      <c r="B381" t="s">
        <v>747</v>
      </c>
      <c r="C381" t="s">
        <v>748</v>
      </c>
      <c r="D381" t="s">
        <v>749</v>
      </c>
      <c r="E381" t="s">
        <v>750</v>
      </c>
      <c r="F381" t="s">
        <v>751</v>
      </c>
      <c r="G381">
        <v>2022</v>
      </c>
      <c r="H381" t="s">
        <v>15</v>
      </c>
      <c r="I381" t="s">
        <v>15</v>
      </c>
      <c r="J381" t="s">
        <v>15</v>
      </c>
      <c r="K381" t="s">
        <v>15</v>
      </c>
      <c r="L381" t="s">
        <v>752</v>
      </c>
      <c r="M381" t="str">
        <f>HYPERLINK("http://dx.doi.org/10.1007/s40095-022-00520-6","http://dx.doi.org/10.1007/s40095-022-00520-6")</f>
        <v>http://dx.doi.org/10.1007/s40095-022-00520-6</v>
      </c>
    </row>
    <row r="382" spans="1:13" x14ac:dyDescent="0.2">
      <c r="A382" t="s">
        <v>13</v>
      </c>
      <c r="B382" t="s">
        <v>772</v>
      </c>
      <c r="C382" t="s">
        <v>773</v>
      </c>
      <c r="D382" t="s">
        <v>774</v>
      </c>
      <c r="E382" t="s">
        <v>775</v>
      </c>
      <c r="F382" t="s">
        <v>776</v>
      </c>
      <c r="G382">
        <v>2022</v>
      </c>
      <c r="H382">
        <v>28</v>
      </c>
      <c r="I382">
        <v>9</v>
      </c>
      <c r="J382">
        <v>1237</v>
      </c>
      <c r="K382">
        <v>1254</v>
      </c>
      <c r="L382" t="s">
        <v>777</v>
      </c>
      <c r="M382" t="str">
        <f>HYPERLINK("http://dx.doi.org/10.1080/23744731.2022.2038491","http://dx.doi.org/10.1080/23744731.2022.2038491")</f>
        <v>http://dx.doi.org/10.1080/23744731.2022.2038491</v>
      </c>
    </row>
    <row r="383" spans="1:13" x14ac:dyDescent="0.2">
      <c r="A383" t="s">
        <v>13</v>
      </c>
      <c r="B383" t="s">
        <v>782</v>
      </c>
      <c r="C383" t="s">
        <v>783</v>
      </c>
      <c r="D383" t="s">
        <v>784</v>
      </c>
      <c r="E383" t="s">
        <v>785</v>
      </c>
      <c r="F383" t="s">
        <v>786</v>
      </c>
      <c r="G383">
        <v>2022</v>
      </c>
      <c r="H383">
        <v>91</v>
      </c>
      <c r="I383">
        <v>10</v>
      </c>
      <c r="J383">
        <v>2283</v>
      </c>
      <c r="K383">
        <v>2296</v>
      </c>
      <c r="L383" t="s">
        <v>787</v>
      </c>
      <c r="M383" t="str">
        <f>HYPERLINK("http://dx.doi.org/10.32604/phyton.2022.021096","http://dx.doi.org/10.32604/phyton.2022.021096")</f>
        <v>http://dx.doi.org/10.32604/phyton.2022.021096</v>
      </c>
    </row>
    <row r="384" spans="1:13" x14ac:dyDescent="0.2">
      <c r="A384" t="s">
        <v>13</v>
      </c>
      <c r="B384" t="s">
        <v>829</v>
      </c>
      <c r="C384" t="s">
        <v>830</v>
      </c>
      <c r="D384" t="s">
        <v>831</v>
      </c>
      <c r="E384" t="s">
        <v>488</v>
      </c>
      <c r="F384" t="s">
        <v>489</v>
      </c>
      <c r="G384">
        <v>2022</v>
      </c>
      <c r="H384">
        <v>15</v>
      </c>
      <c r="I384">
        <v>5</v>
      </c>
      <c r="J384">
        <v>779</v>
      </c>
      <c r="K384">
        <v>797</v>
      </c>
      <c r="L384" t="s">
        <v>832</v>
      </c>
      <c r="M384" t="str">
        <f>HYPERLINK("http://dx.doi.org/10.1007/s12273-021-0851-2","http://dx.doi.org/10.1007/s12273-021-0851-2")</f>
        <v>http://dx.doi.org/10.1007/s12273-021-0851-2</v>
      </c>
    </row>
    <row r="385" spans="1:13" x14ac:dyDescent="0.2">
      <c r="A385" t="s">
        <v>13</v>
      </c>
      <c r="B385" t="s">
        <v>838</v>
      </c>
      <c r="C385" t="s">
        <v>839</v>
      </c>
      <c r="D385" t="s">
        <v>840</v>
      </c>
      <c r="E385" t="s">
        <v>472</v>
      </c>
      <c r="F385" t="s">
        <v>473</v>
      </c>
      <c r="G385">
        <v>2022</v>
      </c>
      <c r="H385">
        <v>328</v>
      </c>
      <c r="I385" t="s">
        <v>15</v>
      </c>
      <c r="J385" t="s">
        <v>15</v>
      </c>
      <c r="K385" t="s">
        <v>15</v>
      </c>
      <c r="L385" t="s">
        <v>841</v>
      </c>
      <c r="M385" t="str">
        <f>HYPERLINK("http://dx.doi.org/10.1016/j.apenergy.2022.120208","http://dx.doi.org/10.1016/j.apenergy.2022.120208")</f>
        <v>http://dx.doi.org/10.1016/j.apenergy.2022.120208</v>
      </c>
    </row>
    <row r="386" spans="1:13" x14ac:dyDescent="0.2">
      <c r="A386" t="s">
        <v>13</v>
      </c>
      <c r="B386" t="s">
        <v>899</v>
      </c>
      <c r="C386" t="s">
        <v>900</v>
      </c>
      <c r="D386" t="s">
        <v>901</v>
      </c>
      <c r="E386" t="s">
        <v>136</v>
      </c>
      <c r="F386" t="s">
        <v>137</v>
      </c>
      <c r="G386">
        <v>2022</v>
      </c>
      <c r="H386">
        <v>192</v>
      </c>
      <c r="I386" t="s">
        <v>15</v>
      </c>
      <c r="J386" t="s">
        <v>15</v>
      </c>
      <c r="K386" t="s">
        <v>15</v>
      </c>
      <c r="L386" t="s">
        <v>902</v>
      </c>
      <c r="M386" t="str">
        <f>HYPERLINK("http://dx.doi.org/10.1016/j.compag.2021.106627","http://dx.doi.org/10.1016/j.compag.2021.106627")</f>
        <v>http://dx.doi.org/10.1016/j.compag.2021.106627</v>
      </c>
    </row>
    <row r="387" spans="1:13" x14ac:dyDescent="0.2">
      <c r="A387" t="s">
        <v>13</v>
      </c>
      <c r="B387" t="s">
        <v>907</v>
      </c>
      <c r="C387" t="s">
        <v>908</v>
      </c>
      <c r="D387" t="s">
        <v>909</v>
      </c>
      <c r="E387" t="s">
        <v>910</v>
      </c>
      <c r="F387" t="s">
        <v>15</v>
      </c>
      <c r="G387">
        <v>2022</v>
      </c>
      <c r="H387">
        <v>12</v>
      </c>
      <c r="I387">
        <v>15</v>
      </c>
      <c r="J387" t="s">
        <v>15</v>
      </c>
      <c r="K387" t="s">
        <v>15</v>
      </c>
      <c r="L387" t="s">
        <v>911</v>
      </c>
      <c r="M387" t="str">
        <f>HYPERLINK("http://dx.doi.org/10.3390/app12157756","http://dx.doi.org/10.3390/app12157756")</f>
        <v>http://dx.doi.org/10.3390/app12157756</v>
      </c>
    </row>
    <row r="388" spans="1:13" x14ac:dyDescent="0.2">
      <c r="A388" t="s">
        <v>13</v>
      </c>
      <c r="B388" t="s">
        <v>969</v>
      </c>
      <c r="C388" t="s">
        <v>970</v>
      </c>
      <c r="D388" t="s">
        <v>971</v>
      </c>
      <c r="E388" t="s">
        <v>972</v>
      </c>
      <c r="F388" t="s">
        <v>973</v>
      </c>
      <c r="G388">
        <v>2022</v>
      </c>
      <c r="H388">
        <v>53</v>
      </c>
      <c r="I388">
        <v>3</v>
      </c>
      <c r="J388" t="s">
        <v>15</v>
      </c>
      <c r="K388" t="s">
        <v>15</v>
      </c>
      <c r="L388" t="s">
        <v>974</v>
      </c>
      <c r="M388" t="str">
        <f>HYPERLINK("http://dx.doi.org/10.4081/jae.2022.1420","http://dx.doi.org/10.4081/jae.2022.1420")</f>
        <v>http://dx.doi.org/10.4081/jae.2022.1420</v>
      </c>
    </row>
    <row r="389" spans="1:13" x14ac:dyDescent="0.2">
      <c r="A389" t="s">
        <v>13</v>
      </c>
      <c r="B389" t="s">
        <v>1016</v>
      </c>
      <c r="C389" t="s">
        <v>1017</v>
      </c>
      <c r="D389" t="s">
        <v>1018</v>
      </c>
      <c r="E389" t="s">
        <v>1019</v>
      </c>
      <c r="F389" t="s">
        <v>1020</v>
      </c>
      <c r="G389">
        <v>2022</v>
      </c>
      <c r="H389">
        <v>106</v>
      </c>
      <c r="I389">
        <v>11</v>
      </c>
      <c r="J389">
        <v>2904</v>
      </c>
      <c r="K389">
        <v>2910</v>
      </c>
      <c r="L389" t="s">
        <v>1021</v>
      </c>
      <c r="M389" t="str">
        <f>HYPERLINK("http://dx.doi.org/10.1094/PDIS-09-21-1888-RE","http://dx.doi.org/10.1094/PDIS-09-21-1888-RE")</f>
        <v>http://dx.doi.org/10.1094/PDIS-09-21-1888-RE</v>
      </c>
    </row>
    <row r="390" spans="1:13" x14ac:dyDescent="0.2">
      <c r="A390" t="s">
        <v>13</v>
      </c>
      <c r="B390" t="s">
        <v>1030</v>
      </c>
      <c r="C390" t="s">
        <v>1031</v>
      </c>
      <c r="D390" t="s">
        <v>1032</v>
      </c>
      <c r="E390" t="s">
        <v>351</v>
      </c>
      <c r="F390" t="s">
        <v>15</v>
      </c>
      <c r="G390">
        <v>2022</v>
      </c>
      <c r="H390">
        <v>12</v>
      </c>
      <c r="I390">
        <v>7</v>
      </c>
      <c r="J390" t="s">
        <v>15</v>
      </c>
      <c r="K390" t="s">
        <v>15</v>
      </c>
      <c r="L390" t="s">
        <v>1033</v>
      </c>
      <c r="M390" t="str">
        <f>HYPERLINK("http://dx.doi.org/10.3390/agriculture12070903","http://dx.doi.org/10.3390/agriculture12070903")</f>
        <v>http://dx.doi.org/10.3390/agriculture12070903</v>
      </c>
    </row>
    <row r="391" spans="1:13" x14ac:dyDescent="0.2">
      <c r="A391" t="s">
        <v>13</v>
      </c>
      <c r="B391" t="s">
        <v>1048</v>
      </c>
      <c r="C391" t="s">
        <v>1049</v>
      </c>
      <c r="D391" t="s">
        <v>1050</v>
      </c>
      <c r="E391" t="s">
        <v>104</v>
      </c>
      <c r="F391" t="s">
        <v>105</v>
      </c>
      <c r="G391">
        <v>2022</v>
      </c>
      <c r="H391">
        <v>215</v>
      </c>
      <c r="I391" t="s">
        <v>15</v>
      </c>
      <c r="J391">
        <v>129</v>
      </c>
      <c r="K391">
        <v>142</v>
      </c>
      <c r="L391" t="s">
        <v>1051</v>
      </c>
      <c r="M391" t="str">
        <f>HYPERLINK("http://dx.doi.org/10.1016/j.biosystemseng.2021.12.020","http://dx.doi.org/10.1016/j.biosystemseng.2021.12.020")</f>
        <v>http://dx.doi.org/10.1016/j.biosystemseng.2021.12.020</v>
      </c>
    </row>
    <row r="392" spans="1:13" x14ac:dyDescent="0.2">
      <c r="A392" t="s">
        <v>13</v>
      </c>
      <c r="B392" t="s">
        <v>1070</v>
      </c>
      <c r="C392" t="s">
        <v>1071</v>
      </c>
      <c r="D392" t="s">
        <v>1072</v>
      </c>
      <c r="E392" t="s">
        <v>990</v>
      </c>
      <c r="F392" t="s">
        <v>991</v>
      </c>
      <c r="G392">
        <v>2022</v>
      </c>
      <c r="H392">
        <v>13</v>
      </c>
      <c r="I392" t="s">
        <v>15</v>
      </c>
      <c r="J392" t="s">
        <v>15</v>
      </c>
      <c r="K392" t="s">
        <v>15</v>
      </c>
      <c r="L392" t="s">
        <v>1073</v>
      </c>
      <c r="M392" t="str">
        <f>HYPERLINK("http://dx.doi.org/10.3389/fpls.2022.966596","http://dx.doi.org/10.3389/fpls.2022.966596")</f>
        <v>http://dx.doi.org/10.3389/fpls.2022.966596</v>
      </c>
    </row>
    <row r="393" spans="1:13" x14ac:dyDescent="0.2">
      <c r="A393" t="s">
        <v>13</v>
      </c>
      <c r="B393" t="s">
        <v>1085</v>
      </c>
      <c r="C393" t="s">
        <v>1086</v>
      </c>
      <c r="D393" t="s">
        <v>1087</v>
      </c>
      <c r="E393" t="s">
        <v>1088</v>
      </c>
      <c r="F393" t="s">
        <v>15</v>
      </c>
      <c r="G393">
        <v>2022</v>
      </c>
      <c r="H393">
        <v>12</v>
      </c>
      <c r="I393">
        <v>6</v>
      </c>
      <c r="J393" t="s">
        <v>15</v>
      </c>
      <c r="K393" t="s">
        <v>15</v>
      </c>
      <c r="L393" t="s">
        <v>1089</v>
      </c>
      <c r="M393" t="str">
        <f>HYPERLINK("http://dx.doi.org/10.3390/agronomy12061374","http://dx.doi.org/10.3390/agronomy12061374")</f>
        <v>http://dx.doi.org/10.3390/agronomy12061374</v>
      </c>
    </row>
    <row r="394" spans="1:13" x14ac:dyDescent="0.2">
      <c r="A394" t="s">
        <v>13</v>
      </c>
      <c r="B394" t="s">
        <v>1096</v>
      </c>
      <c r="C394" t="s">
        <v>1097</v>
      </c>
      <c r="D394" t="s">
        <v>1098</v>
      </c>
      <c r="E394" t="s">
        <v>104</v>
      </c>
      <c r="F394" t="s">
        <v>105</v>
      </c>
      <c r="G394">
        <v>2022</v>
      </c>
      <c r="H394">
        <v>224</v>
      </c>
      <c r="I394" t="s">
        <v>15</v>
      </c>
      <c r="J394">
        <v>1</v>
      </c>
      <c r="K394">
        <v>15</v>
      </c>
      <c r="L394" t="s">
        <v>1099</v>
      </c>
      <c r="M394" t="str">
        <f>HYPERLINK("http://dx.doi.org/10.1016/j.biosystemseng.2022.09.009","http://dx.doi.org/10.1016/j.biosystemseng.2022.09.009")</f>
        <v>http://dx.doi.org/10.1016/j.biosystemseng.2022.09.009</v>
      </c>
    </row>
    <row r="395" spans="1:13" x14ac:dyDescent="0.2">
      <c r="A395" t="s">
        <v>13</v>
      </c>
      <c r="B395" t="s">
        <v>1216</v>
      </c>
      <c r="C395" t="s">
        <v>1217</v>
      </c>
      <c r="D395" t="s">
        <v>1218</v>
      </c>
      <c r="E395" t="s">
        <v>1219</v>
      </c>
      <c r="F395" t="s">
        <v>1220</v>
      </c>
      <c r="G395">
        <v>2022</v>
      </c>
      <c r="H395">
        <v>663</v>
      </c>
      <c r="I395" t="s">
        <v>15</v>
      </c>
      <c r="J395" t="s">
        <v>15</v>
      </c>
      <c r="K395" t="s">
        <v>15</v>
      </c>
      <c r="L395" t="s">
        <v>1221</v>
      </c>
      <c r="M395" t="str">
        <f>HYPERLINK("http://dx.doi.org/10.1051/0004-6361/202243099","http://dx.doi.org/10.1051/0004-6361/202243099")</f>
        <v>http://dx.doi.org/10.1051/0004-6361/202243099</v>
      </c>
    </row>
    <row r="396" spans="1:13" x14ac:dyDescent="0.2">
      <c r="A396" t="s">
        <v>13</v>
      </c>
      <c r="B396" t="s">
        <v>793</v>
      </c>
      <c r="C396" t="s">
        <v>1491</v>
      </c>
      <c r="D396" t="s">
        <v>1492</v>
      </c>
      <c r="E396" t="s">
        <v>104</v>
      </c>
      <c r="F396" t="s">
        <v>105</v>
      </c>
      <c r="G396">
        <v>2022</v>
      </c>
      <c r="H396">
        <v>221</v>
      </c>
      <c r="I396" t="s">
        <v>15</v>
      </c>
      <c r="J396">
        <v>236</v>
      </c>
      <c r="K396">
        <v>257</v>
      </c>
      <c r="L396" t="s">
        <v>1493</v>
      </c>
      <c r="M396" t="str">
        <f>HYPERLINK("http://dx.doi.org/10.1016/j.biosystemseng.2022.06.011","http://dx.doi.org/10.1016/j.biosystemseng.2022.06.011")</f>
        <v>http://dx.doi.org/10.1016/j.biosystemseng.2022.06.011</v>
      </c>
    </row>
    <row r="397" spans="1:13" x14ac:dyDescent="0.2">
      <c r="A397" t="s">
        <v>13</v>
      </c>
      <c r="B397" t="s">
        <v>1531</v>
      </c>
      <c r="C397" t="s">
        <v>1532</v>
      </c>
      <c r="D397" t="s">
        <v>1533</v>
      </c>
      <c r="E397" t="s">
        <v>104</v>
      </c>
      <c r="F397" t="s">
        <v>105</v>
      </c>
      <c r="G397">
        <v>2022</v>
      </c>
      <c r="H397">
        <v>214</v>
      </c>
      <c r="I397" t="s">
        <v>15</v>
      </c>
      <c r="J397">
        <v>207</v>
      </c>
      <c r="K397">
        <v>229</v>
      </c>
      <c r="L397" t="s">
        <v>1534</v>
      </c>
      <c r="M397" t="str">
        <f>HYPERLINK("http://dx.doi.org/10.1016/j.biosystemseng.2021.12.014","http://dx.doi.org/10.1016/j.biosystemseng.2021.12.014")</f>
        <v>http://dx.doi.org/10.1016/j.biosystemseng.2021.12.014</v>
      </c>
    </row>
    <row r="398" spans="1:13" x14ac:dyDescent="0.2">
      <c r="A398" t="s">
        <v>13</v>
      </c>
      <c r="B398" t="s">
        <v>793</v>
      </c>
      <c r="C398" t="s">
        <v>1491</v>
      </c>
      <c r="D398" t="s">
        <v>1611</v>
      </c>
      <c r="E398" t="s">
        <v>104</v>
      </c>
      <c r="F398" t="s">
        <v>105</v>
      </c>
      <c r="G398">
        <v>2022</v>
      </c>
      <c r="H398">
        <v>224</v>
      </c>
      <c r="I398" t="s">
        <v>15</v>
      </c>
      <c r="J398">
        <v>213</v>
      </c>
      <c r="K398">
        <v>225</v>
      </c>
      <c r="L398" t="s">
        <v>1612</v>
      </c>
      <c r="M398" t="str">
        <f>HYPERLINK("http://dx.doi.org/10.1016/j.biosystemseng.2022.09.007","http://dx.doi.org/10.1016/j.biosystemseng.2022.09.007")</f>
        <v>http://dx.doi.org/10.1016/j.biosystemseng.2022.09.007</v>
      </c>
    </row>
    <row r="399" spans="1:13" x14ac:dyDescent="0.2">
      <c r="A399" t="s">
        <v>13</v>
      </c>
      <c r="B399" t="s">
        <v>1718</v>
      </c>
      <c r="C399" t="s">
        <v>1719</v>
      </c>
      <c r="D399" t="s">
        <v>1720</v>
      </c>
      <c r="E399" t="s">
        <v>472</v>
      </c>
      <c r="F399" t="s">
        <v>473</v>
      </c>
      <c r="G399">
        <v>2022</v>
      </c>
      <c r="H399">
        <v>320</v>
      </c>
      <c r="I399" t="s">
        <v>15</v>
      </c>
      <c r="J399" t="s">
        <v>15</v>
      </c>
      <c r="K399" t="s">
        <v>15</v>
      </c>
      <c r="L399" t="s">
        <v>1721</v>
      </c>
      <c r="M399" t="str">
        <f>HYPERLINK("http://dx.doi.org/10.1016/j.apenergy.2022.119334","http://dx.doi.org/10.1016/j.apenergy.2022.119334")</f>
        <v>http://dx.doi.org/10.1016/j.apenergy.2022.119334</v>
      </c>
    </row>
    <row r="400" spans="1:13" x14ac:dyDescent="0.2">
      <c r="A400" t="s">
        <v>13</v>
      </c>
      <c r="B400" t="s">
        <v>1666</v>
      </c>
      <c r="C400" t="s">
        <v>1667</v>
      </c>
      <c r="D400" t="s">
        <v>1732</v>
      </c>
      <c r="E400" t="s">
        <v>1733</v>
      </c>
      <c r="F400" t="s">
        <v>1734</v>
      </c>
      <c r="G400">
        <v>2022</v>
      </c>
      <c r="H400">
        <v>30</v>
      </c>
      <c r="I400">
        <v>3</v>
      </c>
      <c r="J400">
        <v>1186</v>
      </c>
      <c r="K400">
        <v>1197</v>
      </c>
      <c r="L400" t="s">
        <v>1735</v>
      </c>
      <c r="M400" t="str">
        <f>HYPERLINK("http://dx.doi.org/10.1109/TCST.2021.3094999","http://dx.doi.org/10.1109/TCST.2021.3094999")</f>
        <v>http://dx.doi.org/10.1109/TCST.2021.3094999</v>
      </c>
    </row>
    <row r="401" spans="1:13" x14ac:dyDescent="0.2">
      <c r="A401" t="s">
        <v>13</v>
      </c>
      <c r="B401" t="s">
        <v>1767</v>
      </c>
      <c r="C401" t="s">
        <v>1768</v>
      </c>
      <c r="D401" t="s">
        <v>1769</v>
      </c>
      <c r="E401" t="s">
        <v>1088</v>
      </c>
      <c r="F401" t="s">
        <v>15</v>
      </c>
      <c r="G401">
        <v>2022</v>
      </c>
      <c r="H401">
        <v>12</v>
      </c>
      <c r="I401">
        <v>12</v>
      </c>
      <c r="J401" t="s">
        <v>15</v>
      </c>
      <c r="K401" t="s">
        <v>15</v>
      </c>
      <c r="L401" t="s">
        <v>1770</v>
      </c>
      <c r="M401" t="str">
        <f>HYPERLINK("http://dx.doi.org/10.3390/agronomy12122988","http://dx.doi.org/10.3390/agronomy12122988")</f>
        <v>http://dx.doi.org/10.3390/agronomy12122988</v>
      </c>
    </row>
    <row r="402" spans="1:13" x14ac:dyDescent="0.2">
      <c r="A402" t="s">
        <v>13</v>
      </c>
      <c r="B402" t="s">
        <v>290</v>
      </c>
      <c r="C402" t="s">
        <v>291</v>
      </c>
      <c r="D402" t="s">
        <v>292</v>
      </c>
      <c r="E402" t="s">
        <v>239</v>
      </c>
      <c r="F402" t="s">
        <v>15</v>
      </c>
      <c r="G402">
        <v>2023</v>
      </c>
      <c r="H402">
        <v>16</v>
      </c>
      <c r="I402">
        <v>3</v>
      </c>
      <c r="J402" t="s">
        <v>15</v>
      </c>
      <c r="K402" t="s">
        <v>15</v>
      </c>
      <c r="L402" t="s">
        <v>293</v>
      </c>
      <c r="M402" t="str">
        <f>HYPERLINK("http://dx.doi.org/10.3390/en16031331","http://dx.doi.org/10.3390/en16031331")</f>
        <v>http://dx.doi.org/10.3390/en16031331</v>
      </c>
    </row>
    <row r="403" spans="1:13" x14ac:dyDescent="0.2">
      <c r="A403" t="s">
        <v>13</v>
      </c>
      <c r="B403" t="s">
        <v>870</v>
      </c>
      <c r="C403" t="s">
        <v>871</v>
      </c>
      <c r="D403" t="s">
        <v>872</v>
      </c>
      <c r="E403" t="s">
        <v>73</v>
      </c>
      <c r="F403" t="s">
        <v>74</v>
      </c>
      <c r="G403">
        <v>2023</v>
      </c>
      <c r="H403">
        <v>249</v>
      </c>
      <c r="I403" t="s">
        <v>15</v>
      </c>
      <c r="J403">
        <v>312</v>
      </c>
      <c r="K403">
        <v>326</v>
      </c>
      <c r="L403" t="s">
        <v>873</v>
      </c>
      <c r="M403" t="str">
        <f>HYPERLINK("http://dx.doi.org/10.1016/j.solener.2022.11.030","http://dx.doi.org/10.1016/j.solener.2022.11.030")</f>
        <v>http://dx.doi.org/10.1016/j.solener.2022.11.030</v>
      </c>
    </row>
    <row r="404" spans="1:13" x14ac:dyDescent="0.2">
      <c r="A404" t="s">
        <v>13</v>
      </c>
      <c r="B404" t="s">
        <v>884</v>
      </c>
      <c r="C404" t="s">
        <v>885</v>
      </c>
      <c r="D404" t="s">
        <v>886</v>
      </c>
      <c r="E404" t="s">
        <v>887</v>
      </c>
      <c r="F404" t="s">
        <v>15</v>
      </c>
      <c r="G404">
        <v>2023</v>
      </c>
      <c r="H404">
        <v>6</v>
      </c>
      <c r="I404" t="s">
        <v>15</v>
      </c>
      <c r="J404" t="s">
        <v>15</v>
      </c>
      <c r="K404" t="s">
        <v>15</v>
      </c>
      <c r="L404" t="s">
        <v>888</v>
      </c>
      <c r="M404" t="str">
        <f>HYPERLINK("http://dx.doi.org/10.3389/ffgc.2023.1148221","http://dx.doi.org/10.3389/ffgc.2023.1148221")</f>
        <v>http://dx.doi.org/10.3389/ffgc.2023.1148221</v>
      </c>
    </row>
    <row r="405" spans="1:13" x14ac:dyDescent="0.2">
      <c r="A405" t="s">
        <v>13</v>
      </c>
      <c r="B405" t="s">
        <v>893</v>
      </c>
      <c r="C405" t="s">
        <v>894</v>
      </c>
      <c r="D405" t="s">
        <v>895</v>
      </c>
      <c r="E405" t="s">
        <v>351</v>
      </c>
      <c r="F405" t="s">
        <v>15</v>
      </c>
      <c r="G405">
        <v>2023</v>
      </c>
      <c r="H405">
        <v>13</v>
      </c>
      <c r="I405">
        <v>1</v>
      </c>
      <c r="J405" t="s">
        <v>15</v>
      </c>
      <c r="K405" t="s">
        <v>15</v>
      </c>
      <c r="L405" t="s">
        <v>896</v>
      </c>
      <c r="M405" t="str">
        <f>HYPERLINK("http://dx.doi.org/10.3390/agriculture13010141","http://dx.doi.org/10.3390/agriculture13010141")</f>
        <v>http://dx.doi.org/10.3390/agriculture13010141</v>
      </c>
    </row>
    <row r="406" spans="1:13" x14ac:dyDescent="0.2">
      <c r="A406" t="s">
        <v>13</v>
      </c>
      <c r="B406" t="s">
        <v>1195</v>
      </c>
      <c r="C406" t="s">
        <v>1196</v>
      </c>
      <c r="D406" t="s">
        <v>1197</v>
      </c>
      <c r="E406" t="s">
        <v>1198</v>
      </c>
      <c r="F406" t="s">
        <v>1199</v>
      </c>
      <c r="G406">
        <v>2023</v>
      </c>
      <c r="H406">
        <v>11</v>
      </c>
      <c r="I406">
        <v>1</v>
      </c>
      <c r="J406" t="s">
        <v>15</v>
      </c>
      <c r="K406" t="s">
        <v>15</v>
      </c>
      <c r="L406" t="s">
        <v>1200</v>
      </c>
      <c r="M406" t="str">
        <f>HYPERLINK("http://dx.doi.org/10.1186/s40517-023-00246-6","http://dx.doi.org/10.1186/s40517-023-00246-6")</f>
        <v>http://dx.doi.org/10.1186/s40517-023-00246-6</v>
      </c>
    </row>
    <row r="407" spans="1:13" x14ac:dyDescent="0.2">
      <c r="A407" t="s">
        <v>13</v>
      </c>
      <c r="B407" t="s">
        <v>1349</v>
      </c>
      <c r="C407" t="s">
        <v>1350</v>
      </c>
      <c r="D407" t="s">
        <v>1351</v>
      </c>
      <c r="E407" t="s">
        <v>1352</v>
      </c>
      <c r="F407" t="s">
        <v>1353</v>
      </c>
      <c r="G407">
        <v>2023</v>
      </c>
      <c r="H407">
        <v>45</v>
      </c>
      <c r="I407">
        <v>1</v>
      </c>
      <c r="J407">
        <v>20</v>
      </c>
      <c r="K407">
        <v>30</v>
      </c>
      <c r="L407" t="s">
        <v>1354</v>
      </c>
      <c r="M407" t="str">
        <f>HYPERLINK("http://dx.doi.org/10.17503/agrivita.v45i1.3745","http://dx.doi.org/10.17503/agrivita.v45i1.3745")</f>
        <v>http://dx.doi.org/10.17503/agrivita.v45i1.3745</v>
      </c>
    </row>
    <row r="408" spans="1:13" x14ac:dyDescent="0.2">
      <c r="A408" t="s">
        <v>13</v>
      </c>
      <c r="B408" t="s">
        <v>1403</v>
      </c>
      <c r="C408" t="s">
        <v>1404</v>
      </c>
      <c r="D408" t="s">
        <v>1405</v>
      </c>
      <c r="E408" t="s">
        <v>239</v>
      </c>
      <c r="F408" t="s">
        <v>15</v>
      </c>
      <c r="G408">
        <v>2023</v>
      </c>
      <c r="H408">
        <v>16</v>
      </c>
      <c r="I408">
        <v>9</v>
      </c>
      <c r="J408" t="s">
        <v>15</v>
      </c>
      <c r="K408" t="s">
        <v>15</v>
      </c>
      <c r="L408" t="s">
        <v>1406</v>
      </c>
      <c r="M408" t="str">
        <f>HYPERLINK("http://dx.doi.org/10.3390/en16093931","http://dx.doi.org/10.3390/en16093931")</f>
        <v>http://dx.doi.org/10.3390/en16093931</v>
      </c>
    </row>
    <row r="409" spans="1:13" x14ac:dyDescent="0.2">
      <c r="A409" t="s">
        <v>13</v>
      </c>
      <c r="B409" t="s">
        <v>1452</v>
      </c>
      <c r="C409" t="s">
        <v>1453</v>
      </c>
      <c r="D409" t="s">
        <v>1454</v>
      </c>
      <c r="E409" t="s">
        <v>1088</v>
      </c>
      <c r="F409" t="s">
        <v>15</v>
      </c>
      <c r="G409">
        <v>2023</v>
      </c>
      <c r="H409">
        <v>13</v>
      </c>
      <c r="I409">
        <v>1</v>
      </c>
      <c r="J409" t="s">
        <v>15</v>
      </c>
      <c r="K409" t="s">
        <v>15</v>
      </c>
      <c r="L409" t="s">
        <v>1455</v>
      </c>
      <c r="M409" t="str">
        <f>HYPERLINK("http://dx.doi.org/10.3390/agronomy13010102","http://dx.doi.org/10.3390/agronomy13010102")</f>
        <v>http://dx.doi.org/10.3390/agronomy13010102</v>
      </c>
    </row>
    <row r="410" spans="1:13" x14ac:dyDescent="0.2">
      <c r="A410" t="s">
        <v>13</v>
      </c>
      <c r="B410" t="s">
        <v>1477</v>
      </c>
      <c r="C410" t="s">
        <v>1478</v>
      </c>
      <c r="D410" t="s">
        <v>1479</v>
      </c>
      <c r="E410" t="s">
        <v>239</v>
      </c>
      <c r="F410" t="s">
        <v>15</v>
      </c>
      <c r="G410">
        <v>2023</v>
      </c>
      <c r="H410">
        <v>16</v>
      </c>
      <c r="I410">
        <v>9</v>
      </c>
      <c r="J410" t="s">
        <v>15</v>
      </c>
      <c r="K410" t="s">
        <v>15</v>
      </c>
      <c r="L410" t="s">
        <v>1480</v>
      </c>
      <c r="M410" t="str">
        <f>HYPERLINK("http://dx.doi.org/10.3390/en16093925","http://dx.doi.org/10.3390/en16093925")</f>
        <v>http://dx.doi.org/10.3390/en16093925</v>
      </c>
    </row>
    <row r="411" spans="1:13" x14ac:dyDescent="0.2">
      <c r="A411" t="s">
        <v>13</v>
      </c>
      <c r="B411" t="s">
        <v>1623</v>
      </c>
      <c r="C411" t="s">
        <v>1624</v>
      </c>
      <c r="D411" t="s">
        <v>1625</v>
      </c>
      <c r="E411" t="s">
        <v>1088</v>
      </c>
      <c r="F411" t="s">
        <v>15</v>
      </c>
      <c r="G411">
        <v>2023</v>
      </c>
      <c r="H411">
        <v>13</v>
      </c>
      <c r="I411">
        <v>3</v>
      </c>
      <c r="J411" t="s">
        <v>15</v>
      </c>
      <c r="K411" t="s">
        <v>15</v>
      </c>
      <c r="L411" t="s">
        <v>1626</v>
      </c>
      <c r="M411" t="str">
        <f>HYPERLINK("http://dx.doi.org/10.3390/agronomy13030821","http://dx.doi.org/10.3390/agronomy13030821")</f>
        <v>http://dx.doi.org/10.3390/agronomy13030821</v>
      </c>
    </row>
  </sheetData>
  <pageMargins left="0.75" right="0.75" top="1" bottom="1" header="0.5" footer="0.5"/>
  <pageSetup orientation="portrait" horizontalDpi="300" verticalDpi="300"/>
  <headerFooter alignWithMargins="0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savedrecs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Katzin, David</cp:lastModifiedBy>
  <dcterms:created xsi:type="dcterms:W3CDTF">2023-06-09T13:46:48Z</dcterms:created>
  <dcterms:modified xsi:type="dcterms:W3CDTF">2023-06-19T16:17:28Z</dcterms:modified>
</cp:coreProperties>
</file>