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-my.sharepoint.com/personal/anativio_tudelft_nl/Documents/Files_Arianna/PhD_thesis/data_repository/Quantitative_RA/Human_health_risk/"/>
    </mc:Choice>
  </mc:AlternateContent>
  <xr:revisionPtr revIDLastSave="948" documentId="8_{C692E435-7C1F-744D-99D0-A13F23593EB4}" xr6:coauthVersionLast="47" xr6:coauthVersionMax="47" xr10:uidLastSave="{A361F0BC-9215-8347-BE47-748CF97C27BA}"/>
  <bookViews>
    <workbookView xWindow="120" yWindow="600" windowWidth="28640" windowHeight="16920" activeTab="3" xr2:uid="{4ED8FBDC-E48A-BA46-BC6E-6AC94B51D28D}"/>
  </bookViews>
  <sheets>
    <sheet name="input_lab" sheetId="1" r:id="rId1"/>
    <sheet name="Furfuryl_Alchol" sheetId="4" r:id="rId2"/>
    <sheet name="No_cancer_risk" sheetId="3" r:id="rId3"/>
    <sheet name="Cancer_risk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0" i="6" l="1"/>
  <c r="Q39" i="6"/>
  <c r="Q36" i="6"/>
  <c r="Q28" i="6"/>
  <c r="Q27" i="6"/>
  <c r="Q7" i="6"/>
  <c r="Q31" i="6"/>
  <c r="AN18" i="3"/>
  <c r="R39" i="3"/>
  <c r="R38" i="3"/>
  <c r="R37" i="3"/>
  <c r="R36" i="3"/>
  <c r="R35" i="3"/>
  <c r="R34" i="3"/>
  <c r="R33" i="3"/>
  <c r="R32" i="3"/>
  <c r="R31" i="3"/>
  <c r="R30" i="3"/>
  <c r="R28" i="3"/>
  <c r="R27" i="3"/>
  <c r="R26" i="3"/>
  <c r="R25" i="3"/>
  <c r="R24" i="3"/>
  <c r="R23" i="3"/>
  <c r="R22" i="3"/>
  <c r="N21" i="3"/>
  <c r="R21" i="3" s="1"/>
  <c r="R20" i="3"/>
  <c r="R19" i="3"/>
  <c r="P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C63" i="6" l="1"/>
  <c r="C66" i="6" s="1"/>
  <c r="M40" i="6" s="1"/>
  <c r="C59" i="6"/>
  <c r="C58" i="6"/>
  <c r="C57" i="6"/>
  <c r="C54" i="6"/>
  <c r="C52" i="6"/>
  <c r="C50" i="6"/>
  <c r="C45" i="6"/>
  <c r="M38" i="6"/>
  <c r="L38" i="6"/>
  <c r="K38" i="6"/>
  <c r="J38" i="6"/>
  <c r="M37" i="6"/>
  <c r="L37" i="6"/>
  <c r="K37" i="6"/>
  <c r="J37" i="6"/>
  <c r="M36" i="6"/>
  <c r="L36" i="6"/>
  <c r="K36" i="6"/>
  <c r="J36" i="6"/>
  <c r="M35" i="6"/>
  <c r="L35" i="6"/>
  <c r="K35" i="6"/>
  <c r="J35" i="6"/>
  <c r="M34" i="6"/>
  <c r="L34" i="6"/>
  <c r="K34" i="6"/>
  <c r="J34" i="6"/>
  <c r="M33" i="6"/>
  <c r="L33" i="6"/>
  <c r="K33" i="6"/>
  <c r="J33" i="6"/>
  <c r="M32" i="6"/>
  <c r="L32" i="6"/>
  <c r="K32" i="6"/>
  <c r="J32" i="6"/>
  <c r="M31" i="6"/>
  <c r="L31" i="6"/>
  <c r="K31" i="6"/>
  <c r="J31" i="6"/>
  <c r="M30" i="6"/>
  <c r="L30" i="6"/>
  <c r="K30" i="6"/>
  <c r="J30" i="6"/>
  <c r="M29" i="6"/>
  <c r="L29" i="6"/>
  <c r="K29" i="6"/>
  <c r="J29" i="6"/>
  <c r="M28" i="6"/>
  <c r="L28" i="6"/>
  <c r="K28" i="6"/>
  <c r="J28" i="6"/>
  <c r="M27" i="6"/>
  <c r="L27" i="6"/>
  <c r="K27" i="6"/>
  <c r="J27" i="6"/>
  <c r="M26" i="6"/>
  <c r="L26" i="6"/>
  <c r="K26" i="6"/>
  <c r="J26" i="6"/>
  <c r="M25" i="6"/>
  <c r="L25" i="6"/>
  <c r="K25" i="6"/>
  <c r="J25" i="6"/>
  <c r="M24" i="6"/>
  <c r="L24" i="6"/>
  <c r="K24" i="6"/>
  <c r="J24" i="6"/>
  <c r="M23" i="6"/>
  <c r="L23" i="6"/>
  <c r="K23" i="6"/>
  <c r="J23" i="6"/>
  <c r="M22" i="6"/>
  <c r="L22" i="6"/>
  <c r="K22" i="6"/>
  <c r="J22" i="6"/>
  <c r="M21" i="6"/>
  <c r="L21" i="6"/>
  <c r="K21" i="6"/>
  <c r="J21" i="6"/>
  <c r="M20" i="6"/>
  <c r="L20" i="6"/>
  <c r="K20" i="6"/>
  <c r="J20" i="6"/>
  <c r="M19" i="6"/>
  <c r="L19" i="6"/>
  <c r="K19" i="6"/>
  <c r="J19" i="6"/>
  <c r="M18" i="6"/>
  <c r="L18" i="6"/>
  <c r="K18" i="6"/>
  <c r="J18" i="6"/>
  <c r="M17" i="6"/>
  <c r="L17" i="6"/>
  <c r="K17" i="6"/>
  <c r="J17" i="6"/>
  <c r="M16" i="6"/>
  <c r="L16" i="6"/>
  <c r="K16" i="6"/>
  <c r="J16" i="6"/>
  <c r="M15" i="6"/>
  <c r="L15" i="6"/>
  <c r="K15" i="6"/>
  <c r="J15" i="6"/>
  <c r="M14" i="6"/>
  <c r="L14" i="6"/>
  <c r="K14" i="6"/>
  <c r="J14" i="6"/>
  <c r="M13" i="6"/>
  <c r="L13" i="6"/>
  <c r="K13" i="6"/>
  <c r="J13" i="6"/>
  <c r="M12" i="6"/>
  <c r="L12" i="6"/>
  <c r="K12" i="6"/>
  <c r="J12" i="6"/>
  <c r="M11" i="6"/>
  <c r="L11" i="6"/>
  <c r="K11" i="6"/>
  <c r="J11" i="6"/>
  <c r="M10" i="6"/>
  <c r="L10" i="6"/>
  <c r="K10" i="6"/>
  <c r="J10" i="6"/>
  <c r="M9" i="6"/>
  <c r="L9" i="6"/>
  <c r="K9" i="6"/>
  <c r="J9" i="6"/>
  <c r="M8" i="6"/>
  <c r="L8" i="6"/>
  <c r="K8" i="6"/>
  <c r="J8" i="6"/>
  <c r="M7" i="6"/>
  <c r="L7" i="6"/>
  <c r="K7" i="6"/>
  <c r="J7" i="6"/>
  <c r="M6" i="6"/>
  <c r="L6" i="6"/>
  <c r="K6" i="6"/>
  <c r="J6" i="6"/>
  <c r="M5" i="6"/>
  <c r="L5" i="6"/>
  <c r="K5" i="6"/>
  <c r="J5" i="6"/>
  <c r="M4" i="6"/>
  <c r="L4" i="6"/>
  <c r="K4" i="6"/>
  <c r="J4" i="6"/>
  <c r="B3" i="4"/>
  <c r="L3" i="4"/>
  <c r="B4" i="4"/>
  <c r="B6" i="4"/>
  <c r="B12" i="4"/>
  <c r="B13" i="4"/>
  <c r="B24" i="4"/>
  <c r="J24" i="4" s="1"/>
  <c r="B25" i="4"/>
  <c r="B32" i="4"/>
  <c r="B33" i="4"/>
  <c r="B34" i="4"/>
  <c r="F33" i="4" s="1"/>
  <c r="F38" i="4"/>
  <c r="B39" i="4"/>
  <c r="B40" i="4"/>
  <c r="B47" i="4"/>
  <c r="D47" i="4"/>
  <c r="F47" i="4" s="1"/>
  <c r="B49" i="4"/>
  <c r="F49" i="4" s="1"/>
  <c r="BJ7" i="3"/>
  <c r="BJ12" i="3"/>
  <c r="BJ34" i="3"/>
  <c r="BJ35" i="3"/>
  <c r="BJ37" i="3"/>
  <c r="BJ9" i="3"/>
  <c r="BJ18" i="3"/>
  <c r="BJ33" i="3"/>
  <c r="AY7" i="3"/>
  <c r="AY9" i="3"/>
  <c r="AY12" i="3"/>
  <c r="AY18" i="3"/>
  <c r="AY34" i="3"/>
  <c r="AY35" i="3"/>
  <c r="AY37" i="3"/>
  <c r="AY33" i="3"/>
  <c r="AR15" i="3"/>
  <c r="AP35" i="3"/>
  <c r="AN7" i="3"/>
  <c r="AN9" i="3"/>
  <c r="AN12" i="3"/>
  <c r="AN34" i="3"/>
  <c r="AN35" i="3"/>
  <c r="AN37" i="3"/>
  <c r="AN33" i="3"/>
  <c r="AG13" i="3"/>
  <c r="AG18" i="3"/>
  <c r="AI18" i="3" s="1"/>
  <c r="AG37" i="3"/>
  <c r="AE27" i="3"/>
  <c r="AC7" i="3"/>
  <c r="AC12" i="3"/>
  <c r="AC18" i="3"/>
  <c r="AC33" i="3"/>
  <c r="AC34" i="3"/>
  <c r="AC35" i="3"/>
  <c r="AC37" i="3"/>
  <c r="AC9" i="3"/>
  <c r="V5" i="3"/>
  <c r="X5" i="3" s="1"/>
  <c r="V13" i="3"/>
  <c r="V14" i="3"/>
  <c r="V18" i="3"/>
  <c r="V21" i="3"/>
  <c r="V22" i="3"/>
  <c r="V24" i="3"/>
  <c r="X24" i="3" s="1"/>
  <c r="V27" i="3"/>
  <c r="V30" i="3"/>
  <c r="X30" i="3" s="1"/>
  <c r="V40" i="3"/>
  <c r="U13" i="3"/>
  <c r="W13" i="3" s="1"/>
  <c r="U36" i="3"/>
  <c r="W36" i="3" s="1"/>
  <c r="T22" i="3"/>
  <c r="T40" i="3"/>
  <c r="S13" i="3"/>
  <c r="Z13" i="3" s="1"/>
  <c r="S14" i="3"/>
  <c r="Z14" i="3" s="1"/>
  <c r="S15" i="3"/>
  <c r="Z15" i="3" s="1"/>
  <c r="S29" i="3"/>
  <c r="Z29" i="3" s="1"/>
  <c r="AC29" i="3" s="1"/>
  <c r="S30" i="3"/>
  <c r="Z30" i="3" s="1"/>
  <c r="S31" i="3"/>
  <c r="Z31" i="3" s="1"/>
  <c r="R40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4" i="3"/>
  <c r="K5" i="3"/>
  <c r="AG5" i="3" s="1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AG21" i="3" s="1"/>
  <c r="K22" i="3"/>
  <c r="K23" i="3"/>
  <c r="K24" i="3"/>
  <c r="K25" i="3"/>
  <c r="K26" i="3"/>
  <c r="AE26" i="3" s="1"/>
  <c r="K27" i="3"/>
  <c r="K28" i="3"/>
  <c r="K29" i="3"/>
  <c r="K30" i="3"/>
  <c r="K31" i="3"/>
  <c r="K32" i="3"/>
  <c r="K33" i="3"/>
  <c r="K34" i="3"/>
  <c r="K35" i="3"/>
  <c r="AD35" i="3" s="1"/>
  <c r="K36" i="3"/>
  <c r="K37" i="3"/>
  <c r="K38" i="3"/>
  <c r="K4" i="3"/>
  <c r="J5" i="3"/>
  <c r="T5" i="3" s="1"/>
  <c r="J6" i="3"/>
  <c r="V6" i="3" s="1"/>
  <c r="X6" i="3" s="1"/>
  <c r="J7" i="3"/>
  <c r="T7" i="3" s="1"/>
  <c r="J8" i="3"/>
  <c r="T8" i="3" s="1"/>
  <c r="J9" i="3"/>
  <c r="J10" i="3"/>
  <c r="J11" i="3"/>
  <c r="J12" i="3"/>
  <c r="U12" i="3" s="1"/>
  <c r="W12" i="3" s="1"/>
  <c r="J13" i="3"/>
  <c r="T13" i="3" s="1"/>
  <c r="J14" i="3"/>
  <c r="U14" i="3" s="1"/>
  <c r="W14" i="3" s="1"/>
  <c r="J15" i="3"/>
  <c r="J16" i="3"/>
  <c r="J17" i="3"/>
  <c r="J18" i="3"/>
  <c r="J19" i="3"/>
  <c r="V19" i="3" s="1"/>
  <c r="J20" i="3"/>
  <c r="J21" i="3"/>
  <c r="T21" i="3" s="1"/>
  <c r="J22" i="3"/>
  <c r="U22" i="3" s="1"/>
  <c r="W22" i="3" s="1"/>
  <c r="J23" i="3"/>
  <c r="S23" i="3" s="1"/>
  <c r="Z23" i="3" s="1"/>
  <c r="AC23" i="3" s="1"/>
  <c r="J24" i="3"/>
  <c r="J25" i="3"/>
  <c r="J26" i="3"/>
  <c r="V26" i="3" s="1"/>
  <c r="J27" i="3"/>
  <c r="J28" i="3"/>
  <c r="J29" i="3"/>
  <c r="V29" i="3" s="1"/>
  <c r="X29" i="3" s="1"/>
  <c r="J30" i="3"/>
  <c r="U30" i="3" s="1"/>
  <c r="W30" i="3" s="1"/>
  <c r="Y30" i="3" s="1"/>
  <c r="AB30" i="3" s="1"/>
  <c r="J31" i="3"/>
  <c r="T31" i="3" s="1"/>
  <c r="J32" i="3"/>
  <c r="J33" i="3"/>
  <c r="J34" i="3"/>
  <c r="V34" i="3" s="1"/>
  <c r="J35" i="3"/>
  <c r="V35" i="3" s="1"/>
  <c r="X35" i="3" s="1"/>
  <c r="J36" i="3"/>
  <c r="J37" i="3"/>
  <c r="V37" i="3" s="1"/>
  <c r="X37" i="3" s="1"/>
  <c r="J38" i="3"/>
  <c r="U38" i="3" s="1"/>
  <c r="W38" i="3" s="1"/>
  <c r="J4" i="3"/>
  <c r="V4" i="3" s="1"/>
  <c r="X4" i="3" s="1"/>
  <c r="C63" i="3"/>
  <c r="C66" i="3" s="1"/>
  <c r="M40" i="3" s="1"/>
  <c r="C59" i="3"/>
  <c r="C58" i="3"/>
  <c r="C57" i="3"/>
  <c r="U11" i="3" s="1"/>
  <c r="W11" i="3" s="1"/>
  <c r="C54" i="3"/>
  <c r="C52" i="3"/>
  <c r="C50" i="3"/>
  <c r="S40" i="3" s="1"/>
  <c r="Z40" i="3" s="1"/>
  <c r="C45" i="3"/>
  <c r="AD30" i="3" s="1"/>
  <c r="AK30" i="3" s="1"/>
  <c r="T9" i="6" l="1"/>
  <c r="R9" i="6"/>
  <c r="W9" i="6" s="1"/>
  <c r="U9" i="6"/>
  <c r="Y9" i="6" s="1"/>
  <c r="S9" i="6"/>
  <c r="X9" i="6" s="1"/>
  <c r="R13" i="6"/>
  <c r="W13" i="6" s="1"/>
  <c r="Z13" i="6" s="1"/>
  <c r="U13" i="6"/>
  <c r="Y13" i="6" s="1"/>
  <c r="S13" i="6"/>
  <c r="X13" i="6" s="1"/>
  <c r="T13" i="6"/>
  <c r="T17" i="6"/>
  <c r="R17" i="6"/>
  <c r="W17" i="6" s="1"/>
  <c r="U17" i="6"/>
  <c r="Y17" i="6" s="1"/>
  <c r="S17" i="6"/>
  <c r="X17" i="6" s="1"/>
  <c r="R21" i="6"/>
  <c r="W21" i="6" s="1"/>
  <c r="Z21" i="6" s="1"/>
  <c r="U21" i="6"/>
  <c r="Y21" i="6" s="1"/>
  <c r="S21" i="6"/>
  <c r="X21" i="6" s="1"/>
  <c r="T21" i="6"/>
  <c r="T23" i="6"/>
  <c r="R23" i="6"/>
  <c r="W23" i="6" s="1"/>
  <c r="U23" i="6"/>
  <c r="Y23" i="6" s="1"/>
  <c r="S23" i="6"/>
  <c r="X23" i="6" s="1"/>
  <c r="T31" i="6"/>
  <c r="R31" i="6"/>
  <c r="W31" i="6" s="1"/>
  <c r="U31" i="6"/>
  <c r="Y31" i="6" s="1"/>
  <c r="S31" i="6"/>
  <c r="X31" i="6" s="1"/>
  <c r="T16" i="3"/>
  <c r="U35" i="3"/>
  <c r="W35" i="3" s="1"/>
  <c r="Y35" i="3" s="1"/>
  <c r="AI13" i="3"/>
  <c r="AP28" i="3"/>
  <c r="T7" i="6"/>
  <c r="R7" i="6"/>
  <c r="W7" i="6" s="1"/>
  <c r="U7" i="6"/>
  <c r="Y7" i="6" s="1"/>
  <c r="S7" i="6"/>
  <c r="X7" i="6" s="1"/>
  <c r="S11" i="6"/>
  <c r="X11" i="6" s="1"/>
  <c r="T11" i="6"/>
  <c r="V11" i="6" s="1"/>
  <c r="U11" i="6"/>
  <c r="Y11" i="6" s="1"/>
  <c r="R11" i="6"/>
  <c r="W11" i="6" s="1"/>
  <c r="T15" i="6"/>
  <c r="R15" i="6"/>
  <c r="W15" i="6" s="1"/>
  <c r="U15" i="6"/>
  <c r="Y15" i="6" s="1"/>
  <c r="S15" i="6"/>
  <c r="X15" i="6" s="1"/>
  <c r="S19" i="6"/>
  <c r="X19" i="6" s="1"/>
  <c r="T19" i="6"/>
  <c r="V19" i="6" s="1"/>
  <c r="U19" i="6"/>
  <c r="Y19" i="6" s="1"/>
  <c r="R19" i="6"/>
  <c r="W19" i="6" s="1"/>
  <c r="Z19" i="6" s="1"/>
  <c r="T25" i="6"/>
  <c r="R25" i="6"/>
  <c r="W25" i="6" s="1"/>
  <c r="U25" i="6"/>
  <c r="Y25" i="6" s="1"/>
  <c r="S25" i="6"/>
  <c r="X25" i="6" s="1"/>
  <c r="R37" i="6"/>
  <c r="W37" i="6" s="1"/>
  <c r="U37" i="6"/>
  <c r="Y37" i="6" s="1"/>
  <c r="S37" i="6"/>
  <c r="X37" i="6" s="1"/>
  <c r="T37" i="6"/>
  <c r="V28" i="3"/>
  <c r="X28" i="3" s="1"/>
  <c r="T28" i="3"/>
  <c r="S28" i="3"/>
  <c r="Z28" i="3" s="1"/>
  <c r="AD7" i="3"/>
  <c r="AG7" i="3"/>
  <c r="AI7" i="3" s="1"/>
  <c r="AE7" i="3"/>
  <c r="AF7" i="3"/>
  <c r="AH7" i="3" s="1"/>
  <c r="AZ29" i="3"/>
  <c r="BG29" i="3" s="1"/>
  <c r="BJ29" i="3" s="1"/>
  <c r="BC29" i="3"/>
  <c r="BE29" i="3" s="1"/>
  <c r="BA29" i="3"/>
  <c r="BB29" i="3"/>
  <c r="BD29" i="3" s="1"/>
  <c r="BF29" i="3" s="1"/>
  <c r="AZ5" i="3"/>
  <c r="BG5" i="3" s="1"/>
  <c r="BC5" i="3"/>
  <c r="BE5" i="3" s="1"/>
  <c r="BA5" i="3"/>
  <c r="BB5" i="3"/>
  <c r="BD5" i="3" s="1"/>
  <c r="T38" i="3"/>
  <c r="T15" i="3"/>
  <c r="U29" i="3"/>
  <c r="W29" i="3" s="1"/>
  <c r="Y29" i="3" s="1"/>
  <c r="X27" i="3"/>
  <c r="AE8" i="3"/>
  <c r="AT15" i="3"/>
  <c r="S35" i="6"/>
  <c r="X35" i="6" s="1"/>
  <c r="T35" i="6"/>
  <c r="V35" i="6" s="1"/>
  <c r="R35" i="6"/>
  <c r="W35" i="6" s="1"/>
  <c r="Z35" i="6" s="1"/>
  <c r="U35" i="6"/>
  <c r="Y35" i="6" s="1"/>
  <c r="BB39" i="3"/>
  <c r="BD39" i="3" s="1"/>
  <c r="AQ27" i="3"/>
  <c r="AS27" i="3" s="1"/>
  <c r="AF8" i="3"/>
  <c r="AH8" i="3" s="1"/>
  <c r="U40" i="3"/>
  <c r="W40" i="3" s="1"/>
  <c r="AQ40" i="3"/>
  <c r="AS40" i="3" s="1"/>
  <c r="AF16" i="3"/>
  <c r="AH16" i="3" s="1"/>
  <c r="AD23" i="3"/>
  <c r="AK23" i="3" s="1"/>
  <c r="AN23" i="3" s="1"/>
  <c r="AG23" i="3"/>
  <c r="AI23" i="3" s="1"/>
  <c r="AE23" i="3"/>
  <c r="AO10" i="3"/>
  <c r="AV10" i="3" s="1"/>
  <c r="AY10" i="3" s="1"/>
  <c r="AR10" i="3"/>
  <c r="AT10" i="3" s="1"/>
  <c r="AP10" i="3"/>
  <c r="AQ10" i="3"/>
  <c r="AS10" i="3" s="1"/>
  <c r="AU10" i="3" s="1"/>
  <c r="AZ13" i="3"/>
  <c r="BG13" i="3" s="1"/>
  <c r="BC13" i="3"/>
  <c r="BE13" i="3" s="1"/>
  <c r="BA13" i="3"/>
  <c r="BB13" i="3"/>
  <c r="BD13" i="3" s="1"/>
  <c r="X19" i="3"/>
  <c r="BB12" i="3"/>
  <c r="BD12" i="3" s="1"/>
  <c r="S10" i="3"/>
  <c r="Z10" i="3" s="1"/>
  <c r="AC10" i="3" s="1"/>
  <c r="T32" i="3"/>
  <c r="T14" i="3"/>
  <c r="U28" i="3"/>
  <c r="W28" i="3" s="1"/>
  <c r="Y28" i="3" s="1"/>
  <c r="AB28" i="3" s="1"/>
  <c r="U5" i="3"/>
  <c r="W5" i="3" s="1"/>
  <c r="Y5" i="3" s="1"/>
  <c r="AB5" i="3" s="1"/>
  <c r="X22" i="3"/>
  <c r="Y22" i="3" s="1"/>
  <c r="AB22" i="3" s="1"/>
  <c r="AF40" i="3"/>
  <c r="AH40" i="3" s="1"/>
  <c r="R29" i="6"/>
  <c r="W29" i="6" s="1"/>
  <c r="Z29" i="6" s="1"/>
  <c r="U29" i="6"/>
  <c r="Y29" i="6" s="1"/>
  <c r="S29" i="6"/>
  <c r="X29" i="6" s="1"/>
  <c r="T29" i="6"/>
  <c r="V29" i="6" s="1"/>
  <c r="T20" i="3"/>
  <c r="V20" i="3"/>
  <c r="X20" i="3" s="1"/>
  <c r="S20" i="3"/>
  <c r="Z20" i="3" s="1"/>
  <c r="AC20" i="3" s="1"/>
  <c r="AR26" i="3"/>
  <c r="AT26" i="3" s="1"/>
  <c r="AP26" i="3"/>
  <c r="AQ26" i="3"/>
  <c r="AS26" i="3" s="1"/>
  <c r="AU26" i="3" s="1"/>
  <c r="AX26" i="3" s="1"/>
  <c r="AO26" i="3"/>
  <c r="AV26" i="3" s="1"/>
  <c r="S11" i="3"/>
  <c r="Z11" i="3" s="1"/>
  <c r="X34" i="3"/>
  <c r="T18" i="3"/>
  <c r="T10" i="3"/>
  <c r="AF37" i="3"/>
  <c r="AH37" i="3" s="1"/>
  <c r="AF29" i="3"/>
  <c r="AH29" i="3" s="1"/>
  <c r="AI21" i="3"/>
  <c r="AF13" i="3"/>
  <c r="AH13" i="3" s="1"/>
  <c r="AJ13" i="3" s="1"/>
  <c r="AM13" i="3" s="1"/>
  <c r="AI5" i="3"/>
  <c r="S7" i="3"/>
  <c r="U27" i="3"/>
  <c r="W27" i="3" s="1"/>
  <c r="X21" i="3"/>
  <c r="X13" i="3"/>
  <c r="Y13" i="3" s="1"/>
  <c r="AB13" i="3" s="1"/>
  <c r="AC13" i="3" s="1"/>
  <c r="AF23" i="3"/>
  <c r="AH23" i="3" s="1"/>
  <c r="AJ23" i="3" s="1"/>
  <c r="R5" i="6"/>
  <c r="W5" i="6" s="1"/>
  <c r="U5" i="6"/>
  <c r="Y5" i="6" s="1"/>
  <c r="S5" i="6"/>
  <c r="X5" i="6" s="1"/>
  <c r="T5" i="6"/>
  <c r="T33" i="6"/>
  <c r="R33" i="6"/>
  <c r="W33" i="6" s="1"/>
  <c r="U33" i="6"/>
  <c r="Y33" i="6" s="1"/>
  <c r="S33" i="6"/>
  <c r="X33" i="6" s="1"/>
  <c r="T12" i="3"/>
  <c r="V12" i="3"/>
  <c r="X12" i="3" s="1"/>
  <c r="Y12" i="3" s="1"/>
  <c r="S12" i="3"/>
  <c r="AD15" i="3"/>
  <c r="AK15" i="3" s="1"/>
  <c r="AG15" i="3"/>
  <c r="AI15" i="3" s="1"/>
  <c r="AE15" i="3"/>
  <c r="AF15" i="3"/>
  <c r="AH15" i="3" s="1"/>
  <c r="AZ37" i="3"/>
  <c r="BC37" i="3"/>
  <c r="BE37" i="3" s="1"/>
  <c r="BA37" i="3"/>
  <c r="BB37" i="3"/>
  <c r="BD37" i="3" s="1"/>
  <c r="AD22" i="3"/>
  <c r="AK22" i="3" s="1"/>
  <c r="X26" i="3"/>
  <c r="BB40" i="3"/>
  <c r="BD40" i="3" s="1"/>
  <c r="AZ40" i="3"/>
  <c r="BG40" i="3" s="1"/>
  <c r="BC40" i="3"/>
  <c r="BE40" i="3" s="1"/>
  <c r="BA40" i="3"/>
  <c r="T33" i="3"/>
  <c r="S33" i="3"/>
  <c r="U33" i="3"/>
  <c r="W33" i="3" s="1"/>
  <c r="V25" i="3"/>
  <c r="X25" i="3" s="1"/>
  <c r="T25" i="3"/>
  <c r="S25" i="3"/>
  <c r="Z25" i="3" s="1"/>
  <c r="U25" i="3"/>
  <c r="W25" i="3" s="1"/>
  <c r="T17" i="3"/>
  <c r="V17" i="3"/>
  <c r="X17" i="3" s="1"/>
  <c r="S17" i="3"/>
  <c r="Z17" i="3" s="1"/>
  <c r="U17" i="3"/>
  <c r="W17" i="3" s="1"/>
  <c r="T9" i="3"/>
  <c r="S9" i="3"/>
  <c r="V9" i="3"/>
  <c r="X9" i="3" s="1"/>
  <c r="U9" i="3"/>
  <c r="W9" i="3" s="1"/>
  <c r="AE36" i="3"/>
  <c r="AF36" i="3"/>
  <c r="AH36" i="3" s="1"/>
  <c r="AJ36" i="3" s="1"/>
  <c r="AM36" i="3" s="1"/>
  <c r="AD36" i="3"/>
  <c r="AK36" i="3" s="1"/>
  <c r="AE28" i="3"/>
  <c r="AF28" i="3"/>
  <c r="AH28" i="3" s="1"/>
  <c r="AJ28" i="3" s="1"/>
  <c r="AM28" i="3" s="1"/>
  <c r="AD28" i="3"/>
  <c r="AK28" i="3" s="1"/>
  <c r="AG28" i="3"/>
  <c r="AI28" i="3" s="1"/>
  <c r="AE20" i="3"/>
  <c r="AF20" i="3"/>
  <c r="AH20" i="3" s="1"/>
  <c r="AJ20" i="3" s="1"/>
  <c r="AD20" i="3"/>
  <c r="AK20" i="3" s="1"/>
  <c r="AN20" i="3" s="1"/>
  <c r="AG20" i="3"/>
  <c r="AI20" i="3" s="1"/>
  <c r="AE12" i="3"/>
  <c r="AF12" i="3"/>
  <c r="AH12" i="3" s="1"/>
  <c r="AJ12" i="3" s="1"/>
  <c r="AD12" i="3"/>
  <c r="AG12" i="3"/>
  <c r="AI12" i="3" s="1"/>
  <c r="AR4" i="3"/>
  <c r="AT4" i="3" s="1"/>
  <c r="AP4" i="3"/>
  <c r="AQ4" i="3"/>
  <c r="AS4" i="3" s="1"/>
  <c r="AU4" i="3" s="1"/>
  <c r="AO4" i="3"/>
  <c r="AP31" i="3"/>
  <c r="AQ31" i="3"/>
  <c r="AS31" i="3" s="1"/>
  <c r="AU31" i="3" s="1"/>
  <c r="AX31" i="3" s="1"/>
  <c r="AO31" i="3"/>
  <c r="AV31" i="3" s="1"/>
  <c r="AR31" i="3"/>
  <c r="AT31" i="3" s="1"/>
  <c r="AP23" i="3"/>
  <c r="AQ23" i="3"/>
  <c r="AS23" i="3" s="1"/>
  <c r="AR23" i="3"/>
  <c r="AT23" i="3" s="1"/>
  <c r="AO23" i="3"/>
  <c r="AV23" i="3" s="1"/>
  <c r="AY23" i="3" s="1"/>
  <c r="AP15" i="3"/>
  <c r="AQ15" i="3"/>
  <c r="AS15" i="3" s="1"/>
  <c r="AU15" i="3" s="1"/>
  <c r="AX15" i="3" s="1"/>
  <c r="AO15" i="3"/>
  <c r="AV15" i="3" s="1"/>
  <c r="AP7" i="3"/>
  <c r="AQ7" i="3"/>
  <c r="AS7" i="3" s="1"/>
  <c r="AU7" i="3" s="1"/>
  <c r="AR7" i="3"/>
  <c r="AT7" i="3" s="1"/>
  <c r="AO7" i="3"/>
  <c r="BA34" i="3"/>
  <c r="BB34" i="3"/>
  <c r="BD34" i="3" s="1"/>
  <c r="BC34" i="3"/>
  <c r="BE34" i="3" s="1"/>
  <c r="AZ34" i="3"/>
  <c r="BA26" i="3"/>
  <c r="BB26" i="3"/>
  <c r="BD26" i="3" s="1"/>
  <c r="AZ26" i="3"/>
  <c r="BG26" i="3" s="1"/>
  <c r="BC26" i="3"/>
  <c r="BE26" i="3" s="1"/>
  <c r="BA18" i="3"/>
  <c r="BB18" i="3"/>
  <c r="BD18" i="3" s="1"/>
  <c r="AZ18" i="3"/>
  <c r="BC18" i="3"/>
  <c r="BE18" i="3" s="1"/>
  <c r="BA10" i="3"/>
  <c r="BB10" i="3"/>
  <c r="BD10" i="3" s="1"/>
  <c r="BF10" i="3" s="1"/>
  <c r="BC10" i="3"/>
  <c r="BE10" i="3" s="1"/>
  <c r="AZ10" i="3"/>
  <c r="BG10" i="3" s="1"/>
  <c r="BJ10" i="3" s="1"/>
  <c r="S38" i="3"/>
  <c r="Z38" i="3" s="1"/>
  <c r="S22" i="3"/>
  <c r="Z22" i="3" s="1"/>
  <c r="S6" i="3"/>
  <c r="Z6" i="3" s="1"/>
  <c r="AC6" i="3" s="1"/>
  <c r="T30" i="3"/>
  <c r="U21" i="3"/>
  <c r="W21" i="3" s="1"/>
  <c r="Y21" i="3" s="1"/>
  <c r="AB21" i="3" s="1"/>
  <c r="X40" i="3"/>
  <c r="AF21" i="3"/>
  <c r="AH21" i="3" s="1"/>
  <c r="AJ21" i="3" s="1"/>
  <c r="AM21" i="3" s="1"/>
  <c r="S27" i="6"/>
  <c r="X27" i="6" s="1"/>
  <c r="T27" i="6"/>
  <c r="U27" i="6"/>
  <c r="Y27" i="6" s="1"/>
  <c r="R27" i="6"/>
  <c r="W27" i="6" s="1"/>
  <c r="V36" i="3"/>
  <c r="X36" i="3" s="1"/>
  <c r="Y36" i="3" s="1"/>
  <c r="AB36" i="3" s="1"/>
  <c r="T36" i="3"/>
  <c r="S36" i="3"/>
  <c r="Z36" i="3" s="1"/>
  <c r="AD31" i="3"/>
  <c r="AK31" i="3" s="1"/>
  <c r="AG31" i="3"/>
  <c r="AI31" i="3" s="1"/>
  <c r="AE31" i="3"/>
  <c r="AF31" i="3"/>
  <c r="AH31" i="3" s="1"/>
  <c r="AJ31" i="3" s="1"/>
  <c r="AM31" i="3" s="1"/>
  <c r="AO18" i="3"/>
  <c r="AR18" i="3"/>
  <c r="AT18" i="3" s="1"/>
  <c r="AP18" i="3"/>
  <c r="AQ18" i="3"/>
  <c r="AS18" i="3" s="1"/>
  <c r="S27" i="3"/>
  <c r="Z27" i="3" s="1"/>
  <c r="S26" i="3"/>
  <c r="Z26" i="3" s="1"/>
  <c r="AZ39" i="3"/>
  <c r="BG39" i="3" s="1"/>
  <c r="AD40" i="3"/>
  <c r="AK40" i="3" s="1"/>
  <c r="AD21" i="3"/>
  <c r="AK21" i="3" s="1"/>
  <c r="T11" i="3"/>
  <c r="T27" i="3"/>
  <c r="AE16" i="3"/>
  <c r="T19" i="3"/>
  <c r="T35" i="3"/>
  <c r="AE24" i="3"/>
  <c r="BA7" i="3"/>
  <c r="AP19" i="3"/>
  <c r="AO40" i="3"/>
  <c r="AV40" i="3" s="1"/>
  <c r="AD6" i="3"/>
  <c r="AK6" i="3" s="1"/>
  <c r="AN6" i="3" s="1"/>
  <c r="AD29" i="3"/>
  <c r="AK29" i="3" s="1"/>
  <c r="AN29" i="3" s="1"/>
  <c r="S4" i="3"/>
  <c r="U4" i="3"/>
  <c r="W4" i="3" s="1"/>
  <c r="Y4" i="3" s="1"/>
  <c r="T4" i="3"/>
  <c r="S32" i="3"/>
  <c r="Z32" i="3" s="1"/>
  <c r="U32" i="3"/>
  <c r="W32" i="3" s="1"/>
  <c r="S24" i="3"/>
  <c r="Z24" i="3" s="1"/>
  <c r="U24" i="3"/>
  <c r="W24" i="3" s="1"/>
  <c r="Y24" i="3" s="1"/>
  <c r="AB24" i="3" s="1"/>
  <c r="V16" i="3"/>
  <c r="X16" i="3" s="1"/>
  <c r="S16" i="3"/>
  <c r="Z16" i="3" s="1"/>
  <c r="U16" i="3"/>
  <c r="W16" i="3" s="1"/>
  <c r="S8" i="3"/>
  <c r="Z8" i="3" s="1"/>
  <c r="U8" i="3"/>
  <c r="W8" i="3" s="1"/>
  <c r="Y8" i="3" s="1"/>
  <c r="AB8" i="3" s="1"/>
  <c r="V8" i="3"/>
  <c r="X8" i="3" s="1"/>
  <c r="AF35" i="3"/>
  <c r="AH35" i="3" s="1"/>
  <c r="AJ35" i="3" s="1"/>
  <c r="AG35" i="3"/>
  <c r="AI35" i="3" s="1"/>
  <c r="AE35" i="3"/>
  <c r="AF27" i="3"/>
  <c r="AH27" i="3" s="1"/>
  <c r="AJ27" i="3" s="1"/>
  <c r="AM27" i="3" s="1"/>
  <c r="AG27" i="3"/>
  <c r="AI27" i="3" s="1"/>
  <c r="AD27" i="3"/>
  <c r="AK27" i="3" s="1"/>
  <c r="AF19" i="3"/>
  <c r="AH19" i="3" s="1"/>
  <c r="AJ19" i="3" s="1"/>
  <c r="AM19" i="3" s="1"/>
  <c r="AG19" i="3"/>
  <c r="AI19" i="3" s="1"/>
  <c r="AD19" i="3"/>
  <c r="AK19" i="3" s="1"/>
  <c r="AE19" i="3"/>
  <c r="AF11" i="3"/>
  <c r="AH11" i="3" s="1"/>
  <c r="AG11" i="3"/>
  <c r="AI11" i="3" s="1"/>
  <c r="AE11" i="3"/>
  <c r="AQ38" i="3"/>
  <c r="AS38" i="3" s="1"/>
  <c r="AR38" i="3"/>
  <c r="AT38" i="3" s="1"/>
  <c r="AP38" i="3"/>
  <c r="AO38" i="3"/>
  <c r="AV38" i="3" s="1"/>
  <c r="AQ30" i="3"/>
  <c r="AS30" i="3" s="1"/>
  <c r="AU30" i="3" s="1"/>
  <c r="AX30" i="3" s="1"/>
  <c r="AR30" i="3"/>
  <c r="AT30" i="3" s="1"/>
  <c r="AO30" i="3"/>
  <c r="AV30" i="3" s="1"/>
  <c r="AP30" i="3"/>
  <c r="AQ22" i="3"/>
  <c r="AS22" i="3" s="1"/>
  <c r="AR22" i="3"/>
  <c r="AT22" i="3" s="1"/>
  <c r="AP22" i="3"/>
  <c r="AO22" i="3"/>
  <c r="AV22" i="3" s="1"/>
  <c r="AQ14" i="3"/>
  <c r="AS14" i="3" s="1"/>
  <c r="AU14" i="3" s="1"/>
  <c r="AX14" i="3" s="1"/>
  <c r="AR14" i="3"/>
  <c r="AT14" i="3" s="1"/>
  <c r="AP14" i="3"/>
  <c r="AO14" i="3"/>
  <c r="AV14" i="3" s="1"/>
  <c r="AQ6" i="3"/>
  <c r="AS6" i="3" s="1"/>
  <c r="AR6" i="3"/>
  <c r="AT6" i="3" s="1"/>
  <c r="AP6" i="3"/>
  <c r="AO6" i="3"/>
  <c r="AV6" i="3" s="1"/>
  <c r="AY6" i="3" s="1"/>
  <c r="BA33" i="3"/>
  <c r="BB33" i="3"/>
  <c r="BD33" i="3" s="1"/>
  <c r="BF33" i="3" s="1"/>
  <c r="AZ33" i="3"/>
  <c r="BC33" i="3"/>
  <c r="BE33" i="3" s="1"/>
  <c r="BA25" i="3"/>
  <c r="BB25" i="3"/>
  <c r="BD25" i="3" s="1"/>
  <c r="BF25" i="3" s="1"/>
  <c r="BI25" i="3" s="1"/>
  <c r="AZ25" i="3"/>
  <c r="BG25" i="3" s="1"/>
  <c r="BC25" i="3"/>
  <c r="BE25" i="3" s="1"/>
  <c r="BA17" i="3"/>
  <c r="BB17" i="3"/>
  <c r="BD17" i="3" s="1"/>
  <c r="BF17" i="3" s="1"/>
  <c r="BI17" i="3" s="1"/>
  <c r="AZ17" i="3"/>
  <c r="BG17" i="3" s="1"/>
  <c r="BJ17" i="3" s="1"/>
  <c r="BC17" i="3"/>
  <c r="BE17" i="3" s="1"/>
  <c r="BA9" i="3"/>
  <c r="BB9" i="3"/>
  <c r="BD9" i="3" s="1"/>
  <c r="BF9" i="3" s="1"/>
  <c r="AZ9" i="3"/>
  <c r="BC9" i="3"/>
  <c r="BE9" i="3" s="1"/>
  <c r="S37" i="3"/>
  <c r="S21" i="3"/>
  <c r="Z21" i="3" s="1"/>
  <c r="S5" i="3"/>
  <c r="Z5" i="3" s="1"/>
  <c r="T24" i="3"/>
  <c r="T6" i="3"/>
  <c r="U20" i="3"/>
  <c r="W20" i="3" s="1"/>
  <c r="Y20" i="3" s="1"/>
  <c r="V33" i="3"/>
  <c r="X33" i="3" s="1"/>
  <c r="X14" i="3"/>
  <c r="Y14" i="3" s="1"/>
  <c r="AB14" i="3" s="1"/>
  <c r="AD13" i="3"/>
  <c r="AK13" i="3" s="1"/>
  <c r="AN13" i="3" s="1"/>
  <c r="AI37" i="3"/>
  <c r="BA39" i="3"/>
  <c r="AJ40" i="6"/>
  <c r="AO40" i="6" s="1"/>
  <c r="R40" i="6"/>
  <c r="W40" i="6" s="1"/>
  <c r="AS39" i="6"/>
  <c r="AX39" i="6" s="1"/>
  <c r="AA40" i="6"/>
  <c r="AF40" i="6" s="1"/>
  <c r="AF4" i="3"/>
  <c r="AH4" i="3" s="1"/>
  <c r="AD4" i="3"/>
  <c r="AG4" i="3"/>
  <c r="AI4" i="3" s="1"/>
  <c r="AE4" i="3"/>
  <c r="AR34" i="3"/>
  <c r="AT34" i="3" s="1"/>
  <c r="AP34" i="3"/>
  <c r="AQ34" i="3"/>
  <c r="AS34" i="3" s="1"/>
  <c r="AO34" i="3"/>
  <c r="AZ21" i="3"/>
  <c r="BG21" i="3" s="1"/>
  <c r="BC21" i="3"/>
  <c r="BE21" i="3" s="1"/>
  <c r="BA21" i="3"/>
  <c r="BB21" i="3"/>
  <c r="BD21" i="3" s="1"/>
  <c r="V31" i="3"/>
  <c r="X31" i="3" s="1"/>
  <c r="U31" i="3"/>
  <c r="W31" i="3" s="1"/>
  <c r="Y31" i="3" s="1"/>
  <c r="AB31" i="3" s="1"/>
  <c r="V23" i="3"/>
  <c r="X23" i="3" s="1"/>
  <c r="U23" i="3"/>
  <c r="W23" i="3" s="1"/>
  <c r="Y23" i="3" s="1"/>
  <c r="V15" i="3"/>
  <c r="X15" i="3" s="1"/>
  <c r="U15" i="3"/>
  <c r="W15" i="3" s="1"/>
  <c r="V7" i="3"/>
  <c r="X7" i="3" s="1"/>
  <c r="U7" i="3"/>
  <c r="W7" i="3" s="1"/>
  <c r="AF34" i="3"/>
  <c r="AH34" i="3" s="1"/>
  <c r="AJ34" i="3" s="1"/>
  <c r="AD34" i="3"/>
  <c r="AE34" i="3"/>
  <c r="AG34" i="3"/>
  <c r="AI34" i="3" s="1"/>
  <c r="AF26" i="3"/>
  <c r="AH26" i="3" s="1"/>
  <c r="AD26" i="3"/>
  <c r="AK26" i="3" s="1"/>
  <c r="AG26" i="3"/>
  <c r="AI26" i="3" s="1"/>
  <c r="AF18" i="3"/>
  <c r="AH18" i="3" s="1"/>
  <c r="AJ18" i="3" s="1"/>
  <c r="AD18" i="3"/>
  <c r="AE18" i="3"/>
  <c r="AF10" i="3"/>
  <c r="AH10" i="3" s="1"/>
  <c r="AJ10" i="3" s="1"/>
  <c r="AD10" i="3"/>
  <c r="AK10" i="3" s="1"/>
  <c r="AN10" i="3" s="1"/>
  <c r="AE10" i="3"/>
  <c r="AG10" i="3"/>
  <c r="AI10" i="3" s="1"/>
  <c r="AQ37" i="3"/>
  <c r="AS37" i="3" s="1"/>
  <c r="AU37" i="3" s="1"/>
  <c r="AO37" i="3"/>
  <c r="AR37" i="3"/>
  <c r="AT37" i="3" s="1"/>
  <c r="AP37" i="3"/>
  <c r="AQ29" i="3"/>
  <c r="AS29" i="3" s="1"/>
  <c r="AO29" i="3"/>
  <c r="AV29" i="3" s="1"/>
  <c r="AY29" i="3" s="1"/>
  <c r="AR29" i="3"/>
  <c r="AT29" i="3" s="1"/>
  <c r="AP29" i="3"/>
  <c r="AQ21" i="3"/>
  <c r="AS21" i="3" s="1"/>
  <c r="AU21" i="3" s="1"/>
  <c r="AX21" i="3" s="1"/>
  <c r="AO21" i="3"/>
  <c r="AV21" i="3" s="1"/>
  <c r="AR21" i="3"/>
  <c r="AT21" i="3" s="1"/>
  <c r="AP21" i="3"/>
  <c r="AQ13" i="3"/>
  <c r="AS13" i="3" s="1"/>
  <c r="AO13" i="3"/>
  <c r="AV13" i="3" s="1"/>
  <c r="AR13" i="3"/>
  <c r="AT13" i="3" s="1"/>
  <c r="AP13" i="3"/>
  <c r="AQ5" i="3"/>
  <c r="AS5" i="3" s="1"/>
  <c r="AU5" i="3" s="1"/>
  <c r="AX5" i="3" s="1"/>
  <c r="AO5" i="3"/>
  <c r="AV5" i="3" s="1"/>
  <c r="AR5" i="3"/>
  <c r="AT5" i="3" s="1"/>
  <c r="AP5" i="3"/>
  <c r="BB32" i="3"/>
  <c r="BD32" i="3" s="1"/>
  <c r="AZ32" i="3"/>
  <c r="BG32" i="3" s="1"/>
  <c r="BC32" i="3"/>
  <c r="BE32" i="3" s="1"/>
  <c r="BA32" i="3"/>
  <c r="BB24" i="3"/>
  <c r="BD24" i="3" s="1"/>
  <c r="BF24" i="3" s="1"/>
  <c r="BI24" i="3" s="1"/>
  <c r="AZ24" i="3"/>
  <c r="BG24" i="3" s="1"/>
  <c r="BC24" i="3"/>
  <c r="BE24" i="3" s="1"/>
  <c r="BA24" i="3"/>
  <c r="BB16" i="3"/>
  <c r="BD16" i="3" s="1"/>
  <c r="AZ16" i="3"/>
  <c r="BG16" i="3" s="1"/>
  <c r="BC16" i="3"/>
  <c r="BE16" i="3" s="1"/>
  <c r="BB8" i="3"/>
  <c r="BD8" i="3" s="1"/>
  <c r="BF8" i="3" s="1"/>
  <c r="BI8" i="3" s="1"/>
  <c r="AZ8" i="3"/>
  <c r="BG8" i="3" s="1"/>
  <c r="BC8" i="3"/>
  <c r="BE8" i="3" s="1"/>
  <c r="BA8" i="3"/>
  <c r="S34" i="3"/>
  <c r="S18" i="3"/>
  <c r="T23" i="3"/>
  <c r="U37" i="3"/>
  <c r="W37" i="3" s="1"/>
  <c r="Y37" i="3" s="1"/>
  <c r="U19" i="3"/>
  <c r="W19" i="3" s="1"/>
  <c r="Y19" i="3" s="1"/>
  <c r="AB19" i="3" s="1"/>
  <c r="V32" i="3"/>
  <c r="X32" i="3" s="1"/>
  <c r="AD11" i="3"/>
  <c r="AK11" i="3" s="1"/>
  <c r="AG36" i="3"/>
  <c r="AI36" i="3" s="1"/>
  <c r="BA16" i="3"/>
  <c r="C51" i="3"/>
  <c r="AP40" i="3"/>
  <c r="AF33" i="3"/>
  <c r="AH33" i="3" s="1"/>
  <c r="AD33" i="3"/>
  <c r="AG33" i="3"/>
  <c r="AI33" i="3" s="1"/>
  <c r="AE33" i="3"/>
  <c r="AF25" i="3"/>
  <c r="AH25" i="3" s="1"/>
  <c r="AJ25" i="3" s="1"/>
  <c r="AM25" i="3" s="1"/>
  <c r="AD25" i="3"/>
  <c r="AK25" i="3" s="1"/>
  <c r="AN25" i="3" s="1"/>
  <c r="AG25" i="3"/>
  <c r="AI25" i="3" s="1"/>
  <c r="AE25" i="3"/>
  <c r="AF17" i="3"/>
  <c r="AH17" i="3" s="1"/>
  <c r="AD17" i="3"/>
  <c r="AK17" i="3" s="1"/>
  <c r="AG17" i="3"/>
  <c r="AI17" i="3" s="1"/>
  <c r="AE17" i="3"/>
  <c r="AF9" i="3"/>
  <c r="AH9" i="3" s="1"/>
  <c r="AJ9" i="3" s="1"/>
  <c r="AD9" i="3"/>
  <c r="AG9" i="3"/>
  <c r="AI9" i="3" s="1"/>
  <c r="AE9" i="3"/>
  <c r="AQ36" i="3"/>
  <c r="AS36" i="3" s="1"/>
  <c r="AO36" i="3"/>
  <c r="AV36" i="3" s="1"/>
  <c r="AR36" i="3"/>
  <c r="AT36" i="3" s="1"/>
  <c r="AP36" i="3"/>
  <c r="AQ28" i="3"/>
  <c r="AS28" i="3" s="1"/>
  <c r="AU28" i="3" s="1"/>
  <c r="AX28" i="3" s="1"/>
  <c r="AO28" i="3"/>
  <c r="AV28" i="3" s="1"/>
  <c r="AR28" i="3"/>
  <c r="AT28" i="3" s="1"/>
  <c r="AQ20" i="3"/>
  <c r="AS20" i="3" s="1"/>
  <c r="AO20" i="3"/>
  <c r="AV20" i="3" s="1"/>
  <c r="AY20" i="3" s="1"/>
  <c r="AR20" i="3"/>
  <c r="AT20" i="3" s="1"/>
  <c r="AP20" i="3"/>
  <c r="AQ12" i="3"/>
  <c r="AS12" i="3" s="1"/>
  <c r="AO12" i="3"/>
  <c r="AR12" i="3"/>
  <c r="AT12" i="3" s="1"/>
  <c r="BA4" i="3"/>
  <c r="BB4" i="3"/>
  <c r="BD4" i="3" s="1"/>
  <c r="AZ4" i="3"/>
  <c r="BC4" i="3"/>
  <c r="BE4" i="3" s="1"/>
  <c r="BB31" i="3"/>
  <c r="BD31" i="3" s="1"/>
  <c r="BF31" i="3" s="1"/>
  <c r="BI31" i="3" s="1"/>
  <c r="AZ31" i="3"/>
  <c r="BG31" i="3" s="1"/>
  <c r="BC31" i="3"/>
  <c r="BE31" i="3" s="1"/>
  <c r="BA31" i="3"/>
  <c r="BB23" i="3"/>
  <c r="BD23" i="3" s="1"/>
  <c r="AZ23" i="3"/>
  <c r="BG23" i="3" s="1"/>
  <c r="BJ23" i="3" s="1"/>
  <c r="BC23" i="3"/>
  <c r="BE23" i="3" s="1"/>
  <c r="BA23" i="3"/>
  <c r="BB15" i="3"/>
  <c r="BD15" i="3" s="1"/>
  <c r="BF15" i="3" s="1"/>
  <c r="BI15" i="3" s="1"/>
  <c r="AZ15" i="3"/>
  <c r="BG15" i="3" s="1"/>
  <c r="BC15" i="3"/>
  <c r="BE15" i="3" s="1"/>
  <c r="BA15" i="3"/>
  <c r="BB7" i="3"/>
  <c r="BD7" i="3" s="1"/>
  <c r="AZ7" i="3"/>
  <c r="BC7" i="3"/>
  <c r="BE7" i="3" s="1"/>
  <c r="T37" i="3"/>
  <c r="T29" i="3"/>
  <c r="U34" i="3"/>
  <c r="W34" i="3" s="1"/>
  <c r="Y34" i="3" s="1"/>
  <c r="U26" i="3"/>
  <c r="W26" i="3" s="1"/>
  <c r="Y26" i="3" s="1"/>
  <c r="AB26" i="3" s="1"/>
  <c r="AC26" i="3" s="1"/>
  <c r="U18" i="3"/>
  <c r="W18" i="3" s="1"/>
  <c r="Y18" i="3" s="1"/>
  <c r="U10" i="3"/>
  <c r="W10" i="3" s="1"/>
  <c r="V38" i="3"/>
  <c r="X38" i="3" s="1"/>
  <c r="Y38" i="3" s="1"/>
  <c r="AB38" i="3" s="1"/>
  <c r="V11" i="3"/>
  <c r="X11" i="3" s="1"/>
  <c r="Y11" i="3" s="1"/>
  <c r="AB11" i="3" s="1"/>
  <c r="AD5" i="3"/>
  <c r="AK5" i="3" s="1"/>
  <c r="AG29" i="3"/>
  <c r="AI29" i="3" s="1"/>
  <c r="AP12" i="3"/>
  <c r="AD32" i="3"/>
  <c r="AK32" i="3" s="1"/>
  <c r="AG32" i="3"/>
  <c r="AI32" i="3" s="1"/>
  <c r="AD24" i="3"/>
  <c r="AK24" i="3" s="1"/>
  <c r="AG24" i="3"/>
  <c r="AI24" i="3" s="1"/>
  <c r="AD16" i="3"/>
  <c r="AK16" i="3" s="1"/>
  <c r="AG16" i="3"/>
  <c r="AI16" i="3" s="1"/>
  <c r="AD8" i="3"/>
  <c r="AK8" i="3" s="1"/>
  <c r="AG8" i="3"/>
  <c r="AI8" i="3" s="1"/>
  <c r="AO35" i="3"/>
  <c r="AR35" i="3"/>
  <c r="AT35" i="3" s="1"/>
  <c r="AQ35" i="3"/>
  <c r="AS35" i="3" s="1"/>
  <c r="AO27" i="3"/>
  <c r="AV27" i="3" s="1"/>
  <c r="AR27" i="3"/>
  <c r="AT27" i="3" s="1"/>
  <c r="AP27" i="3"/>
  <c r="AO19" i="3"/>
  <c r="AV19" i="3" s="1"/>
  <c r="AR19" i="3"/>
  <c r="AT19" i="3" s="1"/>
  <c r="AQ19" i="3"/>
  <c r="AS19" i="3" s="1"/>
  <c r="AU19" i="3" s="1"/>
  <c r="AX19" i="3" s="1"/>
  <c r="AO11" i="3"/>
  <c r="AV11" i="3" s="1"/>
  <c r="AY11" i="3" s="1"/>
  <c r="AR11" i="3"/>
  <c r="AT11" i="3" s="1"/>
  <c r="AQ11" i="3"/>
  <c r="AS11" i="3" s="1"/>
  <c r="AU11" i="3" s="1"/>
  <c r="AX11" i="3" s="1"/>
  <c r="AP11" i="3"/>
  <c r="BB38" i="3"/>
  <c r="BD38" i="3" s="1"/>
  <c r="BF38" i="3" s="1"/>
  <c r="BI38" i="3" s="1"/>
  <c r="AZ38" i="3"/>
  <c r="BG38" i="3" s="1"/>
  <c r="BJ38" i="3" s="1"/>
  <c r="BC38" i="3"/>
  <c r="BE38" i="3" s="1"/>
  <c r="BA38" i="3"/>
  <c r="BB30" i="3"/>
  <c r="BD30" i="3" s="1"/>
  <c r="BF30" i="3" s="1"/>
  <c r="BI30" i="3" s="1"/>
  <c r="AZ30" i="3"/>
  <c r="BG30" i="3" s="1"/>
  <c r="BC30" i="3"/>
  <c r="BE30" i="3" s="1"/>
  <c r="BA30" i="3"/>
  <c r="BB22" i="3"/>
  <c r="BD22" i="3" s="1"/>
  <c r="BF22" i="3" s="1"/>
  <c r="BI22" i="3" s="1"/>
  <c r="AZ22" i="3"/>
  <c r="BG22" i="3" s="1"/>
  <c r="BJ22" i="3" s="1"/>
  <c r="BC22" i="3"/>
  <c r="BE22" i="3" s="1"/>
  <c r="BA22" i="3"/>
  <c r="BB14" i="3"/>
  <c r="BD14" i="3" s="1"/>
  <c r="BF14" i="3" s="1"/>
  <c r="BI14" i="3" s="1"/>
  <c r="AZ14" i="3"/>
  <c r="BG14" i="3" s="1"/>
  <c r="BC14" i="3"/>
  <c r="BE14" i="3" s="1"/>
  <c r="BA14" i="3"/>
  <c r="BB6" i="3"/>
  <c r="BD6" i="3" s="1"/>
  <c r="BF6" i="3" s="1"/>
  <c r="AZ6" i="3"/>
  <c r="BG6" i="3" s="1"/>
  <c r="BJ6" i="3" s="1"/>
  <c r="BC6" i="3"/>
  <c r="BE6" i="3" s="1"/>
  <c r="BA6" i="3"/>
  <c r="S35" i="3"/>
  <c r="S19" i="3"/>
  <c r="Z19" i="3" s="1"/>
  <c r="V10" i="3"/>
  <c r="X10" i="3" s="1"/>
  <c r="AE40" i="3"/>
  <c r="AF32" i="3"/>
  <c r="AH32" i="3" s="1"/>
  <c r="AG38" i="3"/>
  <c r="AI38" i="3" s="1"/>
  <c r="AE38" i="3"/>
  <c r="AF38" i="3"/>
  <c r="AH38" i="3" s="1"/>
  <c r="AG30" i="3"/>
  <c r="AI30" i="3" s="1"/>
  <c r="AE30" i="3"/>
  <c r="AF30" i="3"/>
  <c r="AH30" i="3" s="1"/>
  <c r="AG22" i="3"/>
  <c r="AI22" i="3" s="1"/>
  <c r="AE22" i="3"/>
  <c r="AF22" i="3"/>
  <c r="AH22" i="3" s="1"/>
  <c r="AJ22" i="3" s="1"/>
  <c r="AM22" i="3" s="1"/>
  <c r="AG14" i="3"/>
  <c r="AI14" i="3" s="1"/>
  <c r="AE14" i="3"/>
  <c r="AF14" i="3"/>
  <c r="AH14" i="3" s="1"/>
  <c r="AJ14" i="3" s="1"/>
  <c r="AM14" i="3" s="1"/>
  <c r="AG6" i="3"/>
  <c r="AI6" i="3" s="1"/>
  <c r="AE6" i="3"/>
  <c r="AF6" i="3"/>
  <c r="AH6" i="3" s="1"/>
  <c r="AJ6" i="3" s="1"/>
  <c r="AR33" i="3"/>
  <c r="AT33" i="3" s="1"/>
  <c r="AP33" i="3"/>
  <c r="AQ33" i="3"/>
  <c r="AS33" i="3" s="1"/>
  <c r="AO33" i="3"/>
  <c r="AR25" i="3"/>
  <c r="AT25" i="3" s="1"/>
  <c r="AP25" i="3"/>
  <c r="AQ25" i="3"/>
  <c r="AS25" i="3" s="1"/>
  <c r="AO25" i="3"/>
  <c r="AV25" i="3" s="1"/>
  <c r="AR17" i="3"/>
  <c r="AT17" i="3" s="1"/>
  <c r="AP17" i="3"/>
  <c r="AQ17" i="3"/>
  <c r="AS17" i="3" s="1"/>
  <c r="AO17" i="3"/>
  <c r="AV17" i="3" s="1"/>
  <c r="AR9" i="3"/>
  <c r="AT9" i="3" s="1"/>
  <c r="AP9" i="3"/>
  <c r="AQ9" i="3"/>
  <c r="AS9" i="3" s="1"/>
  <c r="AO9" i="3"/>
  <c r="AZ36" i="3"/>
  <c r="BG36" i="3" s="1"/>
  <c r="BC36" i="3"/>
  <c r="BE36" i="3" s="1"/>
  <c r="BA36" i="3"/>
  <c r="BB36" i="3"/>
  <c r="BD36" i="3" s="1"/>
  <c r="AZ28" i="3"/>
  <c r="BG28" i="3" s="1"/>
  <c r="BC28" i="3"/>
  <c r="BE28" i="3" s="1"/>
  <c r="BA28" i="3"/>
  <c r="BB28" i="3"/>
  <c r="BD28" i="3" s="1"/>
  <c r="BF28" i="3" s="1"/>
  <c r="BI28" i="3" s="1"/>
  <c r="AZ20" i="3"/>
  <c r="BG20" i="3" s="1"/>
  <c r="BJ20" i="3" s="1"/>
  <c r="BC20" i="3"/>
  <c r="BE20" i="3" s="1"/>
  <c r="BA20" i="3"/>
  <c r="BB20" i="3"/>
  <c r="BD20" i="3" s="1"/>
  <c r="AZ12" i="3"/>
  <c r="BC12" i="3"/>
  <c r="BE12" i="3" s="1"/>
  <c r="BA12" i="3"/>
  <c r="T34" i="3"/>
  <c r="T26" i="3"/>
  <c r="AD38" i="3"/>
  <c r="AK38" i="3" s="1"/>
  <c r="X18" i="3"/>
  <c r="BC39" i="3"/>
  <c r="BE39" i="3" s="1"/>
  <c r="AG40" i="3"/>
  <c r="AI40" i="3" s="1"/>
  <c r="AR40" i="3"/>
  <c r="AT40" i="3" s="1"/>
  <c r="AE37" i="3"/>
  <c r="AE29" i="3"/>
  <c r="AE21" i="3"/>
  <c r="AE13" i="3"/>
  <c r="AE5" i="3"/>
  <c r="AP32" i="3"/>
  <c r="AQ32" i="3"/>
  <c r="AS32" i="3" s="1"/>
  <c r="AU32" i="3" s="1"/>
  <c r="AX32" i="3" s="1"/>
  <c r="AY32" i="3" s="1"/>
  <c r="AO32" i="3"/>
  <c r="AV32" i="3" s="1"/>
  <c r="AP24" i="3"/>
  <c r="AQ24" i="3"/>
  <c r="AS24" i="3" s="1"/>
  <c r="AR24" i="3"/>
  <c r="AT24" i="3" s="1"/>
  <c r="AO24" i="3"/>
  <c r="AV24" i="3" s="1"/>
  <c r="AP16" i="3"/>
  <c r="AQ16" i="3"/>
  <c r="AS16" i="3" s="1"/>
  <c r="AR16" i="3"/>
  <c r="AT16" i="3" s="1"/>
  <c r="AO16" i="3"/>
  <c r="AV16" i="3" s="1"/>
  <c r="AP8" i="3"/>
  <c r="AQ8" i="3"/>
  <c r="AS8" i="3" s="1"/>
  <c r="AO8" i="3"/>
  <c r="AV8" i="3" s="1"/>
  <c r="AR8" i="3"/>
  <c r="AT8" i="3" s="1"/>
  <c r="BC35" i="3"/>
  <c r="BE35" i="3" s="1"/>
  <c r="BA35" i="3"/>
  <c r="BB35" i="3"/>
  <c r="BD35" i="3" s="1"/>
  <c r="BF35" i="3" s="1"/>
  <c r="AZ35" i="3"/>
  <c r="BC27" i="3"/>
  <c r="BE27" i="3" s="1"/>
  <c r="BA27" i="3"/>
  <c r="BB27" i="3"/>
  <c r="BD27" i="3" s="1"/>
  <c r="BF27" i="3" s="1"/>
  <c r="BI27" i="3" s="1"/>
  <c r="AZ27" i="3"/>
  <c r="BG27" i="3" s="1"/>
  <c r="BC19" i="3"/>
  <c r="BE19" i="3" s="1"/>
  <c r="BA19" i="3"/>
  <c r="BB19" i="3"/>
  <c r="BD19" i="3" s="1"/>
  <c r="BF19" i="3" s="1"/>
  <c r="BI19" i="3" s="1"/>
  <c r="AZ19" i="3"/>
  <c r="BG19" i="3" s="1"/>
  <c r="BC11" i="3"/>
  <c r="BE11" i="3" s="1"/>
  <c r="BA11" i="3"/>
  <c r="BB11" i="3"/>
  <c r="BD11" i="3" s="1"/>
  <c r="BF11" i="3" s="1"/>
  <c r="BI11" i="3" s="1"/>
  <c r="U6" i="3"/>
  <c r="W6" i="3" s="1"/>
  <c r="Y6" i="3" s="1"/>
  <c r="AD37" i="3"/>
  <c r="AD14" i="3"/>
  <c r="AK14" i="3" s="1"/>
  <c r="AE32" i="3"/>
  <c r="AF24" i="3"/>
  <c r="AH24" i="3" s="1"/>
  <c r="AF5" i="3"/>
  <c r="AH5" i="3" s="1"/>
  <c r="AR32" i="3"/>
  <c r="AT32" i="3" s="1"/>
  <c r="AZ11" i="3"/>
  <c r="BG11" i="3" s="1"/>
  <c r="BJ11" i="3" s="1"/>
  <c r="AC5" i="6"/>
  <c r="AE5" i="6" s="1"/>
  <c r="AD5" i="6"/>
  <c r="AH5" i="6" s="1"/>
  <c r="AA5" i="6"/>
  <c r="AF5" i="6" s="1"/>
  <c r="AB5" i="6"/>
  <c r="AG5" i="6" s="1"/>
  <c r="AD7" i="6"/>
  <c r="AH7" i="6" s="1"/>
  <c r="AA7" i="6"/>
  <c r="AF7" i="6" s="1"/>
  <c r="AC7" i="6"/>
  <c r="AE7" i="6" s="1"/>
  <c r="AB7" i="6"/>
  <c r="AG7" i="6" s="1"/>
  <c r="AD9" i="6"/>
  <c r="AH9" i="6" s="1"/>
  <c r="AB9" i="6"/>
  <c r="AG9" i="6" s="1"/>
  <c r="AC9" i="6"/>
  <c r="AA9" i="6"/>
  <c r="AF9" i="6" s="1"/>
  <c r="AA11" i="6"/>
  <c r="AF11" i="6" s="1"/>
  <c r="AC11" i="6"/>
  <c r="AB11" i="6"/>
  <c r="AG11" i="6" s="1"/>
  <c r="AD11" i="6"/>
  <c r="AH11" i="6" s="1"/>
  <c r="AC13" i="6"/>
  <c r="AE13" i="6" s="1"/>
  <c r="AA13" i="6"/>
  <c r="AF13" i="6" s="1"/>
  <c r="AB13" i="6"/>
  <c r="AG13" i="6" s="1"/>
  <c r="AD13" i="6"/>
  <c r="AH13" i="6" s="1"/>
  <c r="AD15" i="6"/>
  <c r="AH15" i="6" s="1"/>
  <c r="AC15" i="6"/>
  <c r="AE15" i="6" s="1"/>
  <c r="AA15" i="6"/>
  <c r="AF15" i="6" s="1"/>
  <c r="AB15" i="6"/>
  <c r="AG15" i="6" s="1"/>
  <c r="AD17" i="6"/>
  <c r="AH17" i="6" s="1"/>
  <c r="AB17" i="6"/>
  <c r="AG17" i="6" s="1"/>
  <c r="AC17" i="6"/>
  <c r="AA17" i="6"/>
  <c r="AF17" i="6" s="1"/>
  <c r="AA19" i="6"/>
  <c r="AF19" i="6" s="1"/>
  <c r="AD19" i="6"/>
  <c r="AH19" i="6" s="1"/>
  <c r="AB19" i="6"/>
  <c r="AG19" i="6" s="1"/>
  <c r="AC19" i="6"/>
  <c r="AE19" i="6" s="1"/>
  <c r="AC21" i="6"/>
  <c r="AE21" i="6" s="1"/>
  <c r="AA21" i="6"/>
  <c r="AF21" i="6" s="1"/>
  <c r="AD21" i="6"/>
  <c r="AH21" i="6" s="1"/>
  <c r="AB21" i="6"/>
  <c r="AG21" i="6" s="1"/>
  <c r="AC23" i="6"/>
  <c r="AA23" i="6"/>
  <c r="AF23" i="6" s="1"/>
  <c r="AD23" i="6"/>
  <c r="AH23" i="6" s="1"/>
  <c r="AB23" i="6"/>
  <c r="AG23" i="6" s="1"/>
  <c r="AD25" i="6"/>
  <c r="AH25" i="6" s="1"/>
  <c r="AB25" i="6"/>
  <c r="AG25" i="6" s="1"/>
  <c r="AC25" i="6"/>
  <c r="AA25" i="6"/>
  <c r="AF25" i="6" s="1"/>
  <c r="AA27" i="6"/>
  <c r="AF27" i="6" s="1"/>
  <c r="AD27" i="6"/>
  <c r="AH27" i="6" s="1"/>
  <c r="AB27" i="6"/>
  <c r="AG27" i="6" s="1"/>
  <c r="AC27" i="6"/>
  <c r="AA29" i="6"/>
  <c r="AF29" i="6" s="1"/>
  <c r="AI29" i="6" s="1"/>
  <c r="AD29" i="6"/>
  <c r="AH29" i="6" s="1"/>
  <c r="AB29" i="6"/>
  <c r="AG29" i="6" s="1"/>
  <c r="AC29" i="6"/>
  <c r="AE29" i="6" s="1"/>
  <c r="AC31" i="6"/>
  <c r="AA31" i="6"/>
  <c r="AF31" i="6" s="1"/>
  <c r="AD31" i="6"/>
  <c r="AH31" i="6" s="1"/>
  <c r="AB31" i="6"/>
  <c r="AG31" i="6" s="1"/>
  <c r="AD33" i="6"/>
  <c r="AH33" i="6" s="1"/>
  <c r="AB33" i="6"/>
  <c r="AG33" i="6" s="1"/>
  <c r="AC33" i="6"/>
  <c r="AA33" i="6"/>
  <c r="AF33" i="6" s="1"/>
  <c r="AA35" i="6"/>
  <c r="AF35" i="6" s="1"/>
  <c r="AB35" i="6"/>
  <c r="AG35" i="6" s="1"/>
  <c r="AC35" i="6"/>
  <c r="AD35" i="6"/>
  <c r="AH35" i="6" s="1"/>
  <c r="AD37" i="6"/>
  <c r="AH37" i="6" s="1"/>
  <c r="AA37" i="6"/>
  <c r="AF37" i="6" s="1"/>
  <c r="AB37" i="6"/>
  <c r="AG37" i="6" s="1"/>
  <c r="AC37" i="6"/>
  <c r="AJ5" i="6"/>
  <c r="AO5" i="6" s="1"/>
  <c r="AL5" i="6"/>
  <c r="AN5" i="6" s="1"/>
  <c r="AK5" i="6"/>
  <c r="AP5" i="6" s="1"/>
  <c r="AM5" i="6"/>
  <c r="AQ5" i="6" s="1"/>
  <c r="AM7" i="6"/>
  <c r="AQ7" i="6" s="1"/>
  <c r="AK7" i="6"/>
  <c r="AP7" i="6" s="1"/>
  <c r="AJ7" i="6"/>
  <c r="AO7" i="6" s="1"/>
  <c r="AL7" i="6"/>
  <c r="AK9" i="6"/>
  <c r="AP9" i="6" s="1"/>
  <c r="AJ9" i="6"/>
  <c r="AO9" i="6" s="1"/>
  <c r="AM9" i="6"/>
  <c r="AQ9" i="6" s="1"/>
  <c r="AL9" i="6"/>
  <c r="AN9" i="6" s="1"/>
  <c r="AL11" i="6"/>
  <c r="AN11" i="6" s="1"/>
  <c r="AJ11" i="6"/>
  <c r="AO11" i="6" s="1"/>
  <c r="AK11" i="6"/>
  <c r="AP11" i="6" s="1"/>
  <c r="AM11" i="6"/>
  <c r="AQ11" i="6" s="1"/>
  <c r="AL13" i="6"/>
  <c r="AK13" i="6"/>
  <c r="AP13" i="6" s="1"/>
  <c r="AM13" i="6"/>
  <c r="AQ13" i="6" s="1"/>
  <c r="AJ13" i="6"/>
  <c r="AO13" i="6" s="1"/>
  <c r="AM15" i="6"/>
  <c r="AQ15" i="6" s="1"/>
  <c r="AK15" i="6"/>
  <c r="AP15" i="6" s="1"/>
  <c r="AJ15" i="6"/>
  <c r="AO15" i="6" s="1"/>
  <c r="AL15" i="6"/>
  <c r="AK17" i="6"/>
  <c r="AP17" i="6" s="1"/>
  <c r="AJ17" i="6"/>
  <c r="AO17" i="6" s="1"/>
  <c r="AM17" i="6"/>
  <c r="AQ17" i="6" s="1"/>
  <c r="AL17" i="6"/>
  <c r="AL19" i="6"/>
  <c r="AN19" i="6" s="1"/>
  <c r="AJ19" i="6"/>
  <c r="AO19" i="6" s="1"/>
  <c r="AK19" i="6"/>
  <c r="AP19" i="6" s="1"/>
  <c r="AM19" i="6"/>
  <c r="AQ19" i="6" s="1"/>
  <c r="AM21" i="6"/>
  <c r="AQ21" i="6" s="1"/>
  <c r="AJ21" i="6"/>
  <c r="AO21" i="6" s="1"/>
  <c r="AK21" i="6"/>
  <c r="AP21" i="6" s="1"/>
  <c r="AL21" i="6"/>
  <c r="AN21" i="6" s="1"/>
  <c r="AM23" i="6"/>
  <c r="AQ23" i="6" s="1"/>
  <c r="AK23" i="6"/>
  <c r="AP23" i="6" s="1"/>
  <c r="AJ23" i="6"/>
  <c r="AO23" i="6" s="1"/>
  <c r="AL23" i="6"/>
  <c r="AK25" i="6"/>
  <c r="AP25" i="6" s="1"/>
  <c r="AJ25" i="6"/>
  <c r="AO25" i="6" s="1"/>
  <c r="AM25" i="6"/>
  <c r="AQ25" i="6" s="1"/>
  <c r="AL25" i="6"/>
  <c r="AL27" i="6"/>
  <c r="AN27" i="6" s="1"/>
  <c r="AJ27" i="6"/>
  <c r="AO27" i="6" s="1"/>
  <c r="AK27" i="6"/>
  <c r="AP27" i="6" s="1"/>
  <c r="AM27" i="6"/>
  <c r="AQ27" i="6" s="1"/>
  <c r="AJ29" i="6"/>
  <c r="AO29" i="6" s="1"/>
  <c r="AM29" i="6"/>
  <c r="AQ29" i="6" s="1"/>
  <c r="AL29" i="6"/>
  <c r="AK29" i="6"/>
  <c r="AP29" i="6" s="1"/>
  <c r="AM31" i="6"/>
  <c r="AQ31" i="6" s="1"/>
  <c r="AK31" i="6"/>
  <c r="AP31" i="6" s="1"/>
  <c r="AL31" i="6"/>
  <c r="AJ31" i="6"/>
  <c r="AO31" i="6" s="1"/>
  <c r="AK33" i="6"/>
  <c r="AP33" i="6" s="1"/>
  <c r="AJ33" i="6"/>
  <c r="AO33" i="6" s="1"/>
  <c r="AM33" i="6"/>
  <c r="AQ33" i="6" s="1"/>
  <c r="AL33" i="6"/>
  <c r="AL35" i="6"/>
  <c r="AN35" i="6" s="1"/>
  <c r="AJ35" i="6"/>
  <c r="AO35" i="6" s="1"/>
  <c r="AK35" i="6"/>
  <c r="AP35" i="6" s="1"/>
  <c r="AM35" i="6"/>
  <c r="AQ35" i="6" s="1"/>
  <c r="AJ37" i="6"/>
  <c r="AO37" i="6" s="1"/>
  <c r="AL37" i="6"/>
  <c r="AN37" i="6" s="1"/>
  <c r="AK37" i="6"/>
  <c r="AP37" i="6" s="1"/>
  <c r="AM37" i="6"/>
  <c r="AQ37" i="6" s="1"/>
  <c r="C51" i="6"/>
  <c r="AT39" i="6"/>
  <c r="AY39" i="6" s="1"/>
  <c r="AB40" i="6"/>
  <c r="AG40" i="6" s="1"/>
  <c r="AK40" i="6"/>
  <c r="AP40" i="6" s="1"/>
  <c r="S40" i="6"/>
  <c r="X40" i="6" s="1"/>
  <c r="AS5" i="6"/>
  <c r="AX5" i="6" s="1"/>
  <c r="AT5" i="6"/>
  <c r="AY5" i="6" s="1"/>
  <c r="AU5" i="6"/>
  <c r="AV5" i="6"/>
  <c r="AZ5" i="6" s="1"/>
  <c r="AT7" i="6"/>
  <c r="AY7" i="6" s="1"/>
  <c r="AS7" i="6"/>
  <c r="AX7" i="6" s="1"/>
  <c r="AV7" i="6"/>
  <c r="AZ7" i="6" s="1"/>
  <c r="AU7" i="6"/>
  <c r="AT9" i="6"/>
  <c r="AY9" i="6" s="1"/>
  <c r="AS9" i="6"/>
  <c r="AX9" i="6" s="1"/>
  <c r="BA9" i="6" s="1"/>
  <c r="AV9" i="6"/>
  <c r="AZ9" i="6" s="1"/>
  <c r="AU9" i="6"/>
  <c r="AW9" i="6" s="1"/>
  <c r="AS11" i="6"/>
  <c r="AX11" i="6" s="1"/>
  <c r="AV11" i="6"/>
  <c r="AZ11" i="6" s="1"/>
  <c r="AT11" i="6"/>
  <c r="AY11" i="6" s="1"/>
  <c r="AU11" i="6"/>
  <c r="AT13" i="6"/>
  <c r="AY13" i="6" s="1"/>
  <c r="AU13" i="6"/>
  <c r="AW13" i="6" s="1"/>
  <c r="AV13" i="6"/>
  <c r="AZ13" i="6" s="1"/>
  <c r="AS13" i="6"/>
  <c r="AX13" i="6" s="1"/>
  <c r="BA13" i="6" s="1"/>
  <c r="AT15" i="6"/>
  <c r="AY15" i="6" s="1"/>
  <c r="AS15" i="6"/>
  <c r="AX15" i="6" s="1"/>
  <c r="AV15" i="6"/>
  <c r="AZ15" i="6" s="1"/>
  <c r="AU15" i="6"/>
  <c r="AT17" i="6"/>
  <c r="AY17" i="6" s="1"/>
  <c r="AS17" i="6"/>
  <c r="AX17" i="6" s="1"/>
  <c r="BA17" i="6" s="1"/>
  <c r="AV17" i="6"/>
  <c r="AZ17" i="6" s="1"/>
  <c r="AU17" i="6"/>
  <c r="AW17" i="6" s="1"/>
  <c r="AS19" i="6"/>
  <c r="AX19" i="6" s="1"/>
  <c r="AT19" i="6"/>
  <c r="AY19" i="6" s="1"/>
  <c r="AV19" i="6"/>
  <c r="AZ19" i="6" s="1"/>
  <c r="AU19" i="6"/>
  <c r="AU21" i="6"/>
  <c r="AV21" i="6"/>
  <c r="AZ21" i="6" s="1"/>
  <c r="AT21" i="6"/>
  <c r="AY21" i="6" s="1"/>
  <c r="AS21" i="6"/>
  <c r="AX21" i="6" s="1"/>
  <c r="BA21" i="6" s="1"/>
  <c r="AT23" i="6"/>
  <c r="AY23" i="6" s="1"/>
  <c r="AS23" i="6"/>
  <c r="AX23" i="6" s="1"/>
  <c r="AV23" i="6"/>
  <c r="AZ23" i="6" s="1"/>
  <c r="AU23" i="6"/>
  <c r="AT25" i="6"/>
  <c r="AY25" i="6" s="1"/>
  <c r="AS25" i="6"/>
  <c r="AX25" i="6" s="1"/>
  <c r="BA25" i="6" s="1"/>
  <c r="AV25" i="6"/>
  <c r="AZ25" i="6" s="1"/>
  <c r="AU25" i="6"/>
  <c r="AW25" i="6" s="1"/>
  <c r="AS27" i="6"/>
  <c r="AX27" i="6" s="1"/>
  <c r="AT27" i="6"/>
  <c r="AY27" i="6" s="1"/>
  <c r="AU27" i="6"/>
  <c r="AW27" i="6" s="1"/>
  <c r="AV27" i="6"/>
  <c r="AZ27" i="6" s="1"/>
  <c r="AV29" i="6"/>
  <c r="AZ29" i="6" s="1"/>
  <c r="AS29" i="6"/>
  <c r="AX29" i="6" s="1"/>
  <c r="AT29" i="6"/>
  <c r="AY29" i="6" s="1"/>
  <c r="AU29" i="6"/>
  <c r="AW29" i="6" s="1"/>
  <c r="AT31" i="6"/>
  <c r="AY31" i="6" s="1"/>
  <c r="AV31" i="6"/>
  <c r="AZ31" i="6" s="1"/>
  <c r="AU31" i="6"/>
  <c r="AS31" i="6"/>
  <c r="AX31" i="6" s="1"/>
  <c r="AT33" i="6"/>
  <c r="AY33" i="6" s="1"/>
  <c r="AS33" i="6"/>
  <c r="AX33" i="6" s="1"/>
  <c r="BA33" i="6" s="1"/>
  <c r="AV33" i="6"/>
  <c r="AZ33" i="6" s="1"/>
  <c r="AU33" i="6"/>
  <c r="AW33" i="6" s="1"/>
  <c r="AS35" i="6"/>
  <c r="AX35" i="6" s="1"/>
  <c r="AT35" i="6"/>
  <c r="AY35" i="6" s="1"/>
  <c r="AU35" i="6"/>
  <c r="AW35" i="6" s="1"/>
  <c r="AV35" i="6"/>
  <c r="AZ35" i="6" s="1"/>
  <c r="AS37" i="6"/>
  <c r="AX37" i="6" s="1"/>
  <c r="AT37" i="6"/>
  <c r="AY37" i="6" s="1"/>
  <c r="AU37" i="6"/>
  <c r="AV37" i="6"/>
  <c r="AZ37" i="6" s="1"/>
  <c r="T4" i="6"/>
  <c r="R4" i="6"/>
  <c r="W4" i="6" s="1"/>
  <c r="U4" i="6"/>
  <c r="Y4" i="6" s="1"/>
  <c r="S4" i="6"/>
  <c r="X4" i="6" s="1"/>
  <c r="R6" i="6"/>
  <c r="W6" i="6" s="1"/>
  <c r="U6" i="6"/>
  <c r="Y6" i="6" s="1"/>
  <c r="S6" i="6"/>
  <c r="X6" i="6" s="1"/>
  <c r="T6" i="6"/>
  <c r="V6" i="6" s="1"/>
  <c r="T8" i="6"/>
  <c r="R8" i="6"/>
  <c r="W8" i="6" s="1"/>
  <c r="U8" i="6"/>
  <c r="Y8" i="6" s="1"/>
  <c r="S8" i="6"/>
  <c r="X8" i="6" s="1"/>
  <c r="S10" i="6"/>
  <c r="X10" i="6" s="1"/>
  <c r="T10" i="6"/>
  <c r="R10" i="6"/>
  <c r="W10" i="6" s="1"/>
  <c r="U10" i="6"/>
  <c r="Y10" i="6" s="1"/>
  <c r="U12" i="6"/>
  <c r="Y12" i="6" s="1"/>
  <c r="S12" i="6"/>
  <c r="X12" i="6" s="1"/>
  <c r="T12" i="6"/>
  <c r="V12" i="6" s="1"/>
  <c r="R12" i="6"/>
  <c r="W12" i="6" s="1"/>
  <c r="R14" i="6"/>
  <c r="W14" i="6" s="1"/>
  <c r="U14" i="6"/>
  <c r="Y14" i="6" s="1"/>
  <c r="S14" i="6"/>
  <c r="X14" i="6" s="1"/>
  <c r="T14" i="6"/>
  <c r="V14" i="6" s="1"/>
  <c r="T16" i="6"/>
  <c r="R16" i="6"/>
  <c r="W16" i="6" s="1"/>
  <c r="U16" i="6"/>
  <c r="Y16" i="6" s="1"/>
  <c r="S16" i="6"/>
  <c r="X16" i="6" s="1"/>
  <c r="S18" i="6"/>
  <c r="X18" i="6" s="1"/>
  <c r="T18" i="6"/>
  <c r="R18" i="6"/>
  <c r="W18" i="6" s="1"/>
  <c r="U18" i="6"/>
  <c r="Y18" i="6" s="1"/>
  <c r="U20" i="6"/>
  <c r="Y20" i="6" s="1"/>
  <c r="S20" i="6"/>
  <c r="X20" i="6" s="1"/>
  <c r="T20" i="6"/>
  <c r="V20" i="6" s="1"/>
  <c r="R20" i="6"/>
  <c r="W20" i="6" s="1"/>
  <c r="R22" i="6"/>
  <c r="W22" i="6" s="1"/>
  <c r="U22" i="6"/>
  <c r="Y22" i="6" s="1"/>
  <c r="S22" i="6"/>
  <c r="X22" i="6" s="1"/>
  <c r="T22" i="6"/>
  <c r="V22" i="6" s="1"/>
  <c r="T24" i="6"/>
  <c r="R24" i="6"/>
  <c r="W24" i="6" s="1"/>
  <c r="U24" i="6"/>
  <c r="Y24" i="6" s="1"/>
  <c r="S24" i="6"/>
  <c r="X24" i="6" s="1"/>
  <c r="S26" i="6"/>
  <c r="X26" i="6" s="1"/>
  <c r="T26" i="6"/>
  <c r="R26" i="6"/>
  <c r="W26" i="6" s="1"/>
  <c r="U26" i="6"/>
  <c r="Y26" i="6" s="1"/>
  <c r="U28" i="6"/>
  <c r="Y28" i="6" s="1"/>
  <c r="S28" i="6"/>
  <c r="X28" i="6" s="1"/>
  <c r="T28" i="6"/>
  <c r="R28" i="6"/>
  <c r="W28" i="6" s="1"/>
  <c r="R30" i="6"/>
  <c r="W30" i="6" s="1"/>
  <c r="U30" i="6"/>
  <c r="Y30" i="6" s="1"/>
  <c r="S30" i="6"/>
  <c r="X30" i="6" s="1"/>
  <c r="T30" i="6"/>
  <c r="V30" i="6" s="1"/>
  <c r="T32" i="6"/>
  <c r="R32" i="6"/>
  <c r="W32" i="6" s="1"/>
  <c r="U32" i="6"/>
  <c r="Y32" i="6" s="1"/>
  <c r="S32" i="6"/>
  <c r="X32" i="6" s="1"/>
  <c r="S34" i="6"/>
  <c r="X34" i="6" s="1"/>
  <c r="T34" i="6"/>
  <c r="R34" i="6"/>
  <c r="W34" i="6" s="1"/>
  <c r="U34" i="6"/>
  <c r="Y34" i="6" s="1"/>
  <c r="U36" i="6"/>
  <c r="Y36" i="6" s="1"/>
  <c r="S36" i="6"/>
  <c r="X36" i="6" s="1"/>
  <c r="T36" i="6"/>
  <c r="V36" i="6" s="1"/>
  <c r="R36" i="6"/>
  <c r="W36" i="6" s="1"/>
  <c r="R38" i="6"/>
  <c r="W38" i="6" s="1"/>
  <c r="U38" i="6"/>
  <c r="Y38" i="6" s="1"/>
  <c r="S38" i="6"/>
  <c r="X38" i="6" s="1"/>
  <c r="T38" i="6"/>
  <c r="V38" i="6" s="1"/>
  <c r="AU39" i="6"/>
  <c r="AL40" i="6"/>
  <c r="T40" i="6"/>
  <c r="AC40" i="6"/>
  <c r="AB4" i="6"/>
  <c r="AG4" i="6" s="1"/>
  <c r="AD4" i="6"/>
  <c r="AH4" i="6" s="1"/>
  <c r="AC4" i="6"/>
  <c r="AA4" i="6"/>
  <c r="AF4" i="6" s="1"/>
  <c r="AI4" i="6" s="1"/>
  <c r="AD6" i="6"/>
  <c r="AH6" i="6" s="1"/>
  <c r="AA6" i="6"/>
  <c r="AF6" i="6" s="1"/>
  <c r="AI6" i="6" s="1"/>
  <c r="AC6" i="6"/>
  <c r="AE6" i="6" s="1"/>
  <c r="AB6" i="6"/>
  <c r="AG6" i="6" s="1"/>
  <c r="AD8" i="6"/>
  <c r="AH8" i="6" s="1"/>
  <c r="AB8" i="6"/>
  <c r="AG8" i="6" s="1"/>
  <c r="AA8" i="6"/>
  <c r="AF8" i="6" s="1"/>
  <c r="AC8" i="6"/>
  <c r="AE8" i="6" s="1"/>
  <c r="AC10" i="6"/>
  <c r="AB10" i="6"/>
  <c r="AG10" i="6" s="1"/>
  <c r="AD10" i="6"/>
  <c r="AH10" i="6" s="1"/>
  <c r="AA10" i="6"/>
  <c r="AF10" i="6" s="1"/>
  <c r="AC12" i="6"/>
  <c r="AA12" i="6"/>
  <c r="AF12" i="6" s="1"/>
  <c r="AB12" i="6"/>
  <c r="AG12" i="6" s="1"/>
  <c r="AD12" i="6"/>
  <c r="AH12" i="6" s="1"/>
  <c r="AD14" i="6"/>
  <c r="AH14" i="6" s="1"/>
  <c r="AC14" i="6"/>
  <c r="AE14" i="6" s="1"/>
  <c r="AA14" i="6"/>
  <c r="AF14" i="6" s="1"/>
  <c r="AI14" i="6" s="1"/>
  <c r="AB14" i="6"/>
  <c r="AG14" i="6" s="1"/>
  <c r="AD16" i="6"/>
  <c r="AH16" i="6" s="1"/>
  <c r="AB16" i="6"/>
  <c r="AG16" i="6" s="1"/>
  <c r="AC16" i="6"/>
  <c r="AA16" i="6"/>
  <c r="AF16" i="6" s="1"/>
  <c r="AI16" i="6" s="1"/>
  <c r="AD18" i="6"/>
  <c r="AH18" i="6" s="1"/>
  <c r="AB18" i="6"/>
  <c r="AG18" i="6" s="1"/>
  <c r="AC18" i="6"/>
  <c r="AE18" i="6" s="1"/>
  <c r="AA18" i="6"/>
  <c r="AF18" i="6" s="1"/>
  <c r="AC20" i="6"/>
  <c r="AE20" i="6" s="1"/>
  <c r="AA20" i="6"/>
  <c r="AF20" i="6" s="1"/>
  <c r="AD20" i="6"/>
  <c r="AH20" i="6" s="1"/>
  <c r="AB20" i="6"/>
  <c r="AG20" i="6" s="1"/>
  <c r="AC22" i="6"/>
  <c r="AA22" i="6"/>
  <c r="AF22" i="6" s="1"/>
  <c r="AD22" i="6"/>
  <c r="AH22" i="6" s="1"/>
  <c r="AB22" i="6"/>
  <c r="AG22" i="6" s="1"/>
  <c r="AD24" i="6"/>
  <c r="AH24" i="6" s="1"/>
  <c r="AB24" i="6"/>
  <c r="AG24" i="6" s="1"/>
  <c r="AC24" i="6"/>
  <c r="AA24" i="6"/>
  <c r="AF24" i="6" s="1"/>
  <c r="AI24" i="6" s="1"/>
  <c r="AD26" i="6"/>
  <c r="AH26" i="6" s="1"/>
  <c r="AB26" i="6"/>
  <c r="AG26" i="6" s="1"/>
  <c r="AC26" i="6"/>
  <c r="AE26" i="6" s="1"/>
  <c r="AA26" i="6"/>
  <c r="AF26" i="6" s="1"/>
  <c r="AC28" i="6"/>
  <c r="AA28" i="6"/>
  <c r="AF28" i="6" s="1"/>
  <c r="AD28" i="6"/>
  <c r="AH28" i="6" s="1"/>
  <c r="AB28" i="6"/>
  <c r="AG28" i="6" s="1"/>
  <c r="AI28" i="6" s="1"/>
  <c r="AC30" i="6"/>
  <c r="AA30" i="6"/>
  <c r="AF30" i="6" s="1"/>
  <c r="AD30" i="6"/>
  <c r="AH30" i="6" s="1"/>
  <c r="AB30" i="6"/>
  <c r="AG30" i="6" s="1"/>
  <c r="AD32" i="6"/>
  <c r="AH32" i="6" s="1"/>
  <c r="AB32" i="6"/>
  <c r="AG32" i="6" s="1"/>
  <c r="AC32" i="6"/>
  <c r="AA32" i="6"/>
  <c r="AF32" i="6" s="1"/>
  <c r="AI32" i="6" s="1"/>
  <c r="AB34" i="6"/>
  <c r="AG34" i="6" s="1"/>
  <c r="AC34" i="6"/>
  <c r="AE34" i="6" s="1"/>
  <c r="AA34" i="6"/>
  <c r="AF34" i="6" s="1"/>
  <c r="AI34" i="6" s="1"/>
  <c r="AD34" i="6"/>
  <c r="AH34" i="6" s="1"/>
  <c r="AD36" i="6"/>
  <c r="AH36" i="6" s="1"/>
  <c r="AA36" i="6"/>
  <c r="AF36" i="6" s="1"/>
  <c r="AB36" i="6"/>
  <c r="AG36" i="6" s="1"/>
  <c r="AC36" i="6"/>
  <c r="AE36" i="6" s="1"/>
  <c r="AC38" i="6"/>
  <c r="AD38" i="6"/>
  <c r="AH38" i="6" s="1"/>
  <c r="AA38" i="6"/>
  <c r="AF38" i="6" s="1"/>
  <c r="AI38" i="6" s="1"/>
  <c r="AB38" i="6"/>
  <c r="AG38" i="6" s="1"/>
  <c r="AV39" i="6"/>
  <c r="AZ39" i="6" s="1"/>
  <c r="AM40" i="6"/>
  <c r="AQ40" i="6" s="1"/>
  <c r="AD40" i="6"/>
  <c r="AH40" i="6" s="1"/>
  <c r="U40" i="6"/>
  <c r="Y40" i="6" s="1"/>
  <c r="AK4" i="6"/>
  <c r="AP4" i="6" s="1"/>
  <c r="AM4" i="6"/>
  <c r="AQ4" i="6" s="1"/>
  <c r="AL4" i="6"/>
  <c r="AN4" i="6" s="1"/>
  <c r="AJ4" i="6"/>
  <c r="AO4" i="6" s="1"/>
  <c r="AJ6" i="6"/>
  <c r="AO6" i="6" s="1"/>
  <c r="AL6" i="6"/>
  <c r="AK6" i="6"/>
  <c r="AP6" i="6" s="1"/>
  <c r="AM6" i="6"/>
  <c r="AQ6" i="6" s="1"/>
  <c r="AK8" i="6"/>
  <c r="AP8" i="6" s="1"/>
  <c r="AJ8" i="6"/>
  <c r="AO8" i="6" s="1"/>
  <c r="AM8" i="6"/>
  <c r="AQ8" i="6" s="1"/>
  <c r="AL8" i="6"/>
  <c r="AK10" i="6"/>
  <c r="AP10" i="6" s="1"/>
  <c r="AJ10" i="6"/>
  <c r="AO10" i="6" s="1"/>
  <c r="AM10" i="6"/>
  <c r="AQ10" i="6" s="1"/>
  <c r="AL10" i="6"/>
  <c r="AN10" i="6" s="1"/>
  <c r="AM12" i="6"/>
  <c r="AQ12" i="6" s="1"/>
  <c r="AJ12" i="6"/>
  <c r="AO12" i="6" s="1"/>
  <c r="AR12" i="6" s="1"/>
  <c r="AL12" i="6"/>
  <c r="AN12" i="6" s="1"/>
  <c r="AK12" i="6"/>
  <c r="AP12" i="6" s="1"/>
  <c r="AJ14" i="6"/>
  <c r="AO14" i="6" s="1"/>
  <c r="AL14" i="6"/>
  <c r="AK14" i="6"/>
  <c r="AP14" i="6" s="1"/>
  <c r="AM14" i="6"/>
  <c r="AQ14" i="6" s="1"/>
  <c r="AK16" i="6"/>
  <c r="AP16" i="6" s="1"/>
  <c r="AJ16" i="6"/>
  <c r="AO16" i="6" s="1"/>
  <c r="AM16" i="6"/>
  <c r="AQ16" i="6" s="1"/>
  <c r="AL16" i="6"/>
  <c r="AK18" i="6"/>
  <c r="AP18" i="6" s="1"/>
  <c r="AJ18" i="6"/>
  <c r="AO18" i="6" s="1"/>
  <c r="AR18" i="6" s="1"/>
  <c r="AM18" i="6"/>
  <c r="AQ18" i="6" s="1"/>
  <c r="AL18" i="6"/>
  <c r="AN18" i="6" s="1"/>
  <c r="AJ20" i="6"/>
  <c r="AO20" i="6" s="1"/>
  <c r="AL20" i="6"/>
  <c r="AN20" i="6" s="1"/>
  <c r="AK20" i="6"/>
  <c r="AP20" i="6" s="1"/>
  <c r="AM20" i="6"/>
  <c r="AQ20" i="6" s="1"/>
  <c r="AL22" i="6"/>
  <c r="AK22" i="6"/>
  <c r="AP22" i="6" s="1"/>
  <c r="AM22" i="6"/>
  <c r="AQ22" i="6" s="1"/>
  <c r="AJ22" i="6"/>
  <c r="AO22" i="6" s="1"/>
  <c r="AR22" i="6" s="1"/>
  <c r="AK24" i="6"/>
  <c r="AP24" i="6" s="1"/>
  <c r="AJ24" i="6"/>
  <c r="AO24" i="6" s="1"/>
  <c r="AM24" i="6"/>
  <c r="AQ24" i="6" s="1"/>
  <c r="AL24" i="6"/>
  <c r="AK26" i="6"/>
  <c r="AP26" i="6" s="1"/>
  <c r="AJ26" i="6"/>
  <c r="AO26" i="6" s="1"/>
  <c r="AM26" i="6"/>
  <c r="AQ26" i="6" s="1"/>
  <c r="AL26" i="6"/>
  <c r="AN26" i="6" s="1"/>
  <c r="AJ28" i="6"/>
  <c r="AO28" i="6" s="1"/>
  <c r="AL28" i="6"/>
  <c r="AK28" i="6"/>
  <c r="AP28" i="6" s="1"/>
  <c r="AM28" i="6"/>
  <c r="AQ28" i="6" s="1"/>
  <c r="AM30" i="6"/>
  <c r="AQ30" i="6" s="1"/>
  <c r="AL30" i="6"/>
  <c r="AN30" i="6" s="1"/>
  <c r="AK30" i="6"/>
  <c r="AP30" i="6" s="1"/>
  <c r="AJ30" i="6"/>
  <c r="AO30" i="6" s="1"/>
  <c r="AR30" i="6" s="1"/>
  <c r="AK32" i="6"/>
  <c r="AP32" i="6" s="1"/>
  <c r="AJ32" i="6"/>
  <c r="AO32" i="6" s="1"/>
  <c r="AM32" i="6"/>
  <c r="AQ32" i="6" s="1"/>
  <c r="AL32" i="6"/>
  <c r="AK34" i="6"/>
  <c r="AP34" i="6" s="1"/>
  <c r="AJ34" i="6"/>
  <c r="AO34" i="6" s="1"/>
  <c r="AR34" i="6" s="1"/>
  <c r="AM34" i="6"/>
  <c r="AQ34" i="6" s="1"/>
  <c r="AL34" i="6"/>
  <c r="AN34" i="6" s="1"/>
  <c r="AJ36" i="6"/>
  <c r="AO36" i="6" s="1"/>
  <c r="AL36" i="6"/>
  <c r="AN36" i="6" s="1"/>
  <c r="AK36" i="6"/>
  <c r="AP36" i="6" s="1"/>
  <c r="AM36" i="6"/>
  <c r="AQ36" i="6" s="1"/>
  <c r="AJ38" i="6"/>
  <c r="AO38" i="6" s="1"/>
  <c r="AL38" i="6"/>
  <c r="AK38" i="6"/>
  <c r="AP38" i="6" s="1"/>
  <c r="AM38" i="6"/>
  <c r="AQ38" i="6" s="1"/>
  <c r="AS4" i="6"/>
  <c r="AX4" i="6" s="1"/>
  <c r="AU4" i="6"/>
  <c r="AW4" i="6" s="1"/>
  <c r="AT4" i="6"/>
  <c r="AY4" i="6" s="1"/>
  <c r="AV4" i="6"/>
  <c r="AZ4" i="6" s="1"/>
  <c r="AV6" i="6"/>
  <c r="AZ6" i="6" s="1"/>
  <c r="AS6" i="6"/>
  <c r="AX6" i="6" s="1"/>
  <c r="BA6" i="6" s="1"/>
  <c r="AT6" i="6"/>
  <c r="AY6" i="6" s="1"/>
  <c r="AU6" i="6"/>
  <c r="AW6" i="6" s="1"/>
  <c r="AT8" i="6"/>
  <c r="AY8" i="6" s="1"/>
  <c r="AS8" i="6"/>
  <c r="AX8" i="6" s="1"/>
  <c r="AV8" i="6"/>
  <c r="AZ8" i="6" s="1"/>
  <c r="AU8" i="6"/>
  <c r="AU10" i="6"/>
  <c r="AT10" i="6"/>
  <c r="AY10" i="6" s="1"/>
  <c r="AS10" i="6"/>
  <c r="AX10" i="6" s="1"/>
  <c r="AV10" i="6"/>
  <c r="AZ10" i="6" s="1"/>
  <c r="AU12" i="6"/>
  <c r="AV12" i="6"/>
  <c r="AZ12" i="6" s="1"/>
  <c r="AS12" i="6"/>
  <c r="AX12" i="6" s="1"/>
  <c r="BA12" i="6" s="1"/>
  <c r="AT12" i="6"/>
  <c r="AY12" i="6" s="1"/>
  <c r="AV14" i="6"/>
  <c r="AZ14" i="6" s="1"/>
  <c r="AS14" i="6"/>
  <c r="AX14" i="6" s="1"/>
  <c r="BA14" i="6" s="1"/>
  <c r="AT14" i="6"/>
  <c r="AY14" i="6" s="1"/>
  <c r="AU14" i="6"/>
  <c r="AW14" i="6" s="1"/>
  <c r="AT16" i="6"/>
  <c r="AY16" i="6" s="1"/>
  <c r="AS16" i="6"/>
  <c r="AX16" i="6" s="1"/>
  <c r="AV16" i="6"/>
  <c r="AZ16" i="6" s="1"/>
  <c r="AU16" i="6"/>
  <c r="AU18" i="6"/>
  <c r="AT18" i="6"/>
  <c r="AY18" i="6" s="1"/>
  <c r="AS18" i="6"/>
  <c r="AX18" i="6" s="1"/>
  <c r="AV18" i="6"/>
  <c r="AZ18" i="6" s="1"/>
  <c r="AV20" i="6"/>
  <c r="AZ20" i="6" s="1"/>
  <c r="AS20" i="6"/>
  <c r="AX20" i="6" s="1"/>
  <c r="BA20" i="6" s="1"/>
  <c r="AU20" i="6"/>
  <c r="AW20" i="6" s="1"/>
  <c r="AT20" i="6"/>
  <c r="AY20" i="6" s="1"/>
  <c r="AV22" i="6"/>
  <c r="AZ22" i="6" s="1"/>
  <c r="AT22" i="6"/>
  <c r="AY22" i="6" s="1"/>
  <c r="AU22" i="6"/>
  <c r="AW22" i="6" s="1"/>
  <c r="AS22" i="6"/>
  <c r="AX22" i="6" s="1"/>
  <c r="BA22" i="6" s="1"/>
  <c r="AT24" i="6"/>
  <c r="AY24" i="6" s="1"/>
  <c r="AS24" i="6"/>
  <c r="AX24" i="6" s="1"/>
  <c r="AV24" i="6"/>
  <c r="AZ24" i="6" s="1"/>
  <c r="BA24" i="6" s="1"/>
  <c r="AU24" i="6"/>
  <c r="AU26" i="6"/>
  <c r="AT26" i="6"/>
  <c r="AY26" i="6" s="1"/>
  <c r="AS26" i="6"/>
  <c r="AX26" i="6" s="1"/>
  <c r="AV26" i="6"/>
  <c r="AZ26" i="6" s="1"/>
  <c r="AS28" i="6"/>
  <c r="AX28" i="6" s="1"/>
  <c r="AT28" i="6"/>
  <c r="AY28" i="6" s="1"/>
  <c r="AU28" i="6"/>
  <c r="AV28" i="6"/>
  <c r="AZ28" i="6" s="1"/>
  <c r="AV30" i="6"/>
  <c r="AZ30" i="6" s="1"/>
  <c r="AU30" i="6"/>
  <c r="AW30" i="6" s="1"/>
  <c r="AS30" i="6"/>
  <c r="AX30" i="6" s="1"/>
  <c r="AT30" i="6"/>
  <c r="AY30" i="6" s="1"/>
  <c r="AT32" i="6"/>
  <c r="AY32" i="6" s="1"/>
  <c r="AS32" i="6"/>
  <c r="AX32" i="6" s="1"/>
  <c r="AV32" i="6"/>
  <c r="AZ32" i="6" s="1"/>
  <c r="AU32" i="6"/>
  <c r="AU34" i="6"/>
  <c r="AT34" i="6"/>
  <c r="AY34" i="6" s="1"/>
  <c r="AS34" i="6"/>
  <c r="AX34" i="6" s="1"/>
  <c r="AV34" i="6"/>
  <c r="AZ34" i="6" s="1"/>
  <c r="AS36" i="6"/>
  <c r="AX36" i="6" s="1"/>
  <c r="AT36" i="6"/>
  <c r="AY36" i="6" s="1"/>
  <c r="AU36" i="6"/>
  <c r="AW36" i="6" s="1"/>
  <c r="AV36" i="6"/>
  <c r="AZ36" i="6" s="1"/>
  <c r="AV38" i="6"/>
  <c r="AZ38" i="6" s="1"/>
  <c r="AS38" i="6"/>
  <c r="AX38" i="6" s="1"/>
  <c r="BA38" i="6" s="1"/>
  <c r="AT38" i="6"/>
  <c r="AY38" i="6" s="1"/>
  <c r="AU38" i="6"/>
  <c r="AW38" i="6" s="1"/>
  <c r="AU40" i="6"/>
  <c r="AS40" i="6"/>
  <c r="AX40" i="6" s="1"/>
  <c r="AV40" i="6"/>
  <c r="AT40" i="6"/>
  <c r="AY40" i="6" s="1"/>
  <c r="C64" i="6"/>
  <c r="C65" i="6"/>
  <c r="L39" i="6" s="1"/>
  <c r="C64" i="3"/>
  <c r="C65" i="3"/>
  <c r="L39" i="3" s="1"/>
  <c r="AW31" i="6" l="1"/>
  <c r="AR28" i="6"/>
  <c r="V28" i="6"/>
  <c r="AI36" i="6"/>
  <c r="AI31" i="6"/>
  <c r="V31" i="6"/>
  <c r="BA29" i="6"/>
  <c r="AN29" i="6"/>
  <c r="AE28" i="6"/>
  <c r="AR26" i="6"/>
  <c r="AW28" i="6"/>
  <c r="AI26" i="6"/>
  <c r="Z28" i="6"/>
  <c r="AN28" i="6"/>
  <c r="AR10" i="6"/>
  <c r="AE35" i="6"/>
  <c r="AI27" i="6"/>
  <c r="AI15" i="6"/>
  <c r="AU8" i="3"/>
  <c r="AX8" i="3" s="1"/>
  <c r="AU24" i="3"/>
  <c r="AX24" i="3" s="1"/>
  <c r="AU36" i="3"/>
  <c r="AX36" i="3" s="1"/>
  <c r="AJ17" i="3"/>
  <c r="AM17" i="3" s="1"/>
  <c r="AJ33" i="3"/>
  <c r="AJ26" i="3"/>
  <c r="AM26" i="3" s="1"/>
  <c r="AJ4" i="3"/>
  <c r="BF26" i="3"/>
  <c r="BI26" i="3" s="1"/>
  <c r="Y9" i="3"/>
  <c r="Y25" i="3"/>
  <c r="AB25" i="3" s="1"/>
  <c r="AC25" i="3" s="1"/>
  <c r="AU40" i="3"/>
  <c r="AX40" i="3" s="1"/>
  <c r="AP39" i="3"/>
  <c r="AQ39" i="3"/>
  <c r="AS39" i="3" s="1"/>
  <c r="AR39" i="3"/>
  <c r="AT39" i="3" s="1"/>
  <c r="AO39" i="3"/>
  <c r="AV39" i="3" s="1"/>
  <c r="AM39" i="6"/>
  <c r="AQ39" i="6" s="1"/>
  <c r="AK39" i="6"/>
  <c r="AP39" i="6" s="1"/>
  <c r="AJ39" i="6"/>
  <c r="AO39" i="6" s="1"/>
  <c r="AL39" i="6"/>
  <c r="V26" i="6"/>
  <c r="V18" i="6"/>
  <c r="K39" i="6"/>
  <c r="J39" i="6"/>
  <c r="AW34" i="6"/>
  <c r="AW26" i="6"/>
  <c r="AW18" i="6"/>
  <c r="AW10" i="6"/>
  <c r="AR38" i="6"/>
  <c r="AR6" i="6"/>
  <c r="AE12" i="6"/>
  <c r="Z38" i="6"/>
  <c r="Z30" i="6"/>
  <c r="Z22" i="6"/>
  <c r="Z14" i="6"/>
  <c r="Z10" i="6"/>
  <c r="Z6" i="6"/>
  <c r="BA37" i="6"/>
  <c r="AW21" i="6"/>
  <c r="BA5" i="6"/>
  <c r="AR33" i="6"/>
  <c r="AR25" i="6"/>
  <c r="AR21" i="6"/>
  <c r="AR17" i="6"/>
  <c r="AR9" i="6"/>
  <c r="AI23" i="6"/>
  <c r="AE11" i="6"/>
  <c r="AI7" i="6"/>
  <c r="AJ5" i="3"/>
  <c r="AM5" i="3" s="1"/>
  <c r="BH28" i="3"/>
  <c r="BJ28" i="3" s="1"/>
  <c r="AU9" i="3"/>
  <c r="AU25" i="3"/>
  <c r="AX25" i="3" s="1"/>
  <c r="AY25" i="3" s="1"/>
  <c r="AJ30" i="3"/>
  <c r="AM30" i="3" s="1"/>
  <c r="BF4" i="3"/>
  <c r="AU20" i="3"/>
  <c r="AY22" i="3"/>
  <c r="AY40" i="3"/>
  <c r="AJ15" i="3"/>
  <c r="AM15" i="3" s="1"/>
  <c r="AJ29" i="3"/>
  <c r="Y40" i="3"/>
  <c r="AB40" i="3" s="1"/>
  <c r="AC40" i="3" s="1"/>
  <c r="Z37" i="6"/>
  <c r="AN38" i="6"/>
  <c r="AN14" i="6"/>
  <c r="AN6" i="6"/>
  <c r="AI20" i="6"/>
  <c r="AI12" i="6"/>
  <c r="V34" i="6"/>
  <c r="V10" i="6"/>
  <c r="AN22" i="6"/>
  <c r="AR14" i="6"/>
  <c r="AW32" i="6"/>
  <c r="AW24" i="6"/>
  <c r="AW16" i="6"/>
  <c r="AW8" i="6"/>
  <c r="AN32" i="6"/>
  <c r="AN24" i="6"/>
  <c r="AN16" i="6"/>
  <c r="AN8" i="6"/>
  <c r="AR4" i="6"/>
  <c r="AI18" i="6"/>
  <c r="AI10" i="6"/>
  <c r="AE40" i="6"/>
  <c r="Z36" i="6"/>
  <c r="Z20" i="6"/>
  <c r="Z12" i="6"/>
  <c r="BA31" i="6"/>
  <c r="AW23" i="6"/>
  <c r="AW19" i="6"/>
  <c r="AW15" i="6"/>
  <c r="AW11" i="6"/>
  <c r="AW7" i="6"/>
  <c r="AR37" i="6"/>
  <c r="AN13" i="6"/>
  <c r="AR5" i="6"/>
  <c r="AI35" i="6"/>
  <c r="AE31" i="6"/>
  <c r="AE23" i="6"/>
  <c r="AI19" i="6"/>
  <c r="AI11" i="6"/>
  <c r="AJ24" i="3"/>
  <c r="AM24" i="3" s="1"/>
  <c r="AL30" i="3"/>
  <c r="AN30" i="3" s="1"/>
  <c r="AU35" i="3"/>
  <c r="Y10" i="3"/>
  <c r="BF7" i="3"/>
  <c r="BF23" i="3"/>
  <c r="BH4" i="3"/>
  <c r="BJ4" i="3" s="1"/>
  <c r="O35" i="3"/>
  <c r="O30" i="3"/>
  <c r="BH30" i="3" s="1"/>
  <c r="BJ30" i="3" s="1"/>
  <c r="O40" i="3"/>
  <c r="O24" i="3"/>
  <c r="BH24" i="3" s="1"/>
  <c r="BJ24" i="3" s="1"/>
  <c r="O28" i="3"/>
  <c r="AW28" i="3" s="1"/>
  <c r="AY28" i="3" s="1"/>
  <c r="O39" i="3"/>
  <c r="BH39" i="3" s="1"/>
  <c r="BJ39" i="3" s="1"/>
  <c r="O32" i="3"/>
  <c r="O27" i="3"/>
  <c r="AL27" i="3" s="1"/>
  <c r="AN27" i="3" s="1"/>
  <c r="O21" i="3"/>
  <c r="AA21" i="3" s="1"/>
  <c r="O26" i="3"/>
  <c r="O14" i="3"/>
  <c r="BH14" i="3" s="1"/>
  <c r="BJ14" i="3" s="1"/>
  <c r="O8" i="3"/>
  <c r="AA8" i="3" s="1"/>
  <c r="O4" i="3"/>
  <c r="O31" i="3"/>
  <c r="AA31" i="3" s="1"/>
  <c r="AC31" i="3" s="1"/>
  <c r="O7" i="3"/>
  <c r="O16" i="3"/>
  <c r="AA16" i="3" s="1"/>
  <c r="AC16" i="3" s="1"/>
  <c r="O10" i="3"/>
  <c r="O6" i="3"/>
  <c r="O15" i="3"/>
  <c r="AL15" i="3" s="1"/>
  <c r="AN15" i="3" s="1"/>
  <c r="O9" i="3"/>
  <c r="O5" i="3"/>
  <c r="AA5" i="3" s="1"/>
  <c r="AC5" i="3" s="1"/>
  <c r="O19" i="3"/>
  <c r="AL19" i="3" s="1"/>
  <c r="AN19" i="3" s="1"/>
  <c r="BF16" i="3"/>
  <c r="BI16" i="3" s="1"/>
  <c r="BF32" i="3"/>
  <c r="BI32" i="3" s="1"/>
  <c r="BJ32" i="3" s="1"/>
  <c r="AU13" i="3"/>
  <c r="AX13" i="3" s="1"/>
  <c r="AY13" i="3" s="1"/>
  <c r="AU29" i="3"/>
  <c r="AU34" i="3"/>
  <c r="BA39" i="6"/>
  <c r="BJ25" i="3"/>
  <c r="Y32" i="3"/>
  <c r="AB32" i="3" s="1"/>
  <c r="AW19" i="3"/>
  <c r="BF40" i="3"/>
  <c r="BI40" i="3" s="1"/>
  <c r="BJ40" i="3" s="1"/>
  <c r="Z33" i="6"/>
  <c r="AJ37" i="3"/>
  <c r="BF12" i="3"/>
  <c r="AJ8" i="3"/>
  <c r="AM8" i="3" s="1"/>
  <c r="AL8" i="3"/>
  <c r="AN15" i="6"/>
  <c r="AE37" i="6"/>
  <c r="AI33" i="6"/>
  <c r="AI25" i="6"/>
  <c r="AI17" i="6"/>
  <c r="AI9" i="6"/>
  <c r="BH15" i="3"/>
  <c r="BH31" i="3"/>
  <c r="AW5" i="3"/>
  <c r="AY5" i="3" s="1"/>
  <c r="AW21" i="3"/>
  <c r="AY21" i="3" s="1"/>
  <c r="Z40" i="6"/>
  <c r="AC32" i="3"/>
  <c r="Z27" i="6"/>
  <c r="V33" i="6"/>
  <c r="AJ40" i="3"/>
  <c r="AM40" i="3" s="1"/>
  <c r="AN40" i="3" s="1"/>
  <c r="AU27" i="3"/>
  <c r="AX27" i="3" s="1"/>
  <c r="Z23" i="6"/>
  <c r="Z17" i="6"/>
  <c r="Z9" i="6"/>
  <c r="AN23" i="6"/>
  <c r="BA32" i="6"/>
  <c r="BA16" i="6"/>
  <c r="AR32" i="6"/>
  <c r="AR24" i="6"/>
  <c r="Z4" i="6"/>
  <c r="AR23" i="6"/>
  <c r="AE17" i="6"/>
  <c r="AE9" i="6"/>
  <c r="AI5" i="6"/>
  <c r="BH19" i="3"/>
  <c r="BJ19" i="3" s="1"/>
  <c r="BF20" i="3"/>
  <c r="BF36" i="3"/>
  <c r="BI36" i="3" s="1"/>
  <c r="AL14" i="3"/>
  <c r="AN14" i="3" s="1"/>
  <c r="AJ38" i="3"/>
  <c r="AM38" i="3" s="1"/>
  <c r="AY19" i="3"/>
  <c r="AN32" i="3"/>
  <c r="BH8" i="3"/>
  <c r="BJ8" i="3" s="1"/>
  <c r="AR40" i="6"/>
  <c r="AU6" i="3"/>
  <c r="AU22" i="3"/>
  <c r="AX22" i="3" s="1"/>
  <c r="AU38" i="3"/>
  <c r="AX38" i="3" s="1"/>
  <c r="AY38" i="3" s="1"/>
  <c r="AC8" i="3"/>
  <c r="AA4" i="3"/>
  <c r="AC4" i="3" s="1"/>
  <c r="AL24" i="3"/>
  <c r="AL31" i="3"/>
  <c r="AC22" i="3"/>
  <c r="BF18" i="3"/>
  <c r="BF34" i="3"/>
  <c r="AW15" i="3"/>
  <c r="AY15" i="3" s="1"/>
  <c r="AW31" i="3"/>
  <c r="AY31" i="3" s="1"/>
  <c r="AL28" i="3"/>
  <c r="AN28" i="3" s="1"/>
  <c r="Y17" i="3"/>
  <c r="AB17" i="3" s="1"/>
  <c r="Y33" i="3"/>
  <c r="AN22" i="3"/>
  <c r="V5" i="6"/>
  <c r="Y27" i="3"/>
  <c r="AB27" i="3" s="1"/>
  <c r="BF13" i="3"/>
  <c r="BI13" i="3" s="1"/>
  <c r="BJ13" i="3" s="1"/>
  <c r="BF39" i="3"/>
  <c r="BI39" i="3" s="1"/>
  <c r="AA28" i="3"/>
  <c r="Z25" i="6"/>
  <c r="Z15" i="6"/>
  <c r="Z7" i="6"/>
  <c r="V23" i="6"/>
  <c r="V17" i="6"/>
  <c r="V9" i="6"/>
  <c r="V40" i="6"/>
  <c r="AN7" i="6"/>
  <c r="BA8" i="6"/>
  <c r="AR16" i="6"/>
  <c r="AR8" i="6"/>
  <c r="AI30" i="6"/>
  <c r="AI22" i="6"/>
  <c r="AN40" i="6"/>
  <c r="Z32" i="6"/>
  <c r="Z24" i="6"/>
  <c r="Z16" i="6"/>
  <c r="Z8" i="6"/>
  <c r="BA23" i="6"/>
  <c r="BA15" i="6"/>
  <c r="BA7" i="6"/>
  <c r="AI40" i="6"/>
  <c r="AN31" i="6"/>
  <c r="AR27" i="6"/>
  <c r="AR15" i="6"/>
  <c r="AR7" i="6"/>
  <c r="AE33" i="6"/>
  <c r="AE25" i="6"/>
  <c r="AU16" i="3"/>
  <c r="AX16" i="3" s="1"/>
  <c r="AW40" i="6"/>
  <c r="AZ40" i="6" s="1"/>
  <c r="BA40" i="6" s="1"/>
  <c r="BA36" i="6"/>
  <c r="BA28" i="6"/>
  <c r="AW12" i="6"/>
  <c r="BA4" i="6"/>
  <c r="AR36" i="6"/>
  <c r="AR20" i="6"/>
  <c r="AE38" i="6"/>
  <c r="AE30" i="6"/>
  <c r="AE22" i="6"/>
  <c r="AE10" i="6"/>
  <c r="AW39" i="6"/>
  <c r="V32" i="6"/>
  <c r="V24" i="6"/>
  <c r="V16" i="6"/>
  <c r="V8" i="6"/>
  <c r="V4" i="6"/>
  <c r="BA35" i="6"/>
  <c r="BA27" i="6"/>
  <c r="BA19" i="6"/>
  <c r="BA11" i="6"/>
  <c r="AR35" i="6"/>
  <c r="AR31" i="6"/>
  <c r="AR19" i="6"/>
  <c r="AR11" i="6"/>
  <c r="AI37" i="6"/>
  <c r="AI21" i="6"/>
  <c r="AI13" i="6"/>
  <c r="AU17" i="3"/>
  <c r="AX17" i="3" s="1"/>
  <c r="AY17" i="3" s="1"/>
  <c r="AU33" i="3"/>
  <c r="BJ15" i="3"/>
  <c r="BJ31" i="3"/>
  <c r="AU12" i="3"/>
  <c r="Y7" i="3"/>
  <c r="BF21" i="3"/>
  <c r="BI21" i="3" s="1"/>
  <c r="AL4" i="3"/>
  <c r="AN4" i="3" s="1"/>
  <c r="AA24" i="3"/>
  <c r="AC24" i="3" s="1"/>
  <c r="AW30" i="3"/>
  <c r="AY30" i="3" s="1"/>
  <c r="Y16" i="3"/>
  <c r="AB16" i="3" s="1"/>
  <c r="V27" i="6"/>
  <c r="AC38" i="3"/>
  <c r="AN36" i="3"/>
  <c r="AC17" i="3"/>
  <c r="BF37" i="3"/>
  <c r="AA15" i="3"/>
  <c r="AC15" i="3" s="1"/>
  <c r="V25" i="6"/>
  <c r="V15" i="6"/>
  <c r="V7" i="6"/>
  <c r="V21" i="6"/>
  <c r="V13" i="6"/>
  <c r="V37" i="6"/>
  <c r="Z11" i="6"/>
  <c r="AN38" i="3"/>
  <c r="BH21" i="3"/>
  <c r="BJ21" i="3" s="1"/>
  <c r="AA19" i="3"/>
  <c r="AC19" i="3" s="1"/>
  <c r="AN31" i="3"/>
  <c r="AC11" i="3"/>
  <c r="AC28" i="3"/>
  <c r="K39" i="3"/>
  <c r="J39" i="3"/>
  <c r="BA34" i="6"/>
  <c r="BA30" i="6"/>
  <c r="BA26" i="6"/>
  <c r="BA18" i="6"/>
  <c r="BA10" i="6"/>
  <c r="AE32" i="6"/>
  <c r="AE24" i="6"/>
  <c r="AE16" i="6"/>
  <c r="AI8" i="6"/>
  <c r="AE4" i="6"/>
  <c r="Z34" i="6"/>
  <c r="Z26" i="6"/>
  <c r="Z18" i="6"/>
  <c r="AW37" i="6"/>
  <c r="AW5" i="6"/>
  <c r="AN33" i="6"/>
  <c r="AR29" i="6"/>
  <c r="AN25" i="6"/>
  <c r="AN17" i="6"/>
  <c r="AR13" i="6"/>
  <c r="AE27" i="6"/>
  <c r="AL21" i="3"/>
  <c r="AN21" i="3" s="1"/>
  <c r="BJ36" i="3"/>
  <c r="AJ32" i="3"/>
  <c r="AM32" i="3" s="1"/>
  <c r="AY36" i="3"/>
  <c r="AN17" i="3"/>
  <c r="AN26" i="3"/>
  <c r="Y15" i="3"/>
  <c r="AB15" i="3" s="1"/>
  <c r="AC21" i="3"/>
  <c r="AJ11" i="3"/>
  <c r="AM11" i="3" s="1"/>
  <c r="AN11" i="3" s="1"/>
  <c r="AU18" i="3"/>
  <c r="AC36" i="3"/>
  <c r="BJ26" i="3"/>
  <c r="AU23" i="3"/>
  <c r="AW4" i="3"/>
  <c r="AY4" i="3" s="1"/>
  <c r="Z5" i="6"/>
  <c r="AY26" i="3"/>
  <c r="AA14" i="3"/>
  <c r="AC14" i="3" s="1"/>
  <c r="AJ16" i="3"/>
  <c r="AM16" i="3" s="1"/>
  <c r="BF5" i="3"/>
  <c r="BI5" i="3" s="1"/>
  <c r="AJ7" i="3"/>
  <c r="Z31" i="6"/>
  <c r="V39" i="3" l="1"/>
  <c r="X39" i="3" s="1"/>
  <c r="U39" i="3"/>
  <c r="W39" i="3" s="1"/>
  <c r="S39" i="3"/>
  <c r="Z39" i="3" s="1"/>
  <c r="T39" i="3"/>
  <c r="AA39" i="3" s="1"/>
  <c r="AW16" i="3"/>
  <c r="AY16" i="3" s="1"/>
  <c r="BH16" i="3"/>
  <c r="BJ16" i="3" s="1"/>
  <c r="AN24" i="3"/>
  <c r="BH5" i="3"/>
  <c r="BJ5" i="3" s="1"/>
  <c r="T39" i="6"/>
  <c r="V39" i="6" s="1"/>
  <c r="Y39" i="6" s="1"/>
  <c r="R39" i="6"/>
  <c r="W39" i="6" s="1"/>
  <c r="U39" i="6"/>
  <c r="S39" i="6"/>
  <c r="AW14" i="3"/>
  <c r="AY14" i="3" s="1"/>
  <c r="AW27" i="3"/>
  <c r="AY27" i="3" s="1"/>
  <c r="AC39" i="6"/>
  <c r="AD39" i="6"/>
  <c r="AH39" i="6" s="1"/>
  <c r="AA39" i="6"/>
  <c r="AF39" i="6" s="1"/>
  <c r="AB39" i="6"/>
  <c r="AG39" i="6" s="1"/>
  <c r="AD39" i="3"/>
  <c r="AK39" i="3" s="1"/>
  <c r="AG39" i="3"/>
  <c r="AI39" i="3" s="1"/>
  <c r="AE39" i="3"/>
  <c r="AL39" i="3" s="1"/>
  <c r="AF39" i="3"/>
  <c r="AH39" i="3" s="1"/>
  <c r="AL16" i="3"/>
  <c r="AN16" i="3" s="1"/>
  <c r="BH27" i="3"/>
  <c r="BJ27" i="3" s="1"/>
  <c r="AN8" i="3"/>
  <c r="AA30" i="3"/>
  <c r="AC30" i="3" s="1"/>
  <c r="AN39" i="6"/>
  <c r="AU39" i="3"/>
  <c r="AX39" i="3" s="1"/>
  <c r="AA27" i="3"/>
  <c r="AC27" i="3" s="1"/>
  <c r="AW24" i="3"/>
  <c r="AY24" i="3" s="1"/>
  <c r="AR39" i="6"/>
  <c r="AW39" i="3"/>
  <c r="AY39" i="3" s="1"/>
  <c r="AL5" i="3"/>
  <c r="AN5" i="3" s="1"/>
  <c r="AW8" i="3"/>
  <c r="AY8" i="3" s="1"/>
  <c r="AE39" i="6" l="1"/>
  <c r="AJ39" i="3"/>
  <c r="AM39" i="3" s="1"/>
  <c r="X39" i="6"/>
  <c r="Z39" i="6" s="1"/>
  <c r="AN39" i="3"/>
  <c r="AI39" i="6"/>
  <c r="Y39" i="3"/>
  <c r="AB39" i="3" s="1"/>
  <c r="AC3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Arianna Nativio</author>
  </authors>
  <commentList>
    <comment ref="R4" authorId="0" shapeId="0" xr:uid="{6461C035-1103-BA48-9875-3E3704D5F9FF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calculated by using formula from USEPA dermal exposure guidelines (https://www.nj.gov/dep/srp/guidance/rs/bb_ingestion_dermal.pdf)
</t>
        </r>
      </text>
    </comment>
    <comment ref="N19" authorId="0" shapeId="0" xr:uid="{3FF0E427-6741-CD40-9169-ACE64104FD32}">
      <text>
        <r>
          <rPr>
            <b/>
            <sz val="9"/>
            <color rgb="FF000000"/>
            <rFont val="Tahoma"/>
            <family val="2"/>
          </rPr>
          <t>Arianna Nativio: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datasheet 2015 (OPP, 2009)</t>
        </r>
      </text>
    </comment>
    <comment ref="N24" authorId="0" shapeId="0" xr:uid="{FFB4861F-42D0-224C-B04D-9DB00E631998}">
      <text>
        <r>
          <rPr>
            <b/>
            <sz val="9"/>
            <color rgb="FF000000"/>
            <rFont val="Tahoma"/>
            <family val="2"/>
          </rPr>
          <t>Arianna Nativio: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Regional Screening Level (RSL) Summary Table (TR=1E-06, HQ=1) November 2017
</t>
        </r>
        <r>
          <rPr>
            <sz val="9"/>
            <color rgb="FF000000"/>
            <rFont val="Tahoma"/>
            <family val="2"/>
          </rPr>
          <t xml:space="preserve">SFO(mg/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https://rais.ornl.gov/cgi-bin/tools/TOX_search</t>
        </r>
      </text>
    </comment>
    <comment ref="N27" authorId="0" shapeId="0" xr:uid="{59751F33-AD5A-9346-AF7B-261C352760C7}">
      <text>
        <r>
          <rPr>
            <b/>
            <sz val="9"/>
            <color rgb="FF000000"/>
            <rFont val="Tahoma"/>
            <family val="2"/>
          </rPr>
          <t>Arianna Nativio: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These values are for Cr (VI). Not values available for total Cr</t>
        </r>
      </text>
    </comment>
    <comment ref="Q27" authorId="0" shapeId="0" xr:uid="{09F3758A-DA51-E346-9301-E28C37A0207C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GIABS for Cr tot is 1.3E-02. 
The RfD and RfC used are for Cr(VI), since no data available for Cr tot. SO the GIABS for CR VI is used now</t>
        </r>
      </text>
    </comment>
    <comment ref="R29" authorId="0" shapeId="0" xr:uid="{A84E8417-78D3-D043-A7D7-A6F1D9A9EA0E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from literature (file:///C:/Users/anativio/Downloads/s12011-021-02822-y.pdf) </t>
        </r>
      </text>
    </comment>
    <comment ref="P35" authorId="0" shapeId="0" xr:uid="{013268FA-5413-0C4C-8BD9-8A1B127FECF7}">
      <text>
        <r>
          <rPr>
            <b/>
            <sz val="9"/>
            <color rgb="FF000000"/>
            <rFont val="Tahoma"/>
            <family val="2"/>
          </rPr>
          <t>Arianna Nativio: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Silica (https://rais.ornl.gov/cgi-bin/tools/TOX_search)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Arianna Nativio</author>
  </authors>
  <commentList>
    <comment ref="P27" authorId="0" shapeId="0" xr:uid="{DC1D8C91-0E54-DC4E-A434-B7740C8C29EA}">
      <text>
        <r>
          <rPr>
            <b/>
            <sz val="9"/>
            <color indexed="81"/>
            <rFont val="Tahoma"/>
            <family val="2"/>
          </rPr>
          <t>Arianna Nativio:</t>
        </r>
        <r>
          <rPr>
            <sz val="9"/>
            <color indexed="81"/>
            <rFont val="Tahoma"/>
            <family val="2"/>
          </rPr>
          <t xml:space="preserve">
GIABS for Cr tot is 1.3E-02. 
The RfD and RfC used are for Cr(VI), since no data available for Cr tot. SO the GIABS for CR VI is used now</t>
        </r>
      </text>
    </comment>
  </commentList>
</comments>
</file>

<file path=xl/sharedStrings.xml><?xml version="1.0" encoding="utf-8"?>
<sst xmlns="http://schemas.openxmlformats.org/spreadsheetml/2006/main" count="807" uniqueCount="279">
  <si>
    <t>ICP-MS</t>
  </si>
  <si>
    <t>20-13-2</t>
  </si>
  <si>
    <t>20-13-1</t>
  </si>
  <si>
    <t>Sb</t>
  </si>
  <si>
    <t>Antimony (?)</t>
  </si>
  <si>
    <t>20-6-2</t>
  </si>
  <si>
    <t>Si</t>
  </si>
  <si>
    <t>Silicum (?)</t>
  </si>
  <si>
    <t>20-6-1</t>
  </si>
  <si>
    <t>μg/L</t>
  </si>
  <si>
    <t>Se</t>
  </si>
  <si>
    <t>Selenium</t>
  </si>
  <si>
    <t>20-2-2</t>
  </si>
  <si>
    <t>As</t>
  </si>
  <si>
    <t>Arsenic</t>
  </si>
  <si>
    <t>20-2-1</t>
  </si>
  <si>
    <t>Pb</t>
  </si>
  <si>
    <t>Lead</t>
  </si>
  <si>
    <t>20-1-2</t>
  </si>
  <si>
    <t>Ni</t>
  </si>
  <si>
    <t>Nickel</t>
  </si>
  <si>
    <t>20-1-1</t>
  </si>
  <si>
    <t>Cr</t>
  </si>
  <si>
    <t>Chromium</t>
  </si>
  <si>
    <t>12-13-2</t>
  </si>
  <si>
    <t>Na</t>
  </si>
  <si>
    <t>Sodium</t>
  </si>
  <si>
    <t>12-13-1</t>
  </si>
  <si>
    <t>Cd</t>
  </si>
  <si>
    <t>Cadmium</t>
  </si>
  <si>
    <t>12-6-2</t>
  </si>
  <si>
    <t>P</t>
  </si>
  <si>
    <t>Phosphorous</t>
  </si>
  <si>
    <t>12-6-1</t>
  </si>
  <si>
    <t>U</t>
  </si>
  <si>
    <t>Uranium</t>
  </si>
  <si>
    <t>12-2-2</t>
  </si>
  <si>
    <t>K</t>
  </si>
  <si>
    <t>Potassium</t>
  </si>
  <si>
    <t>12-2-1</t>
  </si>
  <si>
    <t>Ca</t>
  </si>
  <si>
    <t>Calcium</t>
  </si>
  <si>
    <t>12-1-2</t>
  </si>
  <si>
    <t>Fe</t>
  </si>
  <si>
    <t>Iron</t>
  </si>
  <si>
    <t>12-1-1</t>
  </si>
  <si>
    <t>Mo</t>
  </si>
  <si>
    <t>Molybdenum</t>
  </si>
  <si>
    <t>10-13-2</t>
  </si>
  <si>
    <t>Hg</t>
  </si>
  <si>
    <t>Mercury</t>
  </si>
  <si>
    <t>10-13-1</t>
  </si>
  <si>
    <t>B</t>
  </si>
  <si>
    <t>Boro</t>
  </si>
  <si>
    <t>10-6-2</t>
  </si>
  <si>
    <t>TI</t>
  </si>
  <si>
    <t>Tallium</t>
  </si>
  <si>
    <t>10-6-1</t>
  </si>
  <si>
    <t>Zn</t>
  </si>
  <si>
    <t>Zinco</t>
  </si>
  <si>
    <t>10-2-2</t>
  </si>
  <si>
    <t>V</t>
  </si>
  <si>
    <t>Vanadium</t>
  </si>
  <si>
    <t>10-2-1</t>
  </si>
  <si>
    <t>Ti</t>
  </si>
  <si>
    <t>Titanium</t>
  </si>
  <si>
    <t>10-1-2</t>
  </si>
  <si>
    <t>Sn</t>
  </si>
  <si>
    <t>Stagnum</t>
  </si>
  <si>
    <t>10-1-1</t>
  </si>
  <si>
    <t>Ag</t>
  </si>
  <si>
    <t>Argentum</t>
  </si>
  <si>
    <t>Analysis</t>
  </si>
  <si>
    <t>Label</t>
  </si>
  <si>
    <t>Effluent</t>
  </si>
  <si>
    <t>Day</t>
  </si>
  <si>
    <t>Material</t>
  </si>
  <si>
    <t>Mn</t>
  </si>
  <si>
    <t>Manganese</t>
  </si>
  <si>
    <t>1st batch - effluent</t>
  </si>
  <si>
    <t>Li</t>
  </si>
  <si>
    <t>Litium</t>
  </si>
  <si>
    <t>Cu</t>
  </si>
  <si>
    <t>Copper</t>
  </si>
  <si>
    <t>Mg</t>
  </si>
  <si>
    <t>Magnesium</t>
  </si>
  <si>
    <t>raw - 7</t>
  </si>
  <si>
    <t>Oliveston powered</t>
  </si>
  <si>
    <t>Al</t>
  </si>
  <si>
    <t>Aluminium</t>
  </si>
  <si>
    <t>Raw - 6</t>
  </si>
  <si>
    <t>Calcite (Softening)</t>
  </si>
  <si>
    <t>Co</t>
  </si>
  <si>
    <t>Cobalt</t>
  </si>
  <si>
    <t>Raw - 5</t>
  </si>
  <si>
    <t>Calcite (CaCO3)</t>
  </si>
  <si>
    <t>Ba</t>
  </si>
  <si>
    <t>Bario</t>
  </si>
  <si>
    <t>Raw - 4</t>
  </si>
  <si>
    <t>Grass</t>
  </si>
  <si>
    <t>Be</t>
  </si>
  <si>
    <t>Beryllium</t>
  </si>
  <si>
    <t>ICP-MS:</t>
  </si>
  <si>
    <t>Raw - 2</t>
  </si>
  <si>
    <t xml:space="preserve">Cellulose </t>
  </si>
  <si>
    <t>Raw - 1</t>
  </si>
  <si>
    <t>Reed</t>
  </si>
  <si>
    <t>Gross weight (gr)</t>
  </si>
  <si>
    <t>Net weight (gr)</t>
  </si>
  <si>
    <t>Box: 122.4 gr</t>
  </si>
  <si>
    <t>1st batch - raw materials</t>
  </si>
  <si>
    <t>g</t>
  </si>
  <si>
    <t>mass_F</t>
  </si>
  <si>
    <t>mass_Furan</t>
  </si>
  <si>
    <t>m_UPR</t>
  </si>
  <si>
    <t>mass_UPR_8020</t>
  </si>
  <si>
    <t>m_polyes</t>
  </si>
  <si>
    <t>mass_polyester</t>
  </si>
  <si>
    <t>m_product</t>
  </si>
  <si>
    <t>mass_product</t>
  </si>
  <si>
    <t>ev/year</t>
  </si>
  <si>
    <t>Efderm</t>
  </si>
  <si>
    <t>mg/kg/d</t>
  </si>
  <si>
    <t>RfDs</t>
  </si>
  <si>
    <t>RfDs (ing,inh,derm)</t>
  </si>
  <si>
    <t>pers</t>
  </si>
  <si>
    <t>Pt</t>
  </si>
  <si>
    <t>Total population</t>
  </si>
  <si>
    <t>days</t>
  </si>
  <si>
    <t>Atcarc</t>
  </si>
  <si>
    <t>Average time of exposure for carcinogenic risk</t>
  </si>
  <si>
    <t>g/cm2*d</t>
  </si>
  <si>
    <t>AF_fce</t>
  </si>
  <si>
    <t>Adherence factor (face)</t>
  </si>
  <si>
    <t>AF_hands</t>
  </si>
  <si>
    <t>Adherence factor (hands)</t>
  </si>
  <si>
    <t>cm2</t>
  </si>
  <si>
    <t>SA_face</t>
  </si>
  <si>
    <t>Skin face surface available</t>
  </si>
  <si>
    <t>SA_hand</t>
  </si>
  <si>
    <t>Skin hand surface availabe</t>
  </si>
  <si>
    <t>kg/m3</t>
  </si>
  <si>
    <t>CF</t>
  </si>
  <si>
    <t>Correction factor</t>
  </si>
  <si>
    <t>m3/kg</t>
  </si>
  <si>
    <t>PEF</t>
  </si>
  <si>
    <t>Particle emission factor</t>
  </si>
  <si>
    <t>m3/h</t>
  </si>
  <si>
    <t>InhR</t>
  </si>
  <si>
    <t>Inhalation rate</t>
  </si>
  <si>
    <t>m3/day</t>
  </si>
  <si>
    <t>InhR(day)</t>
  </si>
  <si>
    <t>InhR per day</t>
  </si>
  <si>
    <t>AT</t>
  </si>
  <si>
    <t>Average time of exposure</t>
  </si>
  <si>
    <t>kg</t>
  </si>
  <si>
    <t>BW</t>
  </si>
  <si>
    <t>Body weight</t>
  </si>
  <si>
    <t>g/day</t>
  </si>
  <si>
    <t>IngR</t>
  </si>
  <si>
    <t>Ingestion Rate</t>
  </si>
  <si>
    <t>h/d</t>
  </si>
  <si>
    <t>Et</t>
  </si>
  <si>
    <t>Exposure time</t>
  </si>
  <si>
    <t>years</t>
  </si>
  <si>
    <t>Ed</t>
  </si>
  <si>
    <t>Exposure duration</t>
  </si>
  <si>
    <t>days/year</t>
  </si>
  <si>
    <t>Ef</t>
  </si>
  <si>
    <t>Exposure frequency</t>
  </si>
  <si>
    <t xml:space="preserve">Input parameters </t>
  </si>
  <si>
    <t>mg/kg</t>
  </si>
  <si>
    <t>Styrene</t>
  </si>
  <si>
    <t>Zr</t>
  </si>
  <si>
    <t>Te</t>
  </si>
  <si>
    <t>Sr</t>
  </si>
  <si>
    <t>S</t>
  </si>
  <si>
    <t>Bi</t>
  </si>
  <si>
    <t>Tl</t>
  </si>
  <si>
    <t>mg/cm2</t>
  </si>
  <si>
    <t>-</t>
  </si>
  <si>
    <t>mg/m3</t>
  </si>
  <si>
    <t>DW Calcite</t>
  </si>
  <si>
    <t>Calcite (mined)</t>
  </si>
  <si>
    <t>Cellulose</t>
  </si>
  <si>
    <t>Dderm</t>
  </si>
  <si>
    <t>Dderm_face</t>
  </si>
  <si>
    <t>Dderm_hand</t>
  </si>
  <si>
    <t>Dav_face</t>
  </si>
  <si>
    <t>Dav_hand</t>
  </si>
  <si>
    <t>Dinh</t>
  </si>
  <si>
    <t>Ding</t>
  </si>
  <si>
    <t>HI</t>
  </si>
  <si>
    <t>HI_derm</t>
  </si>
  <si>
    <t>HI_inh</t>
  </si>
  <si>
    <t>HI_ing</t>
  </si>
  <si>
    <t>RfDderm</t>
  </si>
  <si>
    <t>GIABS</t>
  </si>
  <si>
    <t>RfC</t>
  </si>
  <si>
    <t>RfDoral</t>
  </si>
  <si>
    <t>RfD</t>
  </si>
  <si>
    <t>Raw - 7</t>
  </si>
  <si>
    <t xml:space="preserve">Raw - 4 </t>
  </si>
  <si>
    <t xml:space="preserve">Raw - 2 </t>
  </si>
  <si>
    <t>Unit</t>
  </si>
  <si>
    <t>Element</t>
  </si>
  <si>
    <t>ICPM results</t>
  </si>
  <si>
    <t>Biofiller</t>
  </si>
  <si>
    <t>M1</t>
  </si>
  <si>
    <t>M2</t>
  </si>
  <si>
    <t>M3</t>
  </si>
  <si>
    <t>M4</t>
  </si>
  <si>
    <t>M1 - no cancer risk</t>
  </si>
  <si>
    <t>Furfuryl Alcohol</t>
  </si>
  <si>
    <t>M2 - no cancer risk</t>
  </si>
  <si>
    <t>M3- no cancer risk</t>
  </si>
  <si>
    <t>M4- no cancer risk</t>
  </si>
  <si>
    <t>mg/kg/day</t>
  </si>
  <si>
    <t>RfDinh</t>
  </si>
  <si>
    <t>g/m3</t>
  </si>
  <si>
    <t>mg/l</t>
  </si>
  <si>
    <t>NOAEL_inh</t>
  </si>
  <si>
    <t>8.8*10000</t>
  </si>
  <si>
    <t xml:space="preserve">Coversion factor: </t>
  </si>
  <si>
    <t>LC_50</t>
  </si>
  <si>
    <t>MF_literature</t>
  </si>
  <si>
    <t xml:space="preserve">(subjective adjustment) </t>
  </si>
  <si>
    <t>MF</t>
  </si>
  <si>
    <t xml:space="preserve">approximately </t>
  </si>
  <si>
    <t>UF</t>
  </si>
  <si>
    <t xml:space="preserve">https://www.epa.gov/iris/reference-dose-rfd-description-and-use-health-risk-assessments </t>
  </si>
  <si>
    <t xml:space="preserve">RfD USEPA: </t>
  </si>
  <si>
    <t>no data for Ufi</t>
  </si>
  <si>
    <t>1.7*10000</t>
  </si>
  <si>
    <t>NOAEL_ing</t>
  </si>
  <si>
    <t xml:space="preserve">https://www.rivm.nl/bibliotheek/rapporten/620110001.html </t>
  </si>
  <si>
    <t>(average value) [mg/kg]</t>
  </si>
  <si>
    <t>LD50_ing</t>
  </si>
  <si>
    <t>1st way: Calculation RfD from LD50/LC50: Ingestion and inhalation</t>
  </si>
  <si>
    <t>LOAEL_HEC</t>
  </si>
  <si>
    <t>LOAELadj</t>
  </si>
  <si>
    <t>Our case study: working day considered of 8hrs per day of a total of 5 days per week. In total 250 days per year</t>
  </si>
  <si>
    <t>(ATSL)</t>
  </si>
  <si>
    <t>Extrapolation of animal data to humans</t>
  </si>
  <si>
    <t>UFA</t>
  </si>
  <si>
    <t>Sensitive individuals</t>
  </si>
  <si>
    <t>UFH</t>
  </si>
  <si>
    <t>Extrapolation of a LOAEL to no-observed-adverse effect-level (NOAEL)</t>
  </si>
  <si>
    <t>UFL</t>
  </si>
  <si>
    <t>Critical no-cancer effects were all in the extrathoracic region of the respiratory tract. So DAF =1</t>
  </si>
  <si>
    <t>DAF</t>
  </si>
  <si>
    <t>LOAELadj was converted to the human equivalent by multiplying the LOAELadj to the DAF.  Critical no-cancer effects were all in extrathoracic region: DAF =1</t>
  </si>
  <si>
    <t>Normalized by considering 5 days per week (working days) 6 hours per day</t>
  </si>
  <si>
    <t xml:space="preserve">https://www.egle.state.mi.us/aps/downloads/ATSL/98-00-0/98-00-0_annual_ITSL_IRSL.pdf </t>
  </si>
  <si>
    <t>LOAEL: Lowest Observed Adversed Effects Level</t>
  </si>
  <si>
    <t>LOAEL</t>
  </si>
  <si>
    <t>ATSL:</t>
  </si>
  <si>
    <t>LOAEC: Lowest Observed Adversed Effects Concentration</t>
  </si>
  <si>
    <t>LOAEC</t>
  </si>
  <si>
    <t xml:space="preserve">https://echa.europa.eu/documents/10162/8f967350-0e62-7a52-47f3-44f6305b0db8 </t>
  </si>
  <si>
    <t>IRIS:</t>
  </si>
  <si>
    <t>RfD_derm</t>
  </si>
  <si>
    <t>https://rais.ornl.gov/cgi-bin/tools/TOX_search</t>
  </si>
  <si>
    <t>SF_derm</t>
  </si>
  <si>
    <t>normalized per 70 kg of BW for adults as average value</t>
  </si>
  <si>
    <t>SF_ing</t>
  </si>
  <si>
    <t>mg/kg/BW/d</t>
  </si>
  <si>
    <t>NOAEL (IRIS): ingestion</t>
  </si>
  <si>
    <t>1st way: Calculation RfD from LOAEL and NOAEL: INHALATION</t>
  </si>
  <si>
    <t>(mg/kg/d)^-1</t>
  </si>
  <si>
    <t>Risk Carc</t>
  </si>
  <si>
    <t>CR_derm</t>
  </si>
  <si>
    <t>CR_inh</t>
  </si>
  <si>
    <t>CR_ing</t>
  </si>
  <si>
    <t>SF_inh</t>
  </si>
  <si>
    <t>M1 - Cancer Risk</t>
  </si>
  <si>
    <t>M2 - Cancer Risk</t>
  </si>
  <si>
    <t>M3- Cancer Risk</t>
  </si>
  <si>
    <t>M4- Cancer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</si>
</sst>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3F3F76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sz val="1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18"/>
      <name val="Arial"/>
      <family val="2"/>
    </font>
    <font>
      <sz val="11"/>
      <color rgb="FF3F3F76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C00000"/>
      <name val="Aptos Narrow"/>
      <family val="2"/>
      <scheme val="minor"/>
    </font>
    <font>
      <sz val="11"/>
      <color theme="5"/>
      <name val="Aptos Narrow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9C0006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65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13">
    <xf numFmtId="0" fontId="0" fillId="0" borderId="0"/>
    <xf numFmtId="0" fontId="3" fillId="3" borderId="1" applyNumberFormat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2" fillId="10" borderId="0" applyNumberFormat="0" applyBorder="0" applyAlignment="0" applyProtection="0"/>
    <xf numFmtId="0" fontId="11" fillId="3" borderId="1" applyNumberFormat="0" applyAlignment="0" applyProtection="0"/>
    <xf numFmtId="0" fontId="20" fillId="0" borderId="0" applyNumberFormat="0" applyFill="0" applyBorder="0" applyAlignment="0" applyProtection="0"/>
    <xf numFmtId="0" fontId="21" fillId="4" borderId="1" applyNumberFormat="0" applyAlignment="0" applyProtection="0"/>
    <xf numFmtId="0" fontId="5" fillId="5" borderId="2" applyNumberFormat="0" applyFont="0" applyAlignment="0" applyProtection="0"/>
    <xf numFmtId="0" fontId="19" fillId="2" borderId="0" applyNumberFormat="0" applyBorder="0" applyAlignment="0" applyProtection="0"/>
    <xf numFmtId="0" fontId="1" fillId="13" borderId="0" applyNumberFormat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11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11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1" fontId="6" fillId="0" borderId="18" xfId="0" applyNumberFormat="1" applyFont="1" applyBorder="1" applyAlignment="1">
      <alignment horizontal="center" vertical="center" wrapText="1" readingOrder="1"/>
    </xf>
    <xf numFmtId="11" fontId="10" fillId="0" borderId="18" xfId="0" applyNumberFormat="1" applyFont="1" applyBorder="1" applyAlignment="1">
      <alignment horizontal="center" vertical="center" wrapText="1"/>
    </xf>
    <xf numFmtId="11" fontId="6" fillId="0" borderId="19" xfId="0" applyNumberFormat="1" applyFont="1" applyBorder="1" applyAlignment="1">
      <alignment horizontal="center" vertical="center"/>
    </xf>
    <xf numFmtId="11" fontId="13" fillId="0" borderId="0" xfId="0" applyNumberFormat="1" applyFont="1" applyAlignment="1">
      <alignment horizontal="center" vertical="center"/>
    </xf>
    <xf numFmtId="11" fontId="7" fillId="0" borderId="9" xfId="0" applyNumberFormat="1" applyFont="1" applyBorder="1" applyAlignment="1">
      <alignment horizontal="center" vertical="center"/>
    </xf>
    <xf numFmtId="11" fontId="12" fillId="0" borderId="8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1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11" fontId="11" fillId="3" borderId="1" xfId="7" applyNumberFormat="1" applyAlignment="1">
      <alignment horizontal="center" vertical="center"/>
    </xf>
    <xf numFmtId="11" fontId="11" fillId="3" borderId="21" xfId="7" applyNumberFormat="1" applyBorder="1" applyAlignment="1">
      <alignment horizontal="center" vertical="center"/>
    </xf>
    <xf numFmtId="11" fontId="11" fillId="3" borderId="22" xfId="7" applyNumberFormat="1" applyBorder="1" applyAlignment="1">
      <alignment horizontal="center" vertical="center"/>
    </xf>
    <xf numFmtId="164" fontId="11" fillId="3" borderId="1" xfId="7" applyNumberFormat="1" applyAlignment="1">
      <alignment horizontal="center" vertical="center"/>
    </xf>
    <xf numFmtId="2" fontId="11" fillId="3" borderId="1" xfId="7" applyNumberFormat="1" applyAlignment="1">
      <alignment horizontal="center" vertical="center"/>
    </xf>
    <xf numFmtId="0" fontId="11" fillId="3" borderId="1" xfId="7" applyNumberFormat="1" applyAlignment="1">
      <alignment horizontal="center" vertical="center"/>
    </xf>
    <xf numFmtId="0" fontId="11" fillId="3" borderId="1" xfId="7" applyAlignment="1">
      <alignment horizontal="center"/>
    </xf>
    <xf numFmtId="11" fontId="4" fillId="6" borderId="9" xfId="2" applyNumberFormat="1" applyBorder="1" applyAlignment="1">
      <alignment horizontal="center" vertical="center"/>
    </xf>
    <xf numFmtId="11" fontId="4" fillId="6" borderId="0" xfId="2" applyNumberFormat="1" applyBorder="1" applyAlignment="1">
      <alignment horizontal="center" vertical="center"/>
    </xf>
    <xf numFmtId="11" fontId="4" fillId="6" borderId="8" xfId="2" applyNumberFormat="1" applyBorder="1" applyAlignment="1">
      <alignment horizontal="center" vertical="center"/>
    </xf>
    <xf numFmtId="11" fontId="4" fillId="7" borderId="9" xfId="3" applyNumberFormat="1" applyBorder="1" applyAlignment="1">
      <alignment horizontal="center" vertical="center"/>
    </xf>
    <xf numFmtId="11" fontId="4" fillId="7" borderId="0" xfId="3" applyNumberFormat="1" applyBorder="1" applyAlignment="1">
      <alignment horizontal="center" vertical="center"/>
    </xf>
    <xf numFmtId="11" fontId="4" fillId="7" borderId="8" xfId="3" applyNumberFormat="1" applyBorder="1" applyAlignment="1">
      <alignment horizontal="center" vertical="center"/>
    </xf>
    <xf numFmtId="11" fontId="4" fillId="8" borderId="9" xfId="4" applyNumberFormat="1" applyBorder="1" applyAlignment="1">
      <alignment horizontal="center" vertical="center"/>
    </xf>
    <xf numFmtId="11" fontId="4" fillId="8" borderId="0" xfId="4" applyNumberFormat="1" applyBorder="1" applyAlignment="1">
      <alignment horizontal="center" vertical="center"/>
    </xf>
    <xf numFmtId="11" fontId="4" fillId="8" borderId="8" xfId="4" applyNumberFormat="1" applyBorder="1" applyAlignment="1">
      <alignment horizontal="center" vertical="center"/>
    </xf>
    <xf numFmtId="11" fontId="4" fillId="9" borderId="9" xfId="5" applyNumberFormat="1" applyBorder="1" applyAlignment="1">
      <alignment horizontal="center" vertical="center"/>
    </xf>
    <xf numFmtId="11" fontId="4" fillId="9" borderId="0" xfId="5" applyNumberFormat="1" applyBorder="1" applyAlignment="1">
      <alignment horizontal="center" vertical="center"/>
    </xf>
    <xf numFmtId="11" fontId="4" fillId="9" borderId="8" xfId="5" applyNumberFormat="1" applyBorder="1" applyAlignment="1">
      <alignment horizontal="center" vertical="center"/>
    </xf>
    <xf numFmtId="11" fontId="0" fillId="0" borderId="0" xfId="0" applyNumberFormat="1"/>
    <xf numFmtId="11" fontId="14" fillId="0" borderId="0" xfId="0" applyNumberFormat="1" applyFont="1"/>
    <xf numFmtId="0" fontId="20" fillId="0" borderId="0" xfId="8"/>
    <xf numFmtId="0" fontId="9" fillId="0" borderId="0" xfId="0" applyFont="1"/>
    <xf numFmtId="11" fontId="6" fillId="0" borderId="0" xfId="0" applyNumberFormat="1" applyFont="1" applyAlignment="1">
      <alignment horizontal="center" vertical="center"/>
    </xf>
    <xf numFmtId="11" fontId="6" fillId="0" borderId="0" xfId="0" applyNumberFormat="1" applyFont="1" applyAlignment="1">
      <alignment horizontal="center" vertical="center" wrapText="1" readingOrder="1"/>
    </xf>
    <xf numFmtId="11" fontId="9" fillId="0" borderId="0" xfId="0" applyNumberFormat="1" applyFont="1"/>
    <xf numFmtId="0" fontId="0" fillId="0" borderId="0" xfId="0" applyAlignment="1">
      <alignment horizontal="center" wrapText="1"/>
    </xf>
    <xf numFmtId="11" fontId="0" fillId="0" borderId="8" xfId="0" applyNumberFormat="1" applyBorder="1"/>
    <xf numFmtId="11" fontId="0" fillId="0" borderId="9" xfId="0" applyNumberFormat="1" applyBorder="1"/>
    <xf numFmtId="0" fontId="2" fillId="10" borderId="0" xfId="6" applyAlignment="1">
      <alignment horizontal="center"/>
    </xf>
    <xf numFmtId="0" fontId="4" fillId="7" borderId="0" xfId="3" applyNumberFormat="1" applyBorder="1" applyAlignment="1">
      <alignment horizontal="center" vertical="center"/>
    </xf>
    <xf numFmtId="0" fontId="4" fillId="6" borderId="9" xfId="2" applyNumberFormat="1" applyBorder="1" applyAlignment="1">
      <alignment horizontal="center" vertical="center"/>
    </xf>
    <xf numFmtId="0" fontId="4" fillId="6" borderId="0" xfId="2" applyNumberFormat="1" applyBorder="1" applyAlignment="1">
      <alignment horizontal="center" vertical="center"/>
    </xf>
    <xf numFmtId="0" fontId="4" fillId="6" borderId="0" xfId="2" applyBorder="1"/>
    <xf numFmtId="0" fontId="4" fillId="6" borderId="8" xfId="2" applyBorder="1"/>
    <xf numFmtId="11" fontId="7" fillId="12" borderId="9" xfId="0" applyNumberFormat="1" applyFont="1" applyFill="1" applyBorder="1" applyAlignment="1">
      <alignment horizontal="center" vertical="center"/>
    </xf>
    <xf numFmtId="11" fontId="7" fillId="12" borderId="0" xfId="0" applyNumberFormat="1" applyFont="1" applyFill="1" applyAlignment="1">
      <alignment horizontal="center" vertical="center"/>
    </xf>
    <xf numFmtId="11" fontId="7" fillId="12" borderId="8" xfId="0" applyNumberFormat="1" applyFont="1" applyFill="1" applyBorder="1" applyAlignment="1">
      <alignment horizontal="center" vertical="center"/>
    </xf>
    <xf numFmtId="11" fontId="7" fillId="12" borderId="6" xfId="0" applyNumberFormat="1" applyFont="1" applyFill="1" applyBorder="1" applyAlignment="1">
      <alignment horizontal="center" vertical="center"/>
    </xf>
    <xf numFmtId="11" fontId="7" fillId="12" borderId="5" xfId="0" applyNumberFormat="1" applyFont="1" applyFill="1" applyBorder="1" applyAlignment="1">
      <alignment horizontal="center" vertical="center"/>
    </xf>
    <xf numFmtId="11" fontId="7" fillId="12" borderId="4" xfId="0" applyNumberFormat="1" applyFont="1" applyFill="1" applyBorder="1" applyAlignment="1">
      <alignment horizontal="center" vertical="center"/>
    </xf>
    <xf numFmtId="11" fontId="0" fillId="0" borderId="5" xfId="0" applyNumberFormat="1" applyBorder="1"/>
    <xf numFmtId="11" fontId="0" fillId="0" borderId="4" xfId="0" applyNumberFormat="1" applyBorder="1"/>
    <xf numFmtId="0" fontId="4" fillId="7" borderId="9" xfId="3" applyNumberFormat="1" applyBorder="1" applyAlignment="1">
      <alignment horizontal="center" vertical="center"/>
    </xf>
    <xf numFmtId="0" fontId="4" fillId="7" borderId="0" xfId="3" applyBorder="1"/>
    <xf numFmtId="0" fontId="4" fillId="7" borderId="8" xfId="3" applyBorder="1"/>
    <xf numFmtId="0" fontId="11" fillId="3" borderId="22" xfId="7" applyBorder="1" applyAlignment="1">
      <alignment horizontal="center"/>
    </xf>
    <xf numFmtId="0" fontId="0" fillId="0" borderId="12" xfId="0" applyBorder="1"/>
    <xf numFmtId="0" fontId="0" fillId="0" borderId="11" xfId="0" applyBorder="1"/>
    <xf numFmtId="0" fontId="11" fillId="3" borderId="21" xfId="7" applyNumberFormat="1" applyBorder="1" applyAlignment="1">
      <alignment horizontal="center" vertical="center"/>
    </xf>
    <xf numFmtId="0" fontId="3" fillId="3" borderId="20" xfId="1" applyNumberFormat="1" applyBorder="1" applyAlignment="1">
      <alignment horizontal="center" vertical="center"/>
    </xf>
    <xf numFmtId="11" fontId="22" fillId="0" borderId="8" xfId="0" applyNumberFormat="1" applyFont="1" applyBorder="1"/>
    <xf numFmtId="0" fontId="4" fillId="8" borderId="9" xfId="4" applyNumberFormat="1" applyBorder="1" applyAlignment="1">
      <alignment horizontal="center" vertical="center"/>
    </xf>
    <xf numFmtId="0" fontId="4" fillId="8" borderId="0" xfId="4" applyNumberFormat="1" applyBorder="1" applyAlignment="1">
      <alignment horizontal="center" vertical="center"/>
    </xf>
    <xf numFmtId="0" fontId="4" fillId="8" borderId="0" xfId="4" applyBorder="1"/>
    <xf numFmtId="0" fontId="4" fillId="8" borderId="8" xfId="4" applyBorder="1"/>
    <xf numFmtId="0" fontId="4" fillId="9" borderId="9" xfId="5" applyNumberFormat="1" applyBorder="1" applyAlignment="1">
      <alignment horizontal="center" vertical="center"/>
    </xf>
    <xf numFmtId="0" fontId="4" fillId="9" borderId="0" xfId="5" applyNumberFormat="1" applyBorder="1" applyAlignment="1">
      <alignment horizontal="center" vertical="center"/>
    </xf>
    <xf numFmtId="0" fontId="4" fillId="9" borderId="0" xfId="5" applyBorder="1"/>
    <xf numFmtId="0" fontId="4" fillId="9" borderId="8" xfId="5" applyBorder="1"/>
    <xf numFmtId="11" fontId="0" fillId="0" borderId="6" xfId="0" applyNumberFormat="1" applyBorder="1"/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1" fillId="4" borderId="1" xfId="9" applyAlignment="1">
      <alignment horizontal="center"/>
    </xf>
    <xf numFmtId="0" fontId="0" fillId="0" borderId="0" xfId="0" applyAlignment="1">
      <alignment horizontal="center" wrapText="1"/>
    </xf>
    <xf numFmtId="0" fontId="21" fillId="5" borderId="2" xfId="10" applyFont="1" applyAlignment="1">
      <alignment horizontal="center"/>
    </xf>
    <xf numFmtId="11" fontId="7" fillId="0" borderId="23" xfId="0" applyNumberFormat="1" applyFont="1" applyBorder="1" applyAlignment="1">
      <alignment horizontal="center" vertical="center"/>
    </xf>
    <xf numFmtId="11" fontId="11" fillId="3" borderId="1" xfId="7" applyNumberFormat="1" applyAlignment="1">
      <alignment horizontal="center" vertical="center" wrapText="1"/>
    </xf>
    <xf numFmtId="0" fontId="4" fillId="6" borderId="17" xfId="2" applyBorder="1" applyAlignment="1">
      <alignment horizontal="center"/>
    </xf>
    <xf numFmtId="0" fontId="4" fillId="6" borderId="16" xfId="2" applyBorder="1" applyAlignment="1">
      <alignment horizontal="center"/>
    </xf>
    <xf numFmtId="0" fontId="4" fillId="6" borderId="15" xfId="2" applyBorder="1" applyAlignment="1">
      <alignment horizontal="center"/>
    </xf>
    <xf numFmtId="0" fontId="4" fillId="7" borderId="17" xfId="3" applyBorder="1" applyAlignment="1">
      <alignment horizontal="center"/>
    </xf>
    <xf numFmtId="0" fontId="4" fillId="7" borderId="16" xfId="3" applyBorder="1" applyAlignment="1">
      <alignment horizontal="center"/>
    </xf>
    <xf numFmtId="0" fontId="4" fillId="7" borderId="15" xfId="3" applyBorder="1" applyAlignment="1">
      <alignment horizontal="center"/>
    </xf>
    <xf numFmtId="0" fontId="4" fillId="8" borderId="17" xfId="4" applyBorder="1" applyAlignment="1">
      <alignment horizontal="center"/>
    </xf>
    <xf numFmtId="0" fontId="4" fillId="8" borderId="16" xfId="4" applyBorder="1" applyAlignment="1">
      <alignment horizontal="center"/>
    </xf>
    <xf numFmtId="0" fontId="4" fillId="8" borderId="15" xfId="4" applyBorder="1" applyAlignment="1">
      <alignment horizontal="center"/>
    </xf>
    <xf numFmtId="0" fontId="4" fillId="9" borderId="17" xfId="5" applyBorder="1" applyAlignment="1">
      <alignment horizontal="center"/>
    </xf>
    <xf numFmtId="0" fontId="4" fillId="9" borderId="16" xfId="5" applyBorder="1" applyAlignment="1">
      <alignment horizontal="center"/>
    </xf>
    <xf numFmtId="0" fontId="4" fillId="9" borderId="15" xfId="5" applyBorder="1" applyAlignment="1">
      <alignment horizontal="center"/>
    </xf>
    <xf numFmtId="11" fontId="1" fillId="13" borderId="9" xfId="12" applyNumberFormat="1" applyBorder="1" applyAlignment="1">
      <alignment horizontal="center" vertical="center"/>
    </xf>
    <xf numFmtId="11" fontId="1" fillId="13" borderId="5" xfId="12" applyNumberFormat="1" applyBorder="1" applyAlignment="1">
      <alignment horizontal="center" vertical="center"/>
    </xf>
    <xf numFmtId="0" fontId="11" fillId="3" borderId="1" xfId="7" applyNumberFormat="1" applyBorder="1" applyAlignment="1">
      <alignment horizontal="center" vertical="center"/>
    </xf>
    <xf numFmtId="2" fontId="11" fillId="3" borderId="1" xfId="7" applyNumberFormat="1" applyBorder="1" applyAlignment="1">
      <alignment horizontal="center" vertical="center"/>
    </xf>
    <xf numFmtId="0" fontId="3" fillId="3" borderId="1" xfId="1" applyNumberFormat="1" applyBorder="1" applyAlignment="1">
      <alignment horizontal="center" vertical="center"/>
    </xf>
    <xf numFmtId="11" fontId="3" fillId="3" borderId="1" xfId="1" applyNumberFormat="1" applyBorder="1" applyAlignment="1">
      <alignment horizontal="center" vertical="center"/>
    </xf>
    <xf numFmtId="11" fontId="11" fillId="3" borderId="1" xfId="7" applyNumberFormat="1" applyBorder="1" applyAlignment="1">
      <alignment horizontal="center" vertical="center"/>
    </xf>
    <xf numFmtId="11" fontId="7" fillId="0" borderId="0" xfId="0" applyNumberFormat="1" applyFont="1" applyBorder="1" applyAlignment="1">
      <alignment horizontal="center" vertical="center"/>
    </xf>
    <xf numFmtId="11" fontId="0" fillId="0" borderId="0" xfId="0" applyNumberFormat="1" applyBorder="1"/>
    <xf numFmtId="11" fontId="7" fillId="12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11" fontId="1" fillId="13" borderId="0" xfId="12" applyNumberFormat="1" applyBorder="1" applyAlignment="1">
      <alignment horizontal="center" vertical="center"/>
    </xf>
  </cellXfs>
  <cellStyles count="13">
    <cellStyle name="20% - Accent5" xfId="6" builtinId="46"/>
    <cellStyle name="40% - Accent2" xfId="12" builtinId="35"/>
    <cellStyle name="Accent1" xfId="2" builtinId="29"/>
    <cellStyle name="Accent2" xfId="3" builtinId="33"/>
    <cellStyle name="Accent4" xfId="4" builtinId="41"/>
    <cellStyle name="Accent5" xfId="5" builtinId="45"/>
    <cellStyle name="Bad 2" xfId="11" xr:uid="{52F5751F-3D5F-B149-8147-C0109FE24B2B}"/>
    <cellStyle name="Calculation 2" xfId="9" xr:uid="{0911D749-0488-1D42-8494-3A3F131A40F4}"/>
    <cellStyle name="Hyperlink" xfId="8" builtinId="8"/>
    <cellStyle name="Input" xfId="1" builtinId="20"/>
    <cellStyle name="Input 2" xfId="7" xr:uid="{E381C97A-645E-1549-90AC-E8FFD644B14C}"/>
    <cellStyle name="Normal" xfId="0" builtinId="0"/>
    <cellStyle name="Note 2" xfId="10" xr:uid="{208D2E09-2A88-A948-B6F7-404977EAB8C5}"/>
  </cellStyles>
  <dxfs count="5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2</xdr:row>
      <xdr:rowOff>91440</xdr:rowOff>
    </xdr:from>
    <xdr:to>
      <xdr:col>3</xdr:col>
      <xdr:colOff>480060</xdr:colOff>
      <xdr:row>2</xdr:row>
      <xdr:rowOff>91440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F51DAAA4-5F1F-6747-81BA-51E383D150D6}"/>
            </a:ext>
          </a:extLst>
        </xdr:cNvPr>
        <xdr:cNvCxnSpPr/>
      </xdr:nvCxnSpPr>
      <xdr:spPr>
        <a:xfrm>
          <a:off x="2125980" y="472440"/>
          <a:ext cx="3733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99060</xdr:colOff>
      <xdr:row>11</xdr:row>
      <xdr:rowOff>91440</xdr:rowOff>
    </xdr:from>
    <xdr:to>
      <xdr:col>3</xdr:col>
      <xdr:colOff>472440</xdr:colOff>
      <xdr:row>11</xdr:row>
      <xdr:rowOff>91440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AFEDB505-72CE-2245-8EC8-3AA356D2DC0A}"/>
            </a:ext>
          </a:extLst>
        </xdr:cNvPr>
        <xdr:cNvCxnSpPr/>
      </xdr:nvCxnSpPr>
      <xdr:spPr>
        <a:xfrm>
          <a:off x="2118360" y="2186940"/>
          <a:ext cx="3733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99060</xdr:colOff>
      <xdr:row>12</xdr:row>
      <xdr:rowOff>68580</xdr:rowOff>
    </xdr:from>
    <xdr:to>
      <xdr:col>3</xdr:col>
      <xdr:colOff>472440</xdr:colOff>
      <xdr:row>12</xdr:row>
      <xdr:rowOff>68580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37FF8864-96A4-7243-922A-F6F3910F8BD1}"/>
            </a:ext>
          </a:extLst>
        </xdr:cNvPr>
        <xdr:cNvCxnSpPr/>
      </xdr:nvCxnSpPr>
      <xdr:spPr>
        <a:xfrm>
          <a:off x="2118360" y="2354580"/>
          <a:ext cx="3733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213360</xdr:colOff>
      <xdr:row>1</xdr:row>
      <xdr:rowOff>121920</xdr:rowOff>
    </xdr:from>
    <xdr:to>
      <xdr:col>18</xdr:col>
      <xdr:colOff>533400</xdr:colOff>
      <xdr:row>12</xdr:row>
      <xdr:rowOff>160020</xdr:rowOff>
    </xdr:to>
    <xdr:sp macro="" textlink="">
      <xdr:nvSpPr>
        <xdr:cNvPr id="5" name="Right Brace 4">
          <a:extLst>
            <a:ext uri="{FF2B5EF4-FFF2-40B4-BE49-F238E27FC236}">
              <a16:creationId xmlns:a16="http://schemas.microsoft.com/office/drawing/2014/main" id="{08E9B80A-EDBD-4648-A765-C88C94BD11D3}"/>
            </a:ext>
          </a:extLst>
        </xdr:cNvPr>
        <xdr:cNvSpPr/>
      </xdr:nvSpPr>
      <xdr:spPr>
        <a:xfrm>
          <a:off x="12329160" y="312420"/>
          <a:ext cx="320040" cy="21336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0</xdr:col>
      <xdr:colOff>419100</xdr:colOff>
      <xdr:row>14</xdr:row>
      <xdr:rowOff>91440</xdr:rowOff>
    </xdr:from>
    <xdr:ext cx="920508" cy="3568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45C85531-D174-004E-A283-2891AC15525C}"/>
                </a:ext>
              </a:extLst>
            </xdr:cNvPr>
            <xdr:cNvSpPr txBox="1"/>
          </xdr:nvSpPr>
          <xdr:spPr>
            <a:xfrm>
              <a:off x="419100" y="2758440"/>
              <a:ext cx="920508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𝑅𝑓𝐶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𝐿𝑂𝐴𝐸𝐿</m:t>
                        </m:r>
                      </m:num>
                      <m:den>
                        <m:nary>
                          <m:naryPr>
                            <m:chr m:val="∑"/>
                            <m:sup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GB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  <m:sup/>
                          <m:e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𝑈𝐹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45C85531-D174-004E-A283-2891AC15525C}"/>
                </a:ext>
              </a:extLst>
            </xdr:cNvPr>
            <xdr:cNvSpPr txBox="1"/>
          </xdr:nvSpPr>
          <xdr:spPr>
            <a:xfrm>
              <a:off x="419100" y="2758440"/>
              <a:ext cx="920508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𝑅𝑓𝐶=𝐿𝑂𝐴𝐸𝐿/(∑_𝑖▒〖𝑈𝐹〗_𝑖 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2</xdr:col>
      <xdr:colOff>502920</xdr:colOff>
      <xdr:row>14</xdr:row>
      <xdr:rowOff>60960</xdr:rowOff>
    </xdr:from>
    <xdr:ext cx="910634" cy="3568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DDDC753F-C8C4-384C-B7EE-F50A4442055D}"/>
                </a:ext>
              </a:extLst>
            </xdr:cNvPr>
            <xdr:cNvSpPr txBox="1"/>
          </xdr:nvSpPr>
          <xdr:spPr>
            <a:xfrm>
              <a:off x="1849120" y="2727960"/>
              <a:ext cx="910634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𝑅𝑓𝐷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𝐿𝑂𝐴𝐸𝐿</m:t>
                        </m:r>
                      </m:num>
                      <m:den>
                        <m:nary>
                          <m:naryPr>
                            <m:chr m:val="∑"/>
                            <m:sup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GB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  <m:sup/>
                          <m:e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𝑈𝐹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DDDC753F-C8C4-384C-B7EE-F50A4442055D}"/>
                </a:ext>
              </a:extLst>
            </xdr:cNvPr>
            <xdr:cNvSpPr txBox="1"/>
          </xdr:nvSpPr>
          <xdr:spPr>
            <a:xfrm>
              <a:off x="1849120" y="2727960"/>
              <a:ext cx="910634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𝑅𝑓𝐷=𝐿𝑂𝐴𝐸𝐿/(∑_𝑖▒〖𝑈𝐹〗_𝑖 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5</xdr:col>
      <xdr:colOff>228600</xdr:colOff>
      <xdr:row>14</xdr:row>
      <xdr:rowOff>30480</xdr:rowOff>
    </xdr:from>
    <xdr:ext cx="1203919" cy="3568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EC3A648-E9A4-2042-ADE7-4D67C4A4BF04}"/>
                </a:ext>
              </a:extLst>
            </xdr:cNvPr>
            <xdr:cNvSpPr txBox="1"/>
          </xdr:nvSpPr>
          <xdr:spPr>
            <a:xfrm>
              <a:off x="3594100" y="2697480"/>
              <a:ext cx="1203919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𝑅𝑓𝐷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𝑁𝑂𝐴𝐸𝐿</m:t>
                        </m:r>
                      </m:num>
                      <m:den>
                        <m:nary>
                          <m:naryPr>
                            <m:chr m:val="∑"/>
                            <m:sup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GB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  <m:sup/>
                          <m:e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𝑈𝐹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𝑀𝐹</m:t>
                            </m:r>
                          </m:e>
                        </m:nary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EC3A648-E9A4-2042-ADE7-4D67C4A4BF04}"/>
                </a:ext>
              </a:extLst>
            </xdr:cNvPr>
            <xdr:cNvSpPr txBox="1"/>
          </xdr:nvSpPr>
          <xdr:spPr>
            <a:xfrm>
              <a:off x="3594100" y="2697480"/>
              <a:ext cx="1203919" cy="3568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𝑅𝑓𝐷=𝑁𝑂𝐴𝐸𝐿/(∑_𝑖▒〖〖𝑈𝐹〗_𝑖∗𝑀𝐹〗)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396240</xdr:colOff>
      <xdr:row>22</xdr:row>
      <xdr:rowOff>175260</xdr:rowOff>
    </xdr:from>
    <xdr:ext cx="1180195" cy="32072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359F674-0E30-7E46-90A0-B5235B3E5694}"/>
                </a:ext>
              </a:extLst>
            </xdr:cNvPr>
            <xdr:cNvSpPr txBox="1"/>
          </xdr:nvSpPr>
          <xdr:spPr>
            <a:xfrm>
              <a:off x="3088640" y="4366260"/>
              <a:ext cx="1180195" cy="3207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𝑅𝑓𝐷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𝑅𝑓𝐶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𝐼𝑛h𝑅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𝐵𝑊</m:t>
                        </m:r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359F674-0E30-7E46-90A0-B5235B3E5694}"/>
                </a:ext>
              </a:extLst>
            </xdr:cNvPr>
            <xdr:cNvSpPr txBox="1"/>
          </xdr:nvSpPr>
          <xdr:spPr>
            <a:xfrm>
              <a:off x="3088640" y="4366260"/>
              <a:ext cx="1180195" cy="3207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𝑅𝑓𝐷=(𝑅𝑓𝐶∗𝐼𝑛ℎ𝑅)/𝐵𝑊</a:t>
              </a:r>
              <a:endParaRPr lang="en-GB" sz="1100"/>
            </a:p>
          </xdr:txBody>
        </xdr:sp>
      </mc:Fallback>
    </mc:AlternateContent>
    <xdr:clientData/>
  </xdr:oneCellAnchor>
  <xdr:twoCellAnchor>
    <xdr:from>
      <xdr:col>3</xdr:col>
      <xdr:colOff>541020</xdr:colOff>
      <xdr:row>23</xdr:row>
      <xdr:rowOff>15240</xdr:rowOff>
    </xdr:from>
    <xdr:to>
      <xdr:col>4</xdr:col>
      <xdr:colOff>274320</xdr:colOff>
      <xdr:row>25</xdr:row>
      <xdr:rowOff>297180</xdr:rowOff>
    </xdr:to>
    <xdr:sp macro="" textlink="">
      <xdr:nvSpPr>
        <xdr:cNvPr id="10" name="Right Brace 9">
          <a:extLst>
            <a:ext uri="{FF2B5EF4-FFF2-40B4-BE49-F238E27FC236}">
              <a16:creationId xmlns:a16="http://schemas.microsoft.com/office/drawing/2014/main" id="{CEBB27D1-19B8-5945-A7C2-C2C596BE493E}"/>
            </a:ext>
          </a:extLst>
        </xdr:cNvPr>
        <xdr:cNvSpPr/>
      </xdr:nvSpPr>
      <xdr:spPr>
        <a:xfrm>
          <a:off x="2560320" y="4396740"/>
          <a:ext cx="406400" cy="561340"/>
        </a:xfrm>
        <a:prstGeom prst="rightBrace">
          <a:avLst>
            <a:gd name="adj1" fmla="val 8333"/>
            <a:gd name="adj2" fmla="val 47647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434340</xdr:colOff>
      <xdr:row>23</xdr:row>
      <xdr:rowOff>152400</xdr:rowOff>
    </xdr:from>
    <xdr:to>
      <xdr:col>7</xdr:col>
      <xdr:colOff>487680</xdr:colOff>
      <xdr:row>23</xdr:row>
      <xdr:rowOff>152400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E33EFA13-2795-6E4D-AE3D-BF2CC3F596CF}"/>
            </a:ext>
          </a:extLst>
        </xdr:cNvPr>
        <xdr:cNvCxnSpPr/>
      </xdr:nvCxnSpPr>
      <xdr:spPr>
        <a:xfrm>
          <a:off x="4472940" y="4533900"/>
          <a:ext cx="7264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487680</xdr:colOff>
      <xdr:row>37</xdr:row>
      <xdr:rowOff>114300</xdr:rowOff>
    </xdr:from>
    <xdr:to>
      <xdr:col>4</xdr:col>
      <xdr:colOff>541020</xdr:colOff>
      <xdr:row>37</xdr:row>
      <xdr:rowOff>114300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6B264904-D942-F14F-9D21-B589974268DE}"/>
            </a:ext>
          </a:extLst>
        </xdr:cNvPr>
        <xdr:cNvCxnSpPr/>
      </xdr:nvCxnSpPr>
      <xdr:spPr>
        <a:xfrm>
          <a:off x="2506980" y="7162800"/>
          <a:ext cx="7264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358140</xdr:colOff>
      <xdr:row>46</xdr:row>
      <xdr:rowOff>68580</xdr:rowOff>
    </xdr:from>
    <xdr:to>
      <xdr:col>2</xdr:col>
      <xdr:colOff>601980</xdr:colOff>
      <xdr:row>46</xdr:row>
      <xdr:rowOff>68580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43FFCFE-46B2-8249-BE93-188A469DF148}"/>
            </a:ext>
          </a:extLst>
        </xdr:cNvPr>
        <xdr:cNvCxnSpPr/>
      </xdr:nvCxnSpPr>
      <xdr:spPr>
        <a:xfrm>
          <a:off x="1704340" y="8831580"/>
          <a:ext cx="2438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342900</xdr:colOff>
      <xdr:row>46</xdr:row>
      <xdr:rowOff>83820</xdr:rowOff>
    </xdr:from>
    <xdr:to>
      <xdr:col>4</xdr:col>
      <xdr:colOff>586740</xdr:colOff>
      <xdr:row>46</xdr:row>
      <xdr:rowOff>83820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51CA2358-B183-3E48-84A1-FBA49239272A}"/>
            </a:ext>
          </a:extLst>
        </xdr:cNvPr>
        <xdr:cNvCxnSpPr/>
      </xdr:nvCxnSpPr>
      <xdr:spPr>
        <a:xfrm>
          <a:off x="3035300" y="8846820"/>
          <a:ext cx="2438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563880</xdr:colOff>
      <xdr:row>48</xdr:row>
      <xdr:rowOff>99060</xdr:rowOff>
    </xdr:from>
    <xdr:to>
      <xdr:col>4</xdr:col>
      <xdr:colOff>7620</xdr:colOff>
      <xdr:row>48</xdr:row>
      <xdr:rowOff>99060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8CE3144D-64B4-D846-B088-9AF680447B95}"/>
            </a:ext>
          </a:extLst>
        </xdr:cNvPr>
        <xdr:cNvCxnSpPr/>
      </xdr:nvCxnSpPr>
      <xdr:spPr>
        <a:xfrm>
          <a:off x="1910080" y="9243060"/>
          <a:ext cx="7899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274320</xdr:colOff>
      <xdr:row>41</xdr:row>
      <xdr:rowOff>38100</xdr:rowOff>
    </xdr:from>
    <xdr:to>
      <xdr:col>16</xdr:col>
      <xdr:colOff>22860</xdr:colOff>
      <xdr:row>49</xdr:row>
      <xdr:rowOff>144780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D151FB8-A470-214C-A1F2-6575DFA67855}"/>
            </a:ext>
          </a:extLst>
        </xdr:cNvPr>
        <xdr:cNvSpPr txBox="1"/>
      </xdr:nvSpPr>
      <xdr:spPr>
        <a:xfrm>
          <a:off x="5659120" y="7848600"/>
          <a:ext cx="5133340" cy="1630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rgbClr val="C00000"/>
              </a:solidFill>
            </a:rPr>
            <a:t>High</a:t>
          </a:r>
          <a:r>
            <a:rPr lang="en-GB" sz="1100" baseline="0">
              <a:solidFill>
                <a:srgbClr val="C00000"/>
              </a:solidFill>
            </a:rPr>
            <a:t> difference between the RfD for inhalation calculated in the first way compared to the second way by using the LC50. Which one we should use?</a:t>
          </a:r>
        </a:p>
        <a:p>
          <a:endParaRPr lang="en-GB" sz="1100" baseline="0">
            <a:solidFill>
              <a:srgbClr val="C00000"/>
            </a:solidFill>
          </a:endParaRPr>
        </a:p>
        <a:p>
          <a:r>
            <a:rPr lang="en-GB" sz="1100" baseline="0">
              <a:solidFill>
                <a:srgbClr val="C00000"/>
              </a:solidFill>
            </a:rPr>
            <a:t>Ingestion RfD: UF and MF used based on general RfD link of USEPA. We should use the specific UF and MF for Furfuryl Alchol that are not available. So I would say that it is not possible to consider ingestion for this substance. </a:t>
          </a:r>
          <a:endParaRPr lang="en-GB" sz="1100">
            <a:solidFill>
              <a:srgbClr val="C00000"/>
            </a:solidFill>
          </a:endParaRPr>
        </a:p>
      </xdr:txBody>
    </xdr:sp>
    <xdr:clientData/>
  </xdr:twoCellAnchor>
  <xdr:twoCellAnchor>
    <xdr:from>
      <xdr:col>2</xdr:col>
      <xdr:colOff>152400</xdr:colOff>
      <xdr:row>4</xdr:row>
      <xdr:rowOff>99060</xdr:rowOff>
    </xdr:from>
    <xdr:to>
      <xdr:col>2</xdr:col>
      <xdr:colOff>525780</xdr:colOff>
      <xdr:row>4</xdr:row>
      <xdr:rowOff>99060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201A300D-43AD-8141-A78B-03421D489406}"/>
            </a:ext>
          </a:extLst>
        </xdr:cNvPr>
        <xdr:cNvCxnSpPr/>
      </xdr:nvCxnSpPr>
      <xdr:spPr>
        <a:xfrm>
          <a:off x="1498600" y="861060"/>
          <a:ext cx="3733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518160</xdr:colOff>
      <xdr:row>2</xdr:row>
      <xdr:rowOff>22860</xdr:rowOff>
    </xdr:from>
    <xdr:to>
      <xdr:col>18</xdr:col>
      <xdr:colOff>121920</xdr:colOff>
      <xdr:row>5</xdr:row>
      <xdr:rowOff>106680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6C7E4C6C-E467-0D4E-B98E-BEA774F00056}"/>
                </a:ext>
              </a:extLst>
            </xdr:cNvPr>
            <xdr:cNvSpPr txBox="1"/>
          </xdr:nvSpPr>
          <xdr:spPr>
            <a:xfrm>
              <a:off x="9941560" y="403860"/>
              <a:ext cx="2296160" cy="6553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𝑈𝐹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𝑈𝐹</m:t>
                        </m:r>
                      </m:e>
                      <m: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𝑈𝐹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b>
                    </m:sSub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b>
                      <m:sSub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𝑈𝐹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</m:t>
                        </m:r>
                      </m:sub>
                    </m:sSub>
                  </m:oMath>
                </m:oMathPara>
              </a14:m>
              <a:endParaRPr lang="en-GB" sz="1100" b="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pPr algn="ctr"/>
              <a:r>
                <a:rPr lang="en-GB" sz="1100"/>
                <a:t>UF = 10A*10S*10H</a:t>
              </a:r>
              <a:r>
                <a:rPr lang="en-GB" sz="1100" baseline="0"/>
                <a:t> = 1000</a:t>
              </a:r>
            </a:p>
            <a:p>
              <a:pPr algn="ctr"/>
              <a:r>
                <a:rPr lang="en-GB" sz="1100" baseline="0"/>
                <a:t>Using NOAEL</a:t>
              </a:r>
              <a:endParaRPr lang="en-GB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6C7E4C6C-E467-0D4E-B98E-BEA774F00056}"/>
                </a:ext>
              </a:extLst>
            </xdr:cNvPr>
            <xdr:cNvSpPr txBox="1"/>
          </xdr:nvSpPr>
          <xdr:spPr>
            <a:xfrm>
              <a:off x="9941560" y="403860"/>
              <a:ext cx="2296160" cy="6553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n-GB" sz="1100" b="0" i="0">
                  <a:latin typeface="Cambria Math" panose="02040503050406030204" pitchFamily="18" charset="0"/>
                </a:rPr>
                <a:t>𝑈𝐹=〖𝑈𝐹〗_𝐴∗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〖𝑈𝐹〗_𝑆∗〖𝑈𝐹〗_𝐻</a:t>
              </a:r>
              <a:endParaRPr lang="en-GB" sz="1100" b="0">
                <a:solidFill>
                  <a:schemeClr val="dk1"/>
                </a:solidFill>
                <a:effectLst/>
                <a:ea typeface="+mn-ea"/>
                <a:cs typeface="+mn-cs"/>
              </a:endParaRPr>
            </a:p>
            <a:p>
              <a:pPr algn="ctr"/>
              <a:r>
                <a:rPr lang="en-GB" sz="1100"/>
                <a:t>UF = 10A*10S*10H</a:t>
              </a:r>
              <a:r>
                <a:rPr lang="en-GB" sz="1100" baseline="0"/>
                <a:t> = 1000</a:t>
              </a:r>
            </a:p>
            <a:p>
              <a:pPr algn="ctr"/>
              <a:r>
                <a:rPr lang="en-GB" sz="1100" baseline="0"/>
                <a:t>Using NOAEL</a:t>
              </a:r>
              <a:endParaRPr lang="en-GB" sz="1100"/>
            </a:p>
          </xdr:txBody>
        </xdr:sp>
      </mc:Fallback>
    </mc:AlternateContent>
    <xdr:clientData/>
  </xdr:twoCellAnchor>
  <xdr:twoCellAnchor>
    <xdr:from>
      <xdr:col>13</xdr:col>
      <xdr:colOff>327660</xdr:colOff>
      <xdr:row>3</xdr:row>
      <xdr:rowOff>106680</xdr:rowOff>
    </xdr:from>
    <xdr:to>
      <xdr:col>14</xdr:col>
      <xdr:colOff>381000</xdr:colOff>
      <xdr:row>3</xdr:row>
      <xdr:rowOff>106680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A958DB1B-4231-AA41-9869-9816FD88B7F7}"/>
            </a:ext>
          </a:extLst>
        </xdr:cNvPr>
        <xdr:cNvCxnSpPr/>
      </xdr:nvCxnSpPr>
      <xdr:spPr>
        <a:xfrm>
          <a:off x="9077960" y="678180"/>
          <a:ext cx="72644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175260</xdr:colOff>
      <xdr:row>13</xdr:row>
      <xdr:rowOff>106680</xdr:rowOff>
    </xdr:from>
    <xdr:to>
      <xdr:col>2</xdr:col>
      <xdr:colOff>548640</xdr:colOff>
      <xdr:row>13</xdr:row>
      <xdr:rowOff>106680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DDE2CE03-78CB-EE46-B859-704DA021E07E}"/>
            </a:ext>
          </a:extLst>
        </xdr:cNvPr>
        <xdr:cNvCxnSpPr/>
      </xdr:nvCxnSpPr>
      <xdr:spPr>
        <a:xfrm>
          <a:off x="1521460" y="2583180"/>
          <a:ext cx="37338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698500</xdr:colOff>
      <xdr:row>43</xdr:row>
      <xdr:rowOff>63500</xdr:rowOff>
    </xdr:from>
    <xdr:to>
      <xdr:col>12</xdr:col>
      <xdr:colOff>257211</xdr:colOff>
      <xdr:row>53</xdr:row>
      <xdr:rowOff>195245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6C40CA7-E974-544F-8E3B-DA3A599B5D00}"/>
                </a:ext>
              </a:extLst>
            </xdr:cNvPr>
            <xdr:cNvSpPr txBox="1"/>
          </xdr:nvSpPr>
          <xdr:spPr>
            <a:xfrm>
              <a:off x="4000500" y="8255000"/>
              <a:ext cx="6162711" cy="31035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𝐷𝑖𝑛𝑔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𝐼𝑛𝑔𝑅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𝐸𝑓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𝐵𝑊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𝐴𝑇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𝑑𝑎𝑦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𝑑𝑎𝑦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𝑘𝑔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𝑑𝑎𝑦𝑠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𝑚𝑔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/(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𝑘𝑔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𝑑𝑎𝑦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𝐷𝑖𝑛h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𝐼𝑛h𝑅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𝐸𝑡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𝐸𝑓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𝐵𝑊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𝐴𝑇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𝑃𝐸𝐹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𝑘𝑔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p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sup>
                            </m:sSup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h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h𝑜𝑢𝑟𝑠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𝑑𝑎𝑦𝑠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∗</m:t>
                        </m:r>
                        <m:sSup>
                          <m:sSup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</m:t>
                            </m:r>
                          </m:e>
                          <m: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/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/(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𝑑𝑎𝑦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𝐷𝑑𝑒𝑟𝑚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𝐴𝐷h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𝑆𝐴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𝐸𝑓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𝐵𝑊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𝐴𝑇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𝑐𝑚</m:t>
                                </m:r>
                              </m:e>
                              <m:sup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𝐷𝑎𝑦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𝑐𝑚</m:t>
                            </m:r>
                          </m:e>
                          <m: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𝑑𝑎𝑦𝑠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𝑑𝑎𝑦𝑠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/(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𝑑𝑎𝑦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6C40CA7-E974-544F-8E3B-DA3A599B5D00}"/>
                </a:ext>
              </a:extLst>
            </xdr:cNvPr>
            <xdr:cNvSpPr txBox="1"/>
          </xdr:nvSpPr>
          <xdr:spPr>
            <a:xfrm>
              <a:off x="4000500" y="8255000"/>
              <a:ext cx="6162711" cy="31035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𝐷𝑖𝑛𝑔=  (𝐶_𝑚𝑒𝑡∗𝐼𝑛𝑔𝑅∗𝐸𝑓∗𝐸𝑑)/(𝐵𝑊∗𝐴𝑇)=  ( 𝑚𝑔/𝑔∗𝑔/𝑑𝑎𝑦∗𝑑𝑎𝑦/𝑦𝑒𝑎𝑟∗𝑦𝑒𝑎𝑟)/(𝑘𝑔∗𝑑𝑎𝑦𝑠)=𝑚𝑔/(𝑘𝑔∗𝑑𝑎𝑦)</a:t>
              </a:r>
              <a:endParaRPr lang="en-GB" sz="1100"/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𝐷𝑖𝑛ℎ=  (𝐶_𝑚𝑒𝑡∗𝐼𝑛ℎ𝑅∗𝐸𝑡∗𝐸𝑓∗𝐸𝑑)/(𝐵𝑊∗𝐴𝑇∗𝑃𝐸𝐹)=  ( 𝑚𝑔/𝑘𝑔∗𝑚^3/ℎ∗ℎ𝑜𝑢𝑟𝑠/𝑑𝑎𝑦∗𝑑𝑎𝑦/𝑦𝑒𝑎𝑟∗𝑦𝑒𝑎𝑟)/(𝑘𝑔∗𝑑𝑎𝑦𝑠 ∗𝑚^3/𝑘𝑔)=𝑚𝑔/(𝑘𝑔∗𝑑𝑎𝑦)</a:t>
              </a:r>
              <a:endParaRPr lang="en-GB">
                <a:effectLst/>
              </a:endParaRPr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𝐷𝑑𝑒𝑟𝑚=  (𝐶_𝑚𝑒𝑡∗𝐴𝐷ℎ∗𝑆𝐴∗𝐸𝑓∗𝐸𝑑)/(𝐵𝑊∗𝐴𝑇)=  ( 𝑚𝑔/𝑔∗𝑔/(〖𝑐𝑚〗^2∗𝐷𝑎𝑦)∗〖𝑐𝑚〗^2∗𝑑𝑎𝑦𝑠/𝑦𝑒𝑎𝑟∗𝑦𝑒𝑎𝑟)/(𝑘𝑔∗𝑑𝑎𝑦𝑠)=𝑚𝑔/(𝑘𝑔∗𝑑𝑎𝑦)</a:t>
              </a:r>
              <a:endParaRPr lang="en-GB">
                <a:effectLst/>
              </a:endParaRPr>
            </a:p>
            <a:p>
              <a:endParaRPr lang="en-GB" sz="1100"/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698500</xdr:colOff>
      <xdr:row>43</xdr:row>
      <xdr:rowOff>63500</xdr:rowOff>
    </xdr:from>
    <xdr:to>
      <xdr:col>12</xdr:col>
      <xdr:colOff>257211</xdr:colOff>
      <xdr:row>53</xdr:row>
      <xdr:rowOff>195245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2F14506-DEE6-DD48-BA2B-1BD139B5AE21}"/>
                </a:ext>
              </a:extLst>
            </xdr:cNvPr>
            <xdr:cNvSpPr txBox="1"/>
          </xdr:nvSpPr>
          <xdr:spPr>
            <a:xfrm>
              <a:off x="4381500" y="8750300"/>
              <a:ext cx="6302411" cy="31035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𝐷𝑖𝑛𝑔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𝐼𝑛𝑔𝑅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𝐸𝑓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𝐵𝑊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𝐴𝑇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_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𝑐𝑎𝑟𝑐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𝑑𝑎𝑦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𝑑𝑎𝑦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𝑘𝑔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𝑑𝑎𝑦𝑠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𝑚𝑔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/(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𝑘𝑔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𝑑𝑎𝑦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GB" sz="1100"/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𝐷𝑖𝑛h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𝐼𝑛h𝑅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𝐸𝑡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𝐸𝑓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𝐵𝑊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𝐴𝑇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_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𝑐𝑎𝑟𝑐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𝑃𝐸𝐹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𝑘𝑔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p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sup>
                            </m:sSup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h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h𝑜𝑢𝑟𝑠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𝑑𝑎𝑦𝑠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∗</m:t>
                        </m:r>
                        <m:sSup>
                          <m:sSup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</m:t>
                            </m:r>
                          </m:e>
                          <m: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/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/(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𝑑𝑎𝑦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𝐷𝑑𝑒𝑟𝑚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𝑚𝑒𝑡</m:t>
                            </m:r>
                          </m:sub>
                        </m:sSub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𝐴𝐷h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𝑆𝐴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𝐸𝑓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𝐸𝑑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𝐵𝑊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𝐴𝑇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_</m:t>
                        </m:r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𝑐𝑎𝑟𝑐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𝑚𝑔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𝑔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𝑐𝑚</m:t>
                                </m:r>
                              </m:e>
                              <m:sup>
                                <m:r>
                                  <a:rPr lang="en-GB" sz="1100" b="0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𝐷𝑎𝑦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𝑐𝑚</m:t>
                            </m:r>
                          </m:e>
                          <m:sup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f>
                          <m:fPr>
                            <m:ctrlP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𝑑𝑎𝑦𝑠</m:t>
                            </m:r>
                          </m:num>
                          <m:den>
                            <m:r>
                              <a:rPr lang="en-GB" sz="1100" b="0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𝑦𝑒𝑎𝑟</m:t>
                            </m:r>
                          </m:den>
                        </m:f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𝑦𝑒𝑎𝑟</m:t>
                        </m:r>
                      </m:num>
                      <m:den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𝑘𝑔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r>
                          <a:rPr lang="en-GB" sz="1100" b="0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𝑑𝑎𝑦𝑠</m:t>
                        </m:r>
                      </m:den>
                    </m:f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/(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𝑘𝑔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𝑑𝑎𝑦</m:t>
                    </m:r>
                    <m:r>
                      <a:rPr lang="en-GB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2F14506-DEE6-DD48-BA2B-1BD139B5AE21}"/>
                </a:ext>
              </a:extLst>
            </xdr:cNvPr>
            <xdr:cNvSpPr txBox="1"/>
          </xdr:nvSpPr>
          <xdr:spPr>
            <a:xfrm>
              <a:off x="4381500" y="8750300"/>
              <a:ext cx="6302411" cy="310354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𝐷𝑖𝑛𝑔=  (𝐶_𝑚𝑒𝑡∗𝐼𝑛𝑔𝑅∗𝐸𝑓∗𝐸𝑑)/(𝐵𝑊∗𝐴𝑇</a:t>
              </a:r>
              <a:r>
                <a:rPr lang="it-IT" sz="1100" b="0" i="0">
                  <a:latin typeface="Cambria Math" panose="02040503050406030204" pitchFamily="18" charset="0"/>
                </a:rPr>
                <a:t>_𝑐𝑎𝑟𝑐</a:t>
              </a:r>
              <a:r>
                <a:rPr lang="en-GB" sz="1100" b="0" i="0">
                  <a:latin typeface="Cambria Math" panose="02040503050406030204" pitchFamily="18" charset="0"/>
                </a:rPr>
                <a:t>)=  ( 𝑚𝑔/𝑔∗𝑔/𝑑𝑎𝑦∗𝑑𝑎𝑦/𝑦𝑒𝑎𝑟∗𝑦𝑒𝑎𝑟)/(𝑘𝑔∗𝑑𝑎𝑦𝑠)=𝑚𝑔/(𝑘𝑔∗𝑑𝑎𝑦)</a:t>
              </a:r>
              <a:endParaRPr lang="en-GB" sz="1100"/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𝐷𝑖𝑛ℎ=  (𝐶_𝑚𝑒𝑡∗𝐼𝑛ℎ𝑅∗𝐸𝑡∗𝐸𝑓∗𝐸𝑑)/(𝐵𝑊∗</a:t>
              </a:r>
              <a:r>
                <a:rPr lang="en-GB" sz="1100" b="0" i="0">
                  <a:latin typeface="Cambria Math" panose="02040503050406030204" pitchFamily="18" charset="0"/>
                </a:rPr>
                <a:t>𝐴𝑇</a:t>
              </a:r>
              <a:r>
                <a:rPr lang="it-IT" sz="1100" b="0" i="0">
                  <a:latin typeface="Cambria Math" panose="02040503050406030204" pitchFamily="18" charset="0"/>
                </a:rPr>
                <a:t>_𝑐𝑎𝑟𝑐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∗𝑃𝐸𝐹)=  ( 𝑚𝑔/𝑘𝑔∗𝑚^3/ℎ∗ℎ𝑜𝑢𝑟𝑠/𝑑𝑎𝑦∗𝑑𝑎𝑦/𝑦𝑒𝑎𝑟∗𝑦𝑒𝑎𝑟)/(𝑘𝑔∗𝑑𝑎𝑦𝑠 ∗𝑚^3/𝑘𝑔)=𝑚𝑔/(𝑘𝑔∗𝑑𝑎𝑦)</a:t>
              </a:r>
              <a:endParaRPr lang="en-GB">
                <a:effectLst/>
              </a:endParaRPr>
            </a:p>
            <a:p>
              <a:endParaRPr lang="en-GB" sz="1100"/>
            </a:p>
            <a:p>
              <a:endParaRPr lang="en-GB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𝐷𝑑𝑒𝑟𝑚=  (𝐶_𝑚𝑒𝑡∗𝐴𝐷ℎ∗𝑆𝐴∗𝐸𝑓∗𝐸𝑑)/(𝐵𝑊∗</a:t>
              </a:r>
              <a:r>
                <a:rPr lang="en-GB" sz="1100" b="0" i="0">
                  <a:latin typeface="Cambria Math" panose="02040503050406030204" pitchFamily="18" charset="0"/>
                </a:rPr>
                <a:t>𝐴𝑇</a:t>
              </a:r>
              <a:r>
                <a:rPr lang="it-IT" sz="1100" b="0" i="0">
                  <a:latin typeface="Cambria Math" panose="02040503050406030204" pitchFamily="18" charset="0"/>
                </a:rPr>
                <a:t>_𝑐𝑎𝑟𝑐</a:t>
              </a:r>
              <a:r>
                <a:rPr lang="en-GB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)=  ( 𝑚𝑔/𝑔∗𝑔/(〖𝑐𝑚〗^2∗𝐷𝑎𝑦)∗〖𝑐𝑚〗^2∗𝑑𝑎𝑦𝑠/𝑦𝑒𝑎𝑟∗𝑦𝑒𝑎𝑟)/(𝑘𝑔∗𝑑𝑎𝑦𝑠)=𝑚𝑔/(𝑘𝑔∗𝑑𝑎𝑦)</a:t>
              </a:r>
              <a:endParaRPr lang="en-GB">
                <a:effectLst/>
              </a:endParaRPr>
            </a:p>
            <a:p>
              <a:endParaRPr lang="en-GB" sz="11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gle.state.mi.us/aps/downloads/ATSL/98-00-0/98-00-0_annual_ITSL_IRSL.pdf" TargetMode="External"/><Relationship Id="rId2" Type="http://schemas.openxmlformats.org/officeDocument/2006/relationships/hyperlink" Target="https://echa.europa.eu/documents/10162/8f967350-0e62-7a52-47f3-44f6305b0db8" TargetMode="External"/><Relationship Id="rId1" Type="http://schemas.openxmlformats.org/officeDocument/2006/relationships/hyperlink" Target="https://www.rivm.nl/bibliotheek/rapporten/620110001.html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www.epa.gov/iris/reference-dose-rfd-description-and-use-health-risk-assessment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3237-AD5C-164D-95EB-AA81316FB499}">
  <dimension ref="A1:N36"/>
  <sheetViews>
    <sheetView workbookViewId="0">
      <selection activeCell="H7" sqref="H7"/>
    </sheetView>
  </sheetViews>
  <sheetFormatPr baseColWidth="10" defaultColWidth="8.83203125" defaultRowHeight="15" x14ac:dyDescent="0.2"/>
  <cols>
    <col min="1" max="1" width="15.83203125" style="1" bestFit="1" customWidth="1"/>
    <col min="2" max="2" width="21.5" style="1" bestFit="1" customWidth="1"/>
    <col min="3" max="3" width="14.6640625" style="1" bestFit="1" customWidth="1"/>
    <col min="4" max="4" width="14.6640625" style="1" customWidth="1"/>
    <col min="5" max="5" width="14.6640625" style="1" bestFit="1" customWidth="1"/>
    <col min="6" max="10" width="8.83203125" style="1"/>
    <col min="11" max="11" width="11.6640625" style="1" bestFit="1" customWidth="1"/>
    <col min="12" max="16384" width="8.83203125" style="1"/>
  </cols>
  <sheetData>
    <row r="1" spans="1:14" ht="16" thickBot="1" x14ac:dyDescent="0.25">
      <c r="A1" s="101" t="s">
        <v>110</v>
      </c>
      <c r="B1" s="102"/>
      <c r="C1" s="103"/>
      <c r="D1" s="101" t="s">
        <v>109</v>
      </c>
      <c r="E1" s="103"/>
    </row>
    <row r="2" spans="1:14" ht="16" thickBot="1" x14ac:dyDescent="0.25">
      <c r="A2" s="17" t="s">
        <v>76</v>
      </c>
      <c r="B2" s="16" t="s">
        <v>108</v>
      </c>
      <c r="C2" s="16" t="s">
        <v>107</v>
      </c>
      <c r="D2" s="16" t="s">
        <v>73</v>
      </c>
      <c r="E2" s="15" t="s">
        <v>72</v>
      </c>
    </row>
    <row r="3" spans="1:14" x14ac:dyDescent="0.2">
      <c r="A3" s="24" t="s">
        <v>106</v>
      </c>
      <c r="B3" s="13">
        <v>16.3</v>
      </c>
      <c r="C3" s="13">
        <v>138.69999999999999</v>
      </c>
      <c r="D3" s="13" t="s">
        <v>105</v>
      </c>
      <c r="E3" s="23" t="s">
        <v>0</v>
      </c>
    </row>
    <row r="4" spans="1:14" x14ac:dyDescent="0.2">
      <c r="A4" s="21" t="s">
        <v>104</v>
      </c>
      <c r="B4" s="1">
        <v>6.1</v>
      </c>
      <c r="C4" s="1">
        <v>128.5</v>
      </c>
      <c r="D4" s="1" t="s">
        <v>103</v>
      </c>
      <c r="E4" s="20" t="s">
        <v>0</v>
      </c>
      <c r="J4" s="22" t="s">
        <v>102</v>
      </c>
      <c r="K4" s="1" t="s">
        <v>101</v>
      </c>
      <c r="L4" s="1" t="s">
        <v>100</v>
      </c>
      <c r="M4" s="1">
        <v>0.2</v>
      </c>
      <c r="N4" s="10" t="s">
        <v>9</v>
      </c>
    </row>
    <row r="5" spans="1:14" x14ac:dyDescent="0.2">
      <c r="A5" s="21" t="s">
        <v>99</v>
      </c>
      <c r="B5" s="1">
        <v>9.1999999999999993</v>
      </c>
      <c r="C5" s="1">
        <v>131.6</v>
      </c>
      <c r="D5" s="1" t="s">
        <v>98</v>
      </c>
      <c r="E5" s="20" t="s">
        <v>0</v>
      </c>
      <c r="K5" s="9" t="s">
        <v>97</v>
      </c>
      <c r="L5" s="9" t="s">
        <v>96</v>
      </c>
      <c r="M5" s="9">
        <v>0.5</v>
      </c>
      <c r="N5" s="8" t="s">
        <v>9</v>
      </c>
    </row>
    <row r="6" spans="1:14" x14ac:dyDescent="0.2">
      <c r="A6" s="21" t="s">
        <v>95</v>
      </c>
      <c r="B6" s="1">
        <v>74</v>
      </c>
      <c r="C6" s="1">
        <v>196.4</v>
      </c>
      <c r="D6" s="1" t="s">
        <v>94</v>
      </c>
      <c r="E6" s="20" t="s">
        <v>0</v>
      </c>
      <c r="K6" s="1" t="s">
        <v>93</v>
      </c>
      <c r="L6" s="1" t="s">
        <v>92</v>
      </c>
      <c r="M6" s="1">
        <v>0.5</v>
      </c>
      <c r="N6" s="10" t="s">
        <v>9</v>
      </c>
    </row>
    <row r="7" spans="1:14" x14ac:dyDescent="0.2">
      <c r="A7" s="21" t="s">
        <v>91</v>
      </c>
      <c r="B7" s="1">
        <v>102.7</v>
      </c>
      <c r="C7" s="1">
        <v>225.1</v>
      </c>
      <c r="D7" s="1" t="s">
        <v>90</v>
      </c>
      <c r="E7" s="20" t="s">
        <v>0</v>
      </c>
      <c r="K7" s="1" t="s">
        <v>89</v>
      </c>
      <c r="L7" s="1" t="s">
        <v>88</v>
      </c>
      <c r="M7" s="1">
        <v>5</v>
      </c>
      <c r="N7" s="10" t="s">
        <v>9</v>
      </c>
    </row>
    <row r="8" spans="1:14" ht="16" thickBot="1" x14ac:dyDescent="0.25">
      <c r="A8" s="19" t="s">
        <v>87</v>
      </c>
      <c r="B8" s="4">
        <v>41.6</v>
      </c>
      <c r="C8" s="4">
        <v>164.4</v>
      </c>
      <c r="D8" s="4" t="s">
        <v>86</v>
      </c>
      <c r="E8" s="18" t="s">
        <v>0</v>
      </c>
      <c r="K8" s="9" t="s">
        <v>85</v>
      </c>
      <c r="L8" s="9" t="s">
        <v>84</v>
      </c>
      <c r="M8" s="9">
        <v>3</v>
      </c>
      <c r="N8" s="8" t="s">
        <v>9</v>
      </c>
    </row>
    <row r="9" spans="1:14" x14ac:dyDescent="0.2">
      <c r="K9" s="1" t="s">
        <v>83</v>
      </c>
      <c r="L9" s="1" t="s">
        <v>82</v>
      </c>
      <c r="M9" s="1">
        <v>1</v>
      </c>
      <c r="N9" s="10" t="s">
        <v>9</v>
      </c>
    </row>
    <row r="10" spans="1:14" ht="16" thickBot="1" x14ac:dyDescent="0.25">
      <c r="K10" s="9" t="s">
        <v>81</v>
      </c>
      <c r="L10" s="9" t="s">
        <v>80</v>
      </c>
      <c r="M10" s="9">
        <v>1</v>
      </c>
      <c r="N10" s="8" t="s">
        <v>9</v>
      </c>
    </row>
    <row r="11" spans="1:14" ht="16" thickBot="1" x14ac:dyDescent="0.25">
      <c r="A11" s="101" t="s">
        <v>79</v>
      </c>
      <c r="B11" s="102"/>
      <c r="C11" s="102"/>
      <c r="D11" s="102"/>
      <c r="E11" s="103"/>
      <c r="K11" s="1" t="s">
        <v>78</v>
      </c>
      <c r="L11" s="1" t="s">
        <v>77</v>
      </c>
      <c r="M11" s="1">
        <v>0.5</v>
      </c>
      <c r="N11" s="10" t="s">
        <v>9</v>
      </c>
    </row>
    <row r="12" spans="1:14" ht="16" thickBot="1" x14ac:dyDescent="0.25">
      <c r="A12" s="17" t="s">
        <v>76</v>
      </c>
      <c r="B12" s="16" t="s">
        <v>75</v>
      </c>
      <c r="C12" s="16" t="s">
        <v>74</v>
      </c>
      <c r="D12" s="15" t="s">
        <v>73</v>
      </c>
      <c r="E12" s="14" t="s">
        <v>72</v>
      </c>
      <c r="K12" s="9" t="s">
        <v>71</v>
      </c>
      <c r="L12" s="9" t="s">
        <v>70</v>
      </c>
      <c r="M12" s="9">
        <v>1</v>
      </c>
      <c r="N12" s="8" t="s">
        <v>9</v>
      </c>
    </row>
    <row r="13" spans="1:14" x14ac:dyDescent="0.2">
      <c r="A13" s="104">
        <v>8010</v>
      </c>
      <c r="B13" s="13">
        <v>1</v>
      </c>
      <c r="C13" s="13">
        <v>1</v>
      </c>
      <c r="D13" s="12" t="s">
        <v>69</v>
      </c>
      <c r="E13" s="11" t="s">
        <v>0</v>
      </c>
      <c r="K13" s="9" t="s">
        <v>68</v>
      </c>
      <c r="L13" s="9" t="s">
        <v>67</v>
      </c>
      <c r="M13" s="9">
        <v>1</v>
      </c>
      <c r="N13" s="8" t="s">
        <v>9</v>
      </c>
    </row>
    <row r="14" spans="1:14" x14ac:dyDescent="0.2">
      <c r="A14" s="105"/>
      <c r="B14" s="1">
        <v>1</v>
      </c>
      <c r="C14" s="1">
        <v>2</v>
      </c>
      <c r="D14" s="6" t="s">
        <v>66</v>
      </c>
      <c r="E14" s="5" t="s">
        <v>0</v>
      </c>
      <c r="K14" s="9" t="s">
        <v>65</v>
      </c>
      <c r="L14" s="9" t="s">
        <v>64</v>
      </c>
      <c r="M14" s="9">
        <v>1</v>
      </c>
      <c r="N14" s="8" t="s">
        <v>9</v>
      </c>
    </row>
    <row r="15" spans="1:14" x14ac:dyDescent="0.2">
      <c r="A15" s="105"/>
      <c r="B15" s="1">
        <v>2</v>
      </c>
      <c r="C15" s="1">
        <v>1</v>
      </c>
      <c r="D15" s="6" t="s">
        <v>63</v>
      </c>
      <c r="E15" s="5" t="s">
        <v>0</v>
      </c>
      <c r="K15" s="1" t="s">
        <v>62</v>
      </c>
      <c r="L15" s="1" t="s">
        <v>61</v>
      </c>
      <c r="M15" s="1">
        <v>1</v>
      </c>
      <c r="N15" s="10" t="s">
        <v>9</v>
      </c>
    </row>
    <row r="16" spans="1:14" x14ac:dyDescent="0.2">
      <c r="A16" s="105"/>
      <c r="B16" s="1">
        <v>2</v>
      </c>
      <c r="C16" s="1">
        <v>2</v>
      </c>
      <c r="D16" s="6" t="s">
        <v>60</v>
      </c>
      <c r="E16" s="5" t="s">
        <v>0</v>
      </c>
      <c r="K16" s="1" t="s">
        <v>59</v>
      </c>
      <c r="L16" s="1" t="s">
        <v>58</v>
      </c>
      <c r="M16" s="1">
        <v>2</v>
      </c>
      <c r="N16" s="10" t="s">
        <v>9</v>
      </c>
    </row>
    <row r="17" spans="1:14" x14ac:dyDescent="0.2">
      <c r="A17" s="105"/>
      <c r="B17" s="1">
        <v>6</v>
      </c>
      <c r="C17" s="1">
        <v>1</v>
      </c>
      <c r="D17" s="6" t="s">
        <v>57</v>
      </c>
      <c r="E17" s="5" t="s">
        <v>0</v>
      </c>
      <c r="K17" s="9" t="s">
        <v>56</v>
      </c>
      <c r="L17" s="9" t="s">
        <v>55</v>
      </c>
      <c r="M17" s="9">
        <v>0.5</v>
      </c>
      <c r="N17" s="8" t="s">
        <v>9</v>
      </c>
    </row>
    <row r="18" spans="1:14" x14ac:dyDescent="0.2">
      <c r="A18" s="105"/>
      <c r="B18" s="1">
        <v>6</v>
      </c>
      <c r="C18" s="1">
        <v>2</v>
      </c>
      <c r="D18" s="6" t="s">
        <v>54</v>
      </c>
      <c r="E18" s="5" t="s">
        <v>0</v>
      </c>
      <c r="K18" s="9" t="s">
        <v>53</v>
      </c>
      <c r="L18" s="9" t="s">
        <v>52</v>
      </c>
      <c r="M18" s="9">
        <v>10</v>
      </c>
      <c r="N18" s="8" t="s">
        <v>9</v>
      </c>
    </row>
    <row r="19" spans="1:14" x14ac:dyDescent="0.2">
      <c r="A19" s="105"/>
      <c r="B19" s="1">
        <v>13</v>
      </c>
      <c r="C19" s="1">
        <v>1</v>
      </c>
      <c r="D19" s="6" t="s">
        <v>51</v>
      </c>
      <c r="E19" s="5" t="s">
        <v>0</v>
      </c>
      <c r="K19" s="1" t="s">
        <v>50</v>
      </c>
      <c r="L19" s="1" t="s">
        <v>49</v>
      </c>
      <c r="M19" s="1">
        <v>5.0000000000000001E-3</v>
      </c>
      <c r="N19" s="10" t="s">
        <v>9</v>
      </c>
    </row>
    <row r="20" spans="1:14" ht="16" thickBot="1" x14ac:dyDescent="0.25">
      <c r="A20" s="106"/>
      <c r="B20" s="4">
        <v>13</v>
      </c>
      <c r="C20" s="4">
        <v>2</v>
      </c>
      <c r="D20" s="3" t="s">
        <v>48</v>
      </c>
      <c r="E20" s="2" t="s">
        <v>0</v>
      </c>
      <c r="K20" s="1" t="s">
        <v>47</v>
      </c>
      <c r="L20" s="1" t="s">
        <v>46</v>
      </c>
      <c r="M20" s="1">
        <v>1</v>
      </c>
      <c r="N20" s="10" t="s">
        <v>9</v>
      </c>
    </row>
    <row r="21" spans="1:14" x14ac:dyDescent="0.2">
      <c r="A21" s="104">
        <v>8012</v>
      </c>
      <c r="B21" s="13">
        <v>1</v>
      </c>
      <c r="C21" s="13">
        <v>1</v>
      </c>
      <c r="D21" s="12" t="s">
        <v>45</v>
      </c>
      <c r="E21" s="11" t="s">
        <v>0</v>
      </c>
      <c r="K21" s="9" t="s">
        <v>44</v>
      </c>
      <c r="L21" s="9" t="s">
        <v>43</v>
      </c>
      <c r="M21" s="9">
        <v>2</v>
      </c>
      <c r="N21" s="8" t="s">
        <v>9</v>
      </c>
    </row>
    <row r="22" spans="1:14" x14ac:dyDescent="0.2">
      <c r="A22" s="105"/>
      <c r="B22" s="1">
        <v>1</v>
      </c>
      <c r="C22" s="1">
        <v>2</v>
      </c>
      <c r="D22" s="6" t="s">
        <v>42</v>
      </c>
      <c r="E22" s="5" t="s">
        <v>0</v>
      </c>
      <c r="K22" s="9" t="s">
        <v>41</v>
      </c>
      <c r="L22" s="9" t="s">
        <v>40</v>
      </c>
      <c r="M22" s="9">
        <v>50</v>
      </c>
      <c r="N22" s="8" t="s">
        <v>9</v>
      </c>
    </row>
    <row r="23" spans="1:14" x14ac:dyDescent="0.2">
      <c r="A23" s="105"/>
      <c r="B23" s="1">
        <v>2</v>
      </c>
      <c r="C23" s="1">
        <v>1</v>
      </c>
      <c r="D23" s="6" t="s">
        <v>39</v>
      </c>
      <c r="E23" s="5" t="s">
        <v>0</v>
      </c>
      <c r="K23" s="9" t="s">
        <v>38</v>
      </c>
      <c r="L23" s="9" t="s">
        <v>37</v>
      </c>
      <c r="M23" s="9">
        <v>50</v>
      </c>
      <c r="N23" s="8" t="s">
        <v>9</v>
      </c>
    </row>
    <row r="24" spans="1:14" x14ac:dyDescent="0.2">
      <c r="A24" s="105"/>
      <c r="B24" s="1">
        <v>2</v>
      </c>
      <c r="C24" s="1">
        <v>2</v>
      </c>
      <c r="D24" s="6" t="s">
        <v>36</v>
      </c>
      <c r="E24" s="5" t="s">
        <v>0</v>
      </c>
      <c r="K24" s="9" t="s">
        <v>35</v>
      </c>
      <c r="L24" s="9" t="s">
        <v>34</v>
      </c>
      <c r="M24" s="9">
        <v>0.1</v>
      </c>
      <c r="N24" s="8" t="s">
        <v>9</v>
      </c>
    </row>
    <row r="25" spans="1:14" x14ac:dyDescent="0.2">
      <c r="A25" s="105"/>
      <c r="B25" s="1">
        <v>6</v>
      </c>
      <c r="C25" s="1">
        <v>1</v>
      </c>
      <c r="D25" s="6" t="s">
        <v>33</v>
      </c>
      <c r="E25" s="5" t="s">
        <v>0</v>
      </c>
      <c r="K25" s="9" t="s">
        <v>32</v>
      </c>
      <c r="L25" s="9" t="s">
        <v>31</v>
      </c>
      <c r="M25" s="9">
        <v>50</v>
      </c>
      <c r="N25" s="8" t="s">
        <v>9</v>
      </c>
    </row>
    <row r="26" spans="1:14" x14ac:dyDescent="0.2">
      <c r="A26" s="105"/>
      <c r="B26" s="1">
        <v>6</v>
      </c>
      <c r="C26" s="1">
        <v>2</v>
      </c>
      <c r="D26" s="6" t="s">
        <v>30</v>
      </c>
      <c r="E26" s="5" t="s">
        <v>0</v>
      </c>
      <c r="K26" s="1" t="s">
        <v>29</v>
      </c>
      <c r="L26" s="1" t="s">
        <v>28</v>
      </c>
      <c r="M26" s="1">
        <v>0.02</v>
      </c>
      <c r="N26" s="10" t="s">
        <v>9</v>
      </c>
    </row>
    <row r="27" spans="1:14" x14ac:dyDescent="0.2">
      <c r="A27" s="105"/>
      <c r="B27" s="1">
        <v>13</v>
      </c>
      <c r="C27" s="1">
        <v>1</v>
      </c>
      <c r="D27" s="6" t="s">
        <v>27</v>
      </c>
      <c r="E27" s="5" t="s">
        <v>0</v>
      </c>
      <c r="K27" s="1" t="s">
        <v>26</v>
      </c>
      <c r="L27" s="1" t="s">
        <v>25</v>
      </c>
      <c r="M27" s="1">
        <v>30</v>
      </c>
      <c r="N27" s="10" t="s">
        <v>9</v>
      </c>
    </row>
    <row r="28" spans="1:14" ht="16" thickBot="1" x14ac:dyDescent="0.25">
      <c r="A28" s="106"/>
      <c r="B28" s="4">
        <v>13</v>
      </c>
      <c r="C28" s="4">
        <v>2</v>
      </c>
      <c r="D28" s="3" t="s">
        <v>24</v>
      </c>
      <c r="E28" s="2" t="s">
        <v>0</v>
      </c>
      <c r="K28" s="1" t="s">
        <v>23</v>
      </c>
      <c r="L28" s="1" t="s">
        <v>22</v>
      </c>
      <c r="M28" s="1">
        <v>0.2</v>
      </c>
      <c r="N28" s="10" t="s">
        <v>9</v>
      </c>
    </row>
    <row r="29" spans="1:14" x14ac:dyDescent="0.2">
      <c r="A29" s="104">
        <v>8020</v>
      </c>
      <c r="B29" s="13">
        <v>1</v>
      </c>
      <c r="C29" s="13">
        <v>1</v>
      </c>
      <c r="D29" s="12" t="s">
        <v>21</v>
      </c>
      <c r="E29" s="11" t="s">
        <v>0</v>
      </c>
      <c r="K29" s="1" t="s">
        <v>20</v>
      </c>
      <c r="L29" s="1" t="s">
        <v>19</v>
      </c>
      <c r="M29" s="1">
        <v>2</v>
      </c>
      <c r="N29" s="10" t="s">
        <v>9</v>
      </c>
    </row>
    <row r="30" spans="1:14" x14ac:dyDescent="0.2">
      <c r="A30" s="105"/>
      <c r="B30" s="1">
        <v>1</v>
      </c>
      <c r="C30" s="1">
        <v>2</v>
      </c>
      <c r="D30" s="6" t="s">
        <v>18</v>
      </c>
      <c r="E30" s="5" t="s">
        <v>0</v>
      </c>
      <c r="K30" s="1" t="s">
        <v>17</v>
      </c>
      <c r="L30" s="1" t="s">
        <v>16</v>
      </c>
      <c r="M30" s="1">
        <v>0.5</v>
      </c>
      <c r="N30" s="10" t="s">
        <v>9</v>
      </c>
    </row>
    <row r="31" spans="1:14" x14ac:dyDescent="0.2">
      <c r="A31" s="105"/>
      <c r="B31" s="1">
        <v>2</v>
      </c>
      <c r="C31" s="1">
        <v>1</v>
      </c>
      <c r="D31" s="6" t="s">
        <v>15</v>
      </c>
      <c r="E31" s="5" t="s">
        <v>0</v>
      </c>
      <c r="K31" s="1" t="s">
        <v>14</v>
      </c>
      <c r="L31" s="1" t="s">
        <v>13</v>
      </c>
      <c r="M31" s="1">
        <v>1</v>
      </c>
      <c r="N31" s="10" t="s">
        <v>9</v>
      </c>
    </row>
    <row r="32" spans="1:14" x14ac:dyDescent="0.2">
      <c r="A32" s="105"/>
      <c r="B32" s="1">
        <v>2</v>
      </c>
      <c r="C32" s="1">
        <v>2</v>
      </c>
      <c r="D32" s="6" t="s">
        <v>12</v>
      </c>
      <c r="E32" s="5" t="s">
        <v>0</v>
      </c>
      <c r="K32" s="9" t="s">
        <v>11</v>
      </c>
      <c r="L32" s="9" t="s">
        <v>10</v>
      </c>
      <c r="M32" s="9">
        <v>1</v>
      </c>
      <c r="N32" s="8" t="s">
        <v>9</v>
      </c>
    </row>
    <row r="33" spans="1:14" x14ac:dyDescent="0.2">
      <c r="A33" s="105"/>
      <c r="B33" s="1">
        <v>6</v>
      </c>
      <c r="C33" s="1">
        <v>1</v>
      </c>
      <c r="D33" s="6" t="s">
        <v>8</v>
      </c>
      <c r="E33" s="5" t="s">
        <v>0</v>
      </c>
      <c r="K33" s="7" t="s">
        <v>7</v>
      </c>
      <c r="L33" s="7" t="s">
        <v>6</v>
      </c>
      <c r="M33" s="7"/>
      <c r="N33" s="7"/>
    </row>
    <row r="34" spans="1:14" x14ac:dyDescent="0.2">
      <c r="A34" s="105"/>
      <c r="B34" s="1">
        <v>6</v>
      </c>
      <c r="C34" s="1">
        <v>2</v>
      </c>
      <c r="D34" s="6" t="s">
        <v>5</v>
      </c>
      <c r="E34" s="5" t="s">
        <v>0</v>
      </c>
      <c r="K34" s="7" t="s">
        <v>4</v>
      </c>
      <c r="L34" s="7" t="s">
        <v>3</v>
      </c>
      <c r="M34" s="7"/>
      <c r="N34" s="7"/>
    </row>
    <row r="35" spans="1:14" x14ac:dyDescent="0.2">
      <c r="A35" s="105"/>
      <c r="B35" s="1">
        <v>13</v>
      </c>
      <c r="C35" s="1">
        <v>1</v>
      </c>
      <c r="D35" s="6" t="s">
        <v>2</v>
      </c>
      <c r="E35" s="5" t="s">
        <v>0</v>
      </c>
    </row>
    <row r="36" spans="1:14" ht="16" thickBot="1" x14ac:dyDescent="0.25">
      <c r="A36" s="106"/>
      <c r="B36" s="4">
        <v>13</v>
      </c>
      <c r="C36" s="4">
        <v>2</v>
      </c>
      <c r="D36" s="3" t="s">
        <v>1</v>
      </c>
      <c r="E36" s="2" t="s">
        <v>0</v>
      </c>
    </row>
  </sheetData>
  <mergeCells count="6">
    <mergeCell ref="A11:E11"/>
    <mergeCell ref="A13:A20"/>
    <mergeCell ref="A21:A28"/>
    <mergeCell ref="A29:A36"/>
    <mergeCell ref="A1:C1"/>
    <mergeCell ref="D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4E300-0DDE-B747-9E96-0BF5F51CC13E}">
  <dimension ref="A1:T49"/>
  <sheetViews>
    <sheetView topLeftCell="A29" workbookViewId="0">
      <selection activeCell="B20" sqref="B20:B22"/>
    </sheetView>
  </sheetViews>
  <sheetFormatPr baseColWidth="10" defaultColWidth="8.83203125" defaultRowHeight="15" x14ac:dyDescent="0.2"/>
  <cols>
    <col min="1" max="1" width="11.83203125" bestFit="1" customWidth="1"/>
    <col min="2" max="2" width="8.83203125" style="59"/>
    <col min="3" max="3" width="11.1640625" customWidth="1"/>
    <col min="10" max="10" width="10.5" customWidth="1"/>
  </cols>
  <sheetData>
    <row r="1" spans="1:20" x14ac:dyDescent="0.2">
      <c r="A1" s="107" t="s">
        <v>268</v>
      </c>
      <c r="B1" s="107"/>
      <c r="C1" s="107"/>
      <c r="D1" s="107"/>
      <c r="E1" s="107"/>
      <c r="F1" s="107"/>
    </row>
    <row r="2" spans="1:20" x14ac:dyDescent="0.2">
      <c r="A2" s="108" t="s">
        <v>267</v>
      </c>
      <c r="B2" s="59">
        <v>53</v>
      </c>
      <c r="C2" t="s">
        <v>266</v>
      </c>
      <c r="K2" t="s">
        <v>265</v>
      </c>
      <c r="L2" s="59">
        <v>0.13100000000000001</v>
      </c>
    </row>
    <row r="3" spans="1:20" x14ac:dyDescent="0.2">
      <c r="A3" s="108"/>
      <c r="B3" s="65">
        <f>B2/70</f>
        <v>0.75714285714285712</v>
      </c>
      <c r="C3" t="s">
        <v>217</v>
      </c>
      <c r="E3" t="s">
        <v>264</v>
      </c>
      <c r="K3" t="s">
        <v>263</v>
      </c>
      <c r="L3" s="59">
        <f>L2/B5</f>
        <v>0.13100000000000001</v>
      </c>
    </row>
    <row r="4" spans="1:20" ht="16" x14ac:dyDescent="0.2">
      <c r="A4" s="66" t="s">
        <v>200</v>
      </c>
      <c r="B4" s="65">
        <f>B3/(L4*L5)</f>
        <v>7.5714285714285716E-4</v>
      </c>
      <c r="C4" t="s">
        <v>217</v>
      </c>
      <c r="K4" t="s">
        <v>229</v>
      </c>
      <c r="L4" s="59">
        <v>1000</v>
      </c>
      <c r="M4" t="s">
        <v>228</v>
      </c>
    </row>
    <row r="5" spans="1:20" ht="16" x14ac:dyDescent="0.2">
      <c r="A5" s="66" t="s">
        <v>197</v>
      </c>
      <c r="B5" s="65">
        <v>1</v>
      </c>
      <c r="D5" t="s">
        <v>262</v>
      </c>
      <c r="K5" t="s">
        <v>227</v>
      </c>
      <c r="L5" s="59">
        <v>1</v>
      </c>
      <c r="M5" t="s">
        <v>226</v>
      </c>
    </row>
    <row r="6" spans="1:20" ht="16" x14ac:dyDescent="0.2">
      <c r="A6" s="66" t="s">
        <v>261</v>
      </c>
      <c r="B6" s="65">
        <f>B4*B5</f>
        <v>7.5714285714285716E-4</v>
      </c>
      <c r="C6" t="s">
        <v>217</v>
      </c>
    </row>
    <row r="7" spans="1:20" x14ac:dyDescent="0.2">
      <c r="A7" s="66"/>
      <c r="B7" s="65"/>
    </row>
    <row r="8" spans="1:20" x14ac:dyDescent="0.2">
      <c r="A8" s="66"/>
      <c r="B8" s="65"/>
      <c r="T8" t="s">
        <v>260</v>
      </c>
    </row>
    <row r="9" spans="1:20" x14ac:dyDescent="0.2">
      <c r="T9" s="61" t="s">
        <v>259</v>
      </c>
    </row>
    <row r="10" spans="1:20" x14ac:dyDescent="0.2">
      <c r="A10" t="s">
        <v>258</v>
      </c>
      <c r="B10" s="59">
        <v>8</v>
      </c>
      <c r="C10" t="s">
        <v>181</v>
      </c>
      <c r="D10" t="s">
        <v>257</v>
      </c>
      <c r="T10" t="s">
        <v>256</v>
      </c>
    </row>
    <row r="11" spans="1:20" x14ac:dyDescent="0.2">
      <c r="A11" t="s">
        <v>255</v>
      </c>
      <c r="B11" s="59">
        <v>8</v>
      </c>
      <c r="C11" t="s">
        <v>181</v>
      </c>
      <c r="D11" t="s">
        <v>254</v>
      </c>
      <c r="T11" s="61" t="s">
        <v>253</v>
      </c>
    </row>
    <row r="12" spans="1:20" x14ac:dyDescent="0.2">
      <c r="A12" t="s">
        <v>240</v>
      </c>
      <c r="B12" s="59">
        <f>B11*6/24*5/7</f>
        <v>1.4285714285714286</v>
      </c>
      <c r="C12" t="s">
        <v>181</v>
      </c>
      <c r="E12" t="s">
        <v>252</v>
      </c>
    </row>
    <row r="13" spans="1:20" x14ac:dyDescent="0.2">
      <c r="A13" t="s">
        <v>239</v>
      </c>
      <c r="B13" s="59">
        <f>B12*B14</f>
        <v>1.4285714285714286</v>
      </c>
      <c r="C13" t="s">
        <v>181</v>
      </c>
      <c r="E13" t="s">
        <v>251</v>
      </c>
    </row>
    <row r="14" spans="1:20" x14ac:dyDescent="0.2">
      <c r="A14" t="s">
        <v>250</v>
      </c>
      <c r="B14" s="59">
        <v>1</v>
      </c>
      <c r="D14" t="s">
        <v>249</v>
      </c>
    </row>
    <row r="20" spans="1:11" x14ac:dyDescent="0.2">
      <c r="A20" t="s">
        <v>248</v>
      </c>
      <c r="B20" s="59">
        <v>10</v>
      </c>
      <c r="C20" t="s">
        <v>247</v>
      </c>
    </row>
    <row r="21" spans="1:11" x14ac:dyDescent="0.2">
      <c r="A21" t="s">
        <v>246</v>
      </c>
      <c r="B21" s="59">
        <v>10</v>
      </c>
      <c r="C21" t="s">
        <v>245</v>
      </c>
    </row>
    <row r="22" spans="1:11" x14ac:dyDescent="0.2">
      <c r="A22" t="s">
        <v>244</v>
      </c>
      <c r="B22" s="59">
        <v>3</v>
      </c>
      <c r="C22" t="s">
        <v>243</v>
      </c>
    </row>
    <row r="24" spans="1:11" x14ac:dyDescent="0.2">
      <c r="A24" t="s">
        <v>198</v>
      </c>
      <c r="B24" s="59">
        <f>B13/(B20*B21*B22)</f>
        <v>4.7619047619047623E-3</v>
      </c>
      <c r="C24" t="s">
        <v>181</v>
      </c>
      <c r="D24" t="s">
        <v>242</v>
      </c>
      <c r="I24" t="s">
        <v>218</v>
      </c>
      <c r="J24" s="59">
        <f>B24*B25/70</f>
        <v>2.0751020408163267E-4</v>
      </c>
      <c r="K24" t="s">
        <v>217</v>
      </c>
    </row>
    <row r="25" spans="1:11" x14ac:dyDescent="0.2">
      <c r="A25" s="25" t="s">
        <v>152</v>
      </c>
      <c r="B25" s="25">
        <f>B26*24</f>
        <v>3.0503999999999998</v>
      </c>
      <c r="C25" s="25" t="s">
        <v>150</v>
      </c>
    </row>
    <row r="26" spans="1:11" ht="32" x14ac:dyDescent="0.2">
      <c r="A26" s="64" t="s">
        <v>149</v>
      </c>
      <c r="B26" s="63">
        <v>0.12709999999999999</v>
      </c>
      <c r="C26" s="63" t="s">
        <v>147</v>
      </c>
    </row>
    <row r="30" spans="1:11" x14ac:dyDescent="0.2">
      <c r="A30" s="109" t="s">
        <v>241</v>
      </c>
      <c r="B30" s="109"/>
      <c r="C30" s="109"/>
      <c r="D30" s="109"/>
      <c r="E30" s="109"/>
      <c r="F30" s="109"/>
      <c r="G30" s="109"/>
      <c r="H30" s="109"/>
      <c r="I30" s="109"/>
      <c r="J30" s="109"/>
    </row>
    <row r="32" spans="1:11" x14ac:dyDescent="0.2">
      <c r="A32" t="s">
        <v>240</v>
      </c>
      <c r="B32" s="59">
        <f>8*8/24*250/365</f>
        <v>1.8264840182648401</v>
      </c>
      <c r="C32" t="s">
        <v>181</v>
      </c>
    </row>
    <row r="33" spans="1:11" x14ac:dyDescent="0.2">
      <c r="A33" t="s">
        <v>239</v>
      </c>
      <c r="B33" s="59">
        <f>B32*B14</f>
        <v>1.8264840182648401</v>
      </c>
      <c r="C33" t="s">
        <v>181</v>
      </c>
      <c r="E33" t="s">
        <v>218</v>
      </c>
      <c r="F33" s="60">
        <f>B34*B25/70</f>
        <v>2.6530984996738416E-4</v>
      </c>
      <c r="G33" t="s">
        <v>217</v>
      </c>
    </row>
    <row r="34" spans="1:11" x14ac:dyDescent="0.2">
      <c r="A34" t="s">
        <v>198</v>
      </c>
      <c r="B34" s="59">
        <f>B33/(B20*B21*B22)</f>
        <v>6.0882800608828003E-3</v>
      </c>
      <c r="C34" t="s">
        <v>181</v>
      </c>
    </row>
    <row r="37" spans="1:11" x14ac:dyDescent="0.2">
      <c r="A37" s="107" t="s">
        <v>238</v>
      </c>
      <c r="B37" s="107"/>
      <c r="C37" s="107"/>
      <c r="D37" s="107"/>
      <c r="E37" s="107"/>
      <c r="F37" s="107"/>
    </row>
    <row r="38" spans="1:11" x14ac:dyDescent="0.2">
      <c r="A38" t="s">
        <v>237</v>
      </c>
      <c r="B38" s="59">
        <v>132</v>
      </c>
      <c r="C38">
        <v>275</v>
      </c>
      <c r="D38" t="s">
        <v>171</v>
      </c>
      <c r="F38">
        <f>(B38+C38)/2</f>
        <v>203.5</v>
      </c>
      <c r="G38" t="s">
        <v>236</v>
      </c>
      <c r="J38" s="61" t="s">
        <v>235</v>
      </c>
    </row>
    <row r="39" spans="1:11" x14ac:dyDescent="0.2">
      <c r="A39" t="s">
        <v>234</v>
      </c>
      <c r="B39" s="59">
        <f>F38/(1.7*10000)</f>
        <v>1.1970588235294118E-2</v>
      </c>
      <c r="C39" s="59"/>
      <c r="D39" t="s">
        <v>223</v>
      </c>
      <c r="F39" t="s">
        <v>233</v>
      </c>
    </row>
    <row r="40" spans="1:11" x14ac:dyDescent="0.2">
      <c r="A40" t="s">
        <v>200</v>
      </c>
      <c r="B40" s="60">
        <f>B39/(B41*B42)</f>
        <v>1.1970588235294119E-6</v>
      </c>
      <c r="C40" t="s">
        <v>232</v>
      </c>
      <c r="J40" s="62" t="s">
        <v>231</v>
      </c>
      <c r="K40" s="61" t="s">
        <v>230</v>
      </c>
    </row>
    <row r="41" spans="1:11" x14ac:dyDescent="0.2">
      <c r="A41" t="s">
        <v>229</v>
      </c>
      <c r="B41" s="59">
        <v>10000</v>
      </c>
      <c r="C41" t="s">
        <v>228</v>
      </c>
    </row>
    <row r="42" spans="1:11" x14ac:dyDescent="0.2">
      <c r="A42" t="s">
        <v>227</v>
      </c>
      <c r="B42" s="59">
        <v>1</v>
      </c>
      <c r="C42" t="s">
        <v>226</v>
      </c>
    </row>
    <row r="43" spans="1:11" x14ac:dyDescent="0.2">
      <c r="A43" t="s">
        <v>225</v>
      </c>
      <c r="B43" s="59">
        <v>0.8</v>
      </c>
    </row>
    <row r="46" spans="1:11" x14ac:dyDescent="0.2">
      <c r="A46" t="s">
        <v>224</v>
      </c>
      <c r="B46" s="59">
        <v>1.17</v>
      </c>
      <c r="C46" t="s">
        <v>220</v>
      </c>
      <c r="D46" t="s">
        <v>223</v>
      </c>
      <c r="F46" t="s">
        <v>222</v>
      </c>
    </row>
    <row r="47" spans="1:11" x14ac:dyDescent="0.2">
      <c r="A47" t="s">
        <v>221</v>
      </c>
      <c r="B47" s="59">
        <f>B46/(8.8*10000)</f>
        <v>1.3295454545454545E-5</v>
      </c>
      <c r="C47" t="s">
        <v>220</v>
      </c>
      <c r="D47" s="59">
        <f>B47</f>
        <v>1.3295454545454545E-5</v>
      </c>
      <c r="E47" t="s">
        <v>219</v>
      </c>
      <c r="F47" s="59">
        <f>D47*1000</f>
        <v>1.3295454545454544E-2</v>
      </c>
      <c r="G47" t="s">
        <v>181</v>
      </c>
    </row>
    <row r="49" spans="1:7" x14ac:dyDescent="0.2">
      <c r="A49" t="s">
        <v>198</v>
      </c>
      <c r="B49" s="60">
        <f>F47/(B20*B21*B22)</f>
        <v>4.4318181818181812E-5</v>
      </c>
      <c r="C49" t="s">
        <v>181</v>
      </c>
      <c r="E49" t="s">
        <v>218</v>
      </c>
      <c r="F49" s="60">
        <f>B49*B25/70</f>
        <v>1.9312597402597402E-6</v>
      </c>
      <c r="G49" t="s">
        <v>217</v>
      </c>
    </row>
  </sheetData>
  <mergeCells count="4">
    <mergeCell ref="A1:F1"/>
    <mergeCell ref="A2:A3"/>
    <mergeCell ref="A30:J30"/>
    <mergeCell ref="A37:F37"/>
  </mergeCells>
  <hyperlinks>
    <hyperlink ref="J38" r:id="rId1" xr:uid="{A13E388D-6B54-1B47-9E3A-72D0F0095455}"/>
    <hyperlink ref="T9" r:id="rId2" xr:uid="{7BF86243-45A2-4449-9246-CFD786348BE6}"/>
    <hyperlink ref="T11" r:id="rId3" xr:uid="{DA73CB69-6CD4-2142-B187-5DDA8E5E4AC1}"/>
    <hyperlink ref="K40" r:id="rId4" xr:uid="{076A6BD5-7577-5149-A2A9-13C588C009C7}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3105-F5C0-BF46-967A-0D756976B79F}">
  <dimension ref="A1:BJ66"/>
  <sheetViews>
    <sheetView topLeftCell="AM1" zoomScale="120" zoomScaleNormal="120" workbookViewId="0">
      <selection activeCell="J39" sqref="J39:M40"/>
    </sheetView>
  </sheetViews>
  <sheetFormatPr baseColWidth="10" defaultRowHeight="15" x14ac:dyDescent="0.2"/>
  <cols>
    <col min="1" max="1" width="15.83203125" style="1" bestFit="1" customWidth="1"/>
    <col min="2" max="8" width="10.83203125" style="1"/>
    <col min="9" max="9" width="12.6640625" style="1" bestFit="1" customWidth="1"/>
    <col min="10" max="13" width="10.83203125" style="1" customWidth="1"/>
    <col min="14" max="18" width="10.83203125" style="1"/>
    <col min="19" max="51" width="10.83203125" style="1" customWidth="1"/>
    <col min="52" max="16384" width="10.83203125" style="1"/>
  </cols>
  <sheetData>
    <row r="1" spans="1:62" ht="17" thickBot="1" x14ac:dyDescent="0.25">
      <c r="A1" s="25"/>
      <c r="B1" s="25"/>
      <c r="C1" s="110" t="s">
        <v>206</v>
      </c>
      <c r="D1" s="110"/>
      <c r="E1" s="110"/>
      <c r="F1" s="110"/>
      <c r="G1" s="110"/>
      <c r="H1" s="110"/>
      <c r="S1" s="112" t="s">
        <v>212</v>
      </c>
      <c r="T1" s="113"/>
      <c r="U1" s="113"/>
      <c r="V1" s="113"/>
      <c r="W1" s="113"/>
      <c r="X1" s="113"/>
      <c r="Y1" s="113"/>
      <c r="Z1" s="113"/>
      <c r="AA1" s="113"/>
      <c r="AB1" s="113"/>
      <c r="AC1" s="114"/>
      <c r="AD1" s="115" t="s">
        <v>214</v>
      </c>
      <c r="AE1" s="116"/>
      <c r="AF1" s="116"/>
      <c r="AG1" s="116"/>
      <c r="AH1" s="116"/>
      <c r="AI1" s="116"/>
      <c r="AJ1" s="116"/>
      <c r="AK1" s="116"/>
      <c r="AL1" s="116"/>
      <c r="AM1" s="116"/>
      <c r="AN1" s="117"/>
      <c r="AO1" s="118" t="s">
        <v>215</v>
      </c>
      <c r="AP1" s="119"/>
      <c r="AQ1" s="119"/>
      <c r="AR1" s="119"/>
      <c r="AS1" s="119"/>
      <c r="AT1" s="119"/>
      <c r="AU1" s="119"/>
      <c r="AV1" s="119"/>
      <c r="AW1" s="119"/>
      <c r="AX1" s="119"/>
      <c r="AY1" s="120"/>
      <c r="AZ1" s="121" t="s">
        <v>216</v>
      </c>
      <c r="BA1" s="122"/>
      <c r="BB1" s="122"/>
      <c r="BC1" s="122"/>
      <c r="BD1" s="122"/>
      <c r="BE1" s="122"/>
      <c r="BF1" s="122"/>
      <c r="BG1" s="122"/>
      <c r="BH1" s="122"/>
      <c r="BI1" s="122"/>
      <c r="BJ1" s="123"/>
    </row>
    <row r="2" spans="1:62" ht="16" x14ac:dyDescent="0.2">
      <c r="A2" s="40" t="s">
        <v>205</v>
      </c>
      <c r="B2" s="40" t="s">
        <v>204</v>
      </c>
      <c r="C2" s="40" t="s">
        <v>105</v>
      </c>
      <c r="D2" s="40" t="s">
        <v>203</v>
      </c>
      <c r="E2" s="40" t="s">
        <v>202</v>
      </c>
      <c r="F2" s="40" t="s">
        <v>94</v>
      </c>
      <c r="G2" s="40" t="s">
        <v>90</v>
      </c>
      <c r="H2" s="40" t="s">
        <v>201</v>
      </c>
      <c r="I2" s="46" t="s">
        <v>205</v>
      </c>
      <c r="J2" s="45" t="s">
        <v>208</v>
      </c>
      <c r="K2" s="45" t="s">
        <v>209</v>
      </c>
      <c r="L2" s="45" t="s">
        <v>210</v>
      </c>
      <c r="M2" s="44" t="s">
        <v>211</v>
      </c>
      <c r="N2" s="43" t="s">
        <v>200</v>
      </c>
      <c r="O2" s="40" t="s">
        <v>199</v>
      </c>
      <c r="P2" s="40" t="s">
        <v>198</v>
      </c>
      <c r="Q2" s="40" t="s">
        <v>197</v>
      </c>
      <c r="R2" s="42" t="s">
        <v>196</v>
      </c>
      <c r="S2" s="47" t="s">
        <v>191</v>
      </c>
      <c r="T2" s="48" t="s">
        <v>190</v>
      </c>
      <c r="U2" s="48" t="s">
        <v>189</v>
      </c>
      <c r="V2" s="48" t="s">
        <v>188</v>
      </c>
      <c r="W2" s="48" t="s">
        <v>187</v>
      </c>
      <c r="X2" s="48" t="s">
        <v>186</v>
      </c>
      <c r="Y2" s="48" t="s">
        <v>185</v>
      </c>
      <c r="Z2" s="48" t="s">
        <v>195</v>
      </c>
      <c r="AA2" s="48" t="s">
        <v>194</v>
      </c>
      <c r="AB2" s="48" t="s">
        <v>193</v>
      </c>
      <c r="AC2" s="49" t="s">
        <v>192</v>
      </c>
      <c r="AD2" s="50" t="s">
        <v>191</v>
      </c>
      <c r="AE2" s="51" t="s">
        <v>190</v>
      </c>
      <c r="AF2" s="51" t="s">
        <v>189</v>
      </c>
      <c r="AG2" s="51" t="s">
        <v>188</v>
      </c>
      <c r="AH2" s="51" t="s">
        <v>187</v>
      </c>
      <c r="AI2" s="51" t="s">
        <v>186</v>
      </c>
      <c r="AJ2" s="51" t="s">
        <v>185</v>
      </c>
      <c r="AK2" s="51" t="s">
        <v>195</v>
      </c>
      <c r="AL2" s="51" t="s">
        <v>194</v>
      </c>
      <c r="AM2" s="51" t="s">
        <v>193</v>
      </c>
      <c r="AN2" s="52" t="s">
        <v>192</v>
      </c>
      <c r="AO2" s="53" t="s">
        <v>191</v>
      </c>
      <c r="AP2" s="54" t="s">
        <v>190</v>
      </c>
      <c r="AQ2" s="54" t="s">
        <v>189</v>
      </c>
      <c r="AR2" s="54" t="s">
        <v>188</v>
      </c>
      <c r="AS2" s="54" t="s">
        <v>187</v>
      </c>
      <c r="AT2" s="54" t="s">
        <v>186</v>
      </c>
      <c r="AU2" s="54" t="s">
        <v>185</v>
      </c>
      <c r="AV2" s="54" t="s">
        <v>195</v>
      </c>
      <c r="AW2" s="54" t="s">
        <v>194</v>
      </c>
      <c r="AX2" s="54" t="s">
        <v>193</v>
      </c>
      <c r="AY2" s="55" t="s">
        <v>192</v>
      </c>
      <c r="AZ2" s="56" t="s">
        <v>191</v>
      </c>
      <c r="BA2" s="57" t="s">
        <v>190</v>
      </c>
      <c r="BB2" s="57" t="s">
        <v>189</v>
      </c>
      <c r="BC2" s="57" t="s">
        <v>188</v>
      </c>
      <c r="BD2" s="57" t="s">
        <v>187</v>
      </c>
      <c r="BE2" s="57" t="s">
        <v>186</v>
      </c>
      <c r="BF2" s="57" t="s">
        <v>185</v>
      </c>
      <c r="BG2" s="57" t="s">
        <v>195</v>
      </c>
      <c r="BH2" s="57" t="s">
        <v>194</v>
      </c>
      <c r="BI2" s="57" t="s">
        <v>193</v>
      </c>
      <c r="BJ2" s="58" t="s">
        <v>192</v>
      </c>
    </row>
    <row r="3" spans="1:62" ht="16" x14ac:dyDescent="0.2">
      <c r="A3" s="40"/>
      <c r="B3" s="40"/>
      <c r="C3" s="40" t="s">
        <v>106</v>
      </c>
      <c r="D3" s="40" t="s">
        <v>184</v>
      </c>
      <c r="E3" s="40" t="s">
        <v>99</v>
      </c>
      <c r="F3" s="40" t="s">
        <v>183</v>
      </c>
      <c r="G3" s="40" t="s">
        <v>182</v>
      </c>
      <c r="H3" s="40" t="s">
        <v>207</v>
      </c>
      <c r="I3" s="46"/>
      <c r="J3" s="40"/>
      <c r="K3" s="40"/>
      <c r="L3" s="40"/>
      <c r="M3" s="44"/>
      <c r="N3" s="43" t="s">
        <v>122</v>
      </c>
      <c r="O3" s="40" t="s">
        <v>122</v>
      </c>
      <c r="P3" s="40" t="s">
        <v>181</v>
      </c>
      <c r="Q3" s="40" t="s">
        <v>180</v>
      </c>
      <c r="R3" s="42" t="s">
        <v>122</v>
      </c>
      <c r="S3" s="47" t="s">
        <v>122</v>
      </c>
      <c r="T3" s="48" t="s">
        <v>122</v>
      </c>
      <c r="U3" s="48" t="s">
        <v>179</v>
      </c>
      <c r="V3" s="48" t="s">
        <v>179</v>
      </c>
      <c r="W3" s="48" t="s">
        <v>122</v>
      </c>
      <c r="X3" s="48" t="s">
        <v>122</v>
      </c>
      <c r="Y3" s="48" t="s">
        <v>122</v>
      </c>
      <c r="Z3" s="48"/>
      <c r="AA3" s="48"/>
      <c r="AB3" s="48"/>
      <c r="AC3" s="49"/>
      <c r="AD3" s="50" t="s">
        <v>122</v>
      </c>
      <c r="AE3" s="51" t="s">
        <v>122</v>
      </c>
      <c r="AF3" s="51" t="s">
        <v>179</v>
      </c>
      <c r="AG3" s="51" t="s">
        <v>179</v>
      </c>
      <c r="AH3" s="51" t="s">
        <v>122</v>
      </c>
      <c r="AI3" s="51" t="s">
        <v>122</v>
      </c>
      <c r="AJ3" s="51" t="s">
        <v>122</v>
      </c>
      <c r="AK3" s="51"/>
      <c r="AL3" s="51"/>
      <c r="AM3" s="51"/>
      <c r="AN3" s="52"/>
      <c r="AO3" s="53" t="s">
        <v>122</v>
      </c>
      <c r="AP3" s="54" t="s">
        <v>122</v>
      </c>
      <c r="AQ3" s="54" t="s">
        <v>179</v>
      </c>
      <c r="AR3" s="54" t="s">
        <v>179</v>
      </c>
      <c r="AS3" s="54" t="s">
        <v>122</v>
      </c>
      <c r="AT3" s="54" t="s">
        <v>122</v>
      </c>
      <c r="AU3" s="54" t="s">
        <v>122</v>
      </c>
      <c r="AV3" s="54"/>
      <c r="AW3" s="54"/>
      <c r="AX3" s="54"/>
      <c r="AY3" s="55"/>
      <c r="AZ3" s="56" t="s">
        <v>122</v>
      </c>
      <c r="BA3" s="57" t="s">
        <v>122</v>
      </c>
      <c r="BB3" s="57" t="s">
        <v>179</v>
      </c>
      <c r="BC3" s="57" t="s">
        <v>179</v>
      </c>
      <c r="BD3" s="57" t="s">
        <v>122</v>
      </c>
      <c r="BE3" s="57" t="s">
        <v>122</v>
      </c>
      <c r="BF3" s="57" t="s">
        <v>122</v>
      </c>
      <c r="BG3" s="57"/>
      <c r="BH3" s="57"/>
      <c r="BI3" s="57"/>
      <c r="BJ3" s="58"/>
    </row>
    <row r="4" spans="1:62" ht="16" x14ac:dyDescent="0.2">
      <c r="A4" s="69" t="s">
        <v>49</v>
      </c>
      <c r="B4" s="1" t="s">
        <v>171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69" t="s">
        <v>49</v>
      </c>
      <c r="J4" s="25">
        <f>C4*0.12+0.58*(F4)</f>
        <v>0</v>
      </c>
      <c r="K4" s="25">
        <f>0.12*C4+0.58*(0.5*F4+0.5*G4)</f>
        <v>0</v>
      </c>
      <c r="L4" s="25">
        <f>0.1*D4+0.6*(0.5*F4+0.5*G4)</f>
        <v>0</v>
      </c>
      <c r="M4" s="27">
        <f>0.12*E4+0.27*H4</f>
        <v>0</v>
      </c>
      <c r="N4" s="26">
        <v>2.9999999999999997E-4</v>
      </c>
      <c r="O4" s="25">
        <f>P4*$C$51/$C$49</f>
        <v>6.1424802110817938E-5</v>
      </c>
      <c r="P4" s="25">
        <v>2.9999999999999997E-4</v>
      </c>
      <c r="Q4" s="25">
        <v>7.0000000000000007E-2</v>
      </c>
      <c r="R4" s="25">
        <f t="shared" ref="R4:R6" si="0">N4*Q4</f>
        <v>2.0999999999999999E-5</v>
      </c>
      <c r="S4" s="33">
        <f>((J4/1000)*$C$48*$C$45*$C$46)/($C$49*$C$50)</f>
        <v>0</v>
      </c>
      <c r="T4" s="25">
        <f>(J4*$C$52*$C$45*$C$46*$C$47)/($C$49*$C$53*$C$50)</f>
        <v>0</v>
      </c>
      <c r="U4" s="25">
        <f>(J4/1000*$C$57)</f>
        <v>0</v>
      </c>
      <c r="V4" s="25">
        <f>(J4/1000*$C$58)</f>
        <v>0</v>
      </c>
      <c r="W4" s="25">
        <f>(U4*$C$55*$C$45*$C$46)/($C$49*$C$50)</f>
        <v>0</v>
      </c>
      <c r="X4" s="25">
        <f>(V4*$C$56*$C$45*$C$46)/($C$49*$C$50)</f>
        <v>0</v>
      </c>
      <c r="Y4" s="25">
        <f>W4+X4</f>
        <v>0</v>
      </c>
      <c r="Z4" s="25">
        <v>0</v>
      </c>
      <c r="AA4" s="25">
        <f>T4/O4</f>
        <v>0</v>
      </c>
      <c r="AB4" s="25">
        <v>0</v>
      </c>
      <c r="AC4" s="34">
        <f>SUM(Z4:AB4)</f>
        <v>0</v>
      </c>
      <c r="AD4" s="33">
        <f>((K4/1000)*$C$48*$C$45*$C$46)/($C$49*$C$50)</f>
        <v>0</v>
      </c>
      <c r="AE4" s="25">
        <f>(K4*$C$52*$C$45*$C$46*$C$47)/($C$49*$C$53*$C$50)</f>
        <v>0</v>
      </c>
      <c r="AF4" s="25">
        <f>(K4/1000*$C$57)</f>
        <v>0</v>
      </c>
      <c r="AG4" s="25">
        <f>(K4/1000*$C$58)</f>
        <v>0</v>
      </c>
      <c r="AH4" s="25">
        <f>(AF4*$C$55*$C$45*$C$46)/($C$49*$C$50)</f>
        <v>0</v>
      </c>
      <c r="AI4" s="25">
        <f>(AG4*$C$56*$C$45*$C$46)/($C$49*$C$50)</f>
        <v>0</v>
      </c>
      <c r="AJ4" s="25">
        <f>AH4+AI4</f>
        <v>0</v>
      </c>
      <c r="AK4" s="25">
        <v>0</v>
      </c>
      <c r="AL4" s="25">
        <f>AE4/O4</f>
        <v>0</v>
      </c>
      <c r="AM4" s="25">
        <v>0</v>
      </c>
      <c r="AN4" s="34">
        <f>SUM(AK4:AM4)</f>
        <v>0</v>
      </c>
      <c r="AO4" s="33">
        <f>((L4/1000)*$C$48*$C$45*$C$46)/($C$49*$C$50)</f>
        <v>0</v>
      </c>
      <c r="AP4" s="25">
        <f>(L4*$C$52*$C$45*$C$46*$C$47)/($C$49*$C$53*$C$50)</f>
        <v>0</v>
      </c>
      <c r="AQ4" s="25">
        <f>(L4/1000*$C$57)</f>
        <v>0</v>
      </c>
      <c r="AR4" s="25">
        <f>(L4/1000*$C$58)</f>
        <v>0</v>
      </c>
      <c r="AS4" s="25">
        <f>(AQ4*$C$55*$C$45*$C$46)/($C$49*$C$50)</f>
        <v>0</v>
      </c>
      <c r="AT4" s="25">
        <f>(AR4*$C$56*$C$45*$C$46)/($C$49*$C$50)</f>
        <v>0</v>
      </c>
      <c r="AU4" s="25">
        <f>AS4+AT4</f>
        <v>0</v>
      </c>
      <c r="AV4" s="25">
        <v>0</v>
      </c>
      <c r="AW4" s="25">
        <f>AP4/O4</f>
        <v>0</v>
      </c>
      <c r="AX4" s="25">
        <v>0</v>
      </c>
      <c r="AY4" s="34">
        <f>SUM(AV4:AX4)</f>
        <v>0</v>
      </c>
      <c r="AZ4" s="33">
        <f>((M4/1000)*$C$48*$C$45*$C$46)/($C$49*$C$50)</f>
        <v>0</v>
      </c>
      <c r="BA4" s="25">
        <f>(M4*$C$52*$C$45*$C$46*$C$47)/($C$49*$C$53*$C$50)</f>
        <v>0</v>
      </c>
      <c r="BB4" s="25">
        <f>(M4/1000*$C$57)</f>
        <v>0</v>
      </c>
      <c r="BC4" s="25">
        <f>(M4/1000*$C$58)</f>
        <v>0</v>
      </c>
      <c r="BD4" s="25">
        <f>(BB4*$C$55*$C$45*$C$46)/($C$49*$C$50)</f>
        <v>0</v>
      </c>
      <c r="BE4" s="25">
        <f>(BC4*$C$56*$C$45*$C$46)/($C$49*$C$50)</f>
        <v>0</v>
      </c>
      <c r="BF4" s="25">
        <f>BD4+BE4</f>
        <v>0</v>
      </c>
      <c r="BG4" s="25">
        <v>0</v>
      </c>
      <c r="BH4" s="25">
        <f>BA4/O4</f>
        <v>0</v>
      </c>
      <c r="BI4" s="25">
        <v>0</v>
      </c>
      <c r="BJ4" s="34">
        <f>SUM(BG4:BI4)</f>
        <v>0</v>
      </c>
    </row>
    <row r="5" spans="1:62" ht="16" x14ac:dyDescent="0.2">
      <c r="A5" s="69" t="s">
        <v>88</v>
      </c>
      <c r="B5" s="1" t="s">
        <v>171</v>
      </c>
      <c r="C5" s="1">
        <v>0</v>
      </c>
      <c r="D5" s="1">
        <v>3.12</v>
      </c>
      <c r="E5" s="1">
        <v>410</v>
      </c>
      <c r="F5" s="1">
        <v>318</v>
      </c>
      <c r="G5" s="1">
        <v>13.4</v>
      </c>
      <c r="H5" s="1">
        <v>2.78</v>
      </c>
      <c r="I5" s="69" t="s">
        <v>88</v>
      </c>
      <c r="J5" s="25">
        <f t="shared" ref="J5:J38" si="1">C5*0.12+0.58*(F5)</f>
        <v>184.44</v>
      </c>
      <c r="K5" s="25">
        <f t="shared" ref="K5:K38" si="2">0.12*C5+0.58*(0.5*F5+0.5*G5)</f>
        <v>96.10599999999998</v>
      </c>
      <c r="L5" s="25">
        <f t="shared" ref="L5:L38" si="3">0.1*D5+0.6*(0.5*F5+0.5*G5)</f>
        <v>99.731999999999985</v>
      </c>
      <c r="M5" s="27">
        <f t="shared" ref="M5:M38" si="4">0.12*E5+0.27*H5</f>
        <v>49.950599999999994</v>
      </c>
      <c r="N5" s="26">
        <v>1</v>
      </c>
      <c r="O5" s="25">
        <f>P5*$C$51/$C$49</f>
        <v>1.0237467018469658E-3</v>
      </c>
      <c r="P5" s="25">
        <v>5.0000000000000001E-3</v>
      </c>
      <c r="Q5" s="25">
        <v>1</v>
      </c>
      <c r="R5" s="25">
        <f t="shared" si="0"/>
        <v>1</v>
      </c>
      <c r="S5" s="33">
        <f t="shared" ref="S5:S40" si="5">((J5/1000)*$C$48*$C$45*$C$46)/($C$49*$C$50)</f>
        <v>1.3698135011741894E-7</v>
      </c>
      <c r="T5" s="25">
        <f t="shared" ref="T5:T40" si="6">(J5*$C$52*$C$45*$C$46*$C$47)/($C$49*$C$53*$C$50)</f>
        <v>1.7368877073711943E-11</v>
      </c>
      <c r="U5" s="25">
        <f t="shared" ref="U5:U40" si="7">(J5/1000*$C$57)</f>
        <v>5.0960771999999998E-5</v>
      </c>
      <c r="V5" s="25">
        <f t="shared" ref="V5:V40" si="8">(J5/1000*$C$58)</f>
        <v>1.8112008000000001E-5</v>
      </c>
      <c r="W5" s="25">
        <f t="shared" ref="W5:W40" si="9">(U5*$C$55*$C$45*$C$46)/($C$49*$C$50)</f>
        <v>1.2363662698897997E-6</v>
      </c>
      <c r="X5" s="25">
        <f t="shared" ref="X5:X40" si="10">(V5*$C$56*$C$45*$C$46)/($C$49*$C$50)</f>
        <v>5.6048202423043921E-7</v>
      </c>
      <c r="Y5" s="25">
        <f t="shared" ref="Y5:Y40" si="11">W5+X5</f>
        <v>1.7968482941202388E-6</v>
      </c>
      <c r="Z5" s="25">
        <f t="shared" ref="Z5:Z40" si="12">S5/N5</f>
        <v>1.3698135011741894E-7</v>
      </c>
      <c r="AA5" s="25">
        <f t="shared" ref="AA5:AA39" si="13">T5/O5</f>
        <v>1.6965990749837178E-8</v>
      </c>
      <c r="AB5" s="25">
        <f t="shared" ref="AB5:AB40" si="14">Y5/R5</f>
        <v>1.7968482941202388E-6</v>
      </c>
      <c r="AC5" s="34">
        <f t="shared" ref="AC5:AC40" si="15">SUM(Z5:AB5)</f>
        <v>1.9507956349874948E-6</v>
      </c>
      <c r="AD5" s="33">
        <f t="shared" ref="AD5:AD40" si="16">((K5/1000)*$C$48*$C$45*$C$46)/($C$49*$C$50)</f>
        <v>7.137676010835319E-8</v>
      </c>
      <c r="AE5" s="25">
        <f t="shared" ref="AE5:AE40" si="17">(K5*$C$52*$C$45*$C$46*$C$47)/($C$49*$C$53*$C$50)</f>
        <v>9.0503865758304035E-12</v>
      </c>
      <c r="AF5" s="25">
        <f t="shared" ref="AF5:AF40" si="18">(K5/1000*$C$57)</f>
        <v>2.6554087799999994E-5</v>
      </c>
      <c r="AG5" s="25">
        <f t="shared" ref="AG5:AG40" si="19">(K5/1000*$C$58)</f>
        <v>9.4376091999999987E-6</v>
      </c>
      <c r="AH5" s="25">
        <f t="shared" ref="AH5:AH40" si="20">(AF5*$C$55*$C$45*$C$46)/($C$49*$C$50)</f>
        <v>6.4423236138597426E-7</v>
      </c>
      <c r="AI5" s="25">
        <f t="shared" ref="AI5:AI40" si="21">(AG5*$C$56*$C$45*$C$46)/($C$49*$C$50)</f>
        <v>2.9204991011001181E-7</v>
      </c>
      <c r="AJ5" s="25">
        <f t="shared" ref="AJ5:AJ40" si="22">AH5+AI5</f>
        <v>9.3628227149598607E-7</v>
      </c>
      <c r="AK5" s="25">
        <f t="shared" ref="AK5:AK40" si="23">AD5/N5</f>
        <v>7.137676010835319E-8</v>
      </c>
      <c r="AL5" s="25">
        <f t="shared" ref="AL5:AL39" si="24">AE5/O5</f>
        <v>8.8404549284528933E-9</v>
      </c>
      <c r="AM5" s="25">
        <f t="shared" ref="AM5:AM40" si="25">AJ5/R5</f>
        <v>9.3628227149598607E-7</v>
      </c>
      <c r="AN5" s="34">
        <f t="shared" ref="AN5:AN40" si="26">SUM(AK5:AM5)</f>
        <v>1.0164994865327922E-6</v>
      </c>
      <c r="AO5" s="33">
        <f t="shared" ref="AO5:AO40" si="27">((L5/1000)*$C$48*$C$45*$C$46)/($C$49*$C$50)</f>
        <v>7.4069746312678513E-8</v>
      </c>
      <c r="AP5" s="25">
        <f t="shared" ref="AP5:AP40" si="28">(L5*$C$52*$C$45*$C$46*$C$47)/($C$49*$C$53*$C$50)</f>
        <v>9.3918501860520445E-12</v>
      </c>
      <c r="AQ5" s="25">
        <f t="shared" ref="AQ5:AQ40" si="29">(L5/1000*$C$57)</f>
        <v>2.7555951599999997E-5</v>
      </c>
      <c r="AR5" s="25">
        <f t="shared" ref="AR5:AR40" si="30">(L5/1000*$C$58)</f>
        <v>9.7936823999999996E-6</v>
      </c>
      <c r="AS5" s="25">
        <f t="shared" ref="AS5:AS40" si="31">(AQ5*$C$55*$C$45*$C$46)/($C$49*$C$50)</f>
        <v>6.685387162689737E-7</v>
      </c>
      <c r="AT5" s="25">
        <f t="shared" ref="AT5:AT40" si="32">(AR5*$C$56*$C$45*$C$46)/($C$49*$C$50)</f>
        <v>3.0306871199604289E-7</v>
      </c>
      <c r="AU5" s="25">
        <f t="shared" ref="AU5:AU40" si="33">AS5+AT5</f>
        <v>9.7160742826501669E-7</v>
      </c>
      <c r="AV5" s="25">
        <f t="shared" ref="AV5:AV40" si="34">AO5/N5</f>
        <v>7.4069746312678513E-8</v>
      </c>
      <c r="AW5" s="25">
        <f t="shared" ref="AW5:AW39" si="35">AP5/O5</f>
        <v>9.1739979910147532E-9</v>
      </c>
      <c r="AX5" s="25">
        <f t="shared" ref="AX5:AX40" si="36">AU5/R5</f>
        <v>9.7160742826501669E-7</v>
      </c>
      <c r="AY5" s="34">
        <f t="shared" ref="AY5:AY40" si="37">SUM(AV5:AX5)</f>
        <v>1.05485117256871E-6</v>
      </c>
      <c r="AZ5" s="33">
        <f t="shared" ref="AZ5:AZ40" si="38">((M5/1000)*$C$48*$C$45*$C$46)/($C$49*$C$50)</f>
        <v>3.7097704549854406E-8</v>
      </c>
      <c r="BA5" s="25">
        <f t="shared" ref="BA5:BA40" si="39">(M5*$C$52*$C$45*$C$46*$C$47)/($C$49*$C$53*$C$50)</f>
        <v>4.7038919494586628E-12</v>
      </c>
      <c r="BB5" s="25">
        <f t="shared" ref="BB5:BB40" si="40">(M5/1000*$C$57)</f>
        <v>1.3801350779999999E-5</v>
      </c>
      <c r="BC5" s="25">
        <f t="shared" ref="BC5:BC40" si="41">(M5/1000*$C$58)</f>
        <v>4.9051489200000003E-6</v>
      </c>
      <c r="BD5" s="25">
        <f t="shared" ref="BD5:BD40" si="42">(BB5*$C$55*$C$45*$C$46)/($C$49*$C$50)</f>
        <v>3.3483646172607587E-7</v>
      </c>
      <c r="BE5" s="25">
        <f t="shared" ref="BE5:BE40" si="43">(BC5*$C$56*$C$45*$C$46)/($C$49*$C$50)</f>
        <v>1.5179144111648759E-7</v>
      </c>
      <c r="BF5" s="25">
        <f t="shared" ref="BF5:BF40" si="44">BD5+BE5</f>
        <v>4.866279028425635E-7</v>
      </c>
      <c r="BG5" s="25">
        <f t="shared" ref="BG5:BG40" si="45">AZ5/N5</f>
        <v>3.7097704549854406E-8</v>
      </c>
      <c r="BH5" s="25">
        <f t="shared" ref="BH5:BH39" si="46">BA5/O5</f>
        <v>4.5947810537237964E-9</v>
      </c>
      <c r="BI5" s="25">
        <f t="shared" ref="BI5:BI40" si="47">BF5/R5</f>
        <v>4.866279028425635E-7</v>
      </c>
      <c r="BJ5" s="34">
        <f t="shared" ref="BJ5:BJ40" si="48">SUM(BG5:BI5)</f>
        <v>5.2832038844614172E-7</v>
      </c>
    </row>
    <row r="6" spans="1:62" ht="16" x14ac:dyDescent="0.2">
      <c r="A6" s="69" t="s">
        <v>96</v>
      </c>
      <c r="B6" s="1" t="s">
        <v>171</v>
      </c>
      <c r="C6" s="1">
        <v>0</v>
      </c>
      <c r="D6" s="1">
        <v>4.1900000000000004</v>
      </c>
      <c r="E6" s="1">
        <v>15.6</v>
      </c>
      <c r="F6" s="1">
        <v>10.92</v>
      </c>
      <c r="G6" s="1">
        <v>0.6</v>
      </c>
      <c r="H6" s="1">
        <v>58.65</v>
      </c>
      <c r="I6" s="69" t="s">
        <v>96</v>
      </c>
      <c r="J6" s="25">
        <f t="shared" si="1"/>
        <v>6.3335999999999997</v>
      </c>
      <c r="K6" s="25">
        <f t="shared" si="2"/>
        <v>3.3407999999999998</v>
      </c>
      <c r="L6" s="25">
        <f t="shared" si="3"/>
        <v>3.875</v>
      </c>
      <c r="M6" s="27">
        <f t="shared" si="4"/>
        <v>17.707500000000003</v>
      </c>
      <c r="N6" s="26">
        <v>0.2</v>
      </c>
      <c r="O6" s="25">
        <f>P6*$C$51/$C$49</f>
        <v>1.0237467018469656E-4</v>
      </c>
      <c r="P6" s="25">
        <v>5.0000000000000001E-4</v>
      </c>
      <c r="Q6" s="25">
        <v>7.0000000000000007E-2</v>
      </c>
      <c r="R6" s="25">
        <f t="shared" si="0"/>
        <v>1.4000000000000002E-2</v>
      </c>
      <c r="S6" s="33">
        <f t="shared" si="5"/>
        <v>4.70388787195665E-9</v>
      </c>
      <c r="T6" s="25">
        <f t="shared" si="6"/>
        <v>5.964406844180327E-13</v>
      </c>
      <c r="U6" s="25">
        <f t="shared" si="7"/>
        <v>1.74997368E-6</v>
      </c>
      <c r="V6" s="25">
        <f t="shared" si="8"/>
        <v>6.2195952000000005E-7</v>
      </c>
      <c r="W6" s="25">
        <f t="shared" si="9"/>
        <v>4.2456351154706335E-8</v>
      </c>
      <c r="X6" s="25">
        <f t="shared" si="10"/>
        <v>1.924674120942263E-8</v>
      </c>
      <c r="Y6" s="25">
        <f t="shared" si="11"/>
        <v>6.1703092364128965E-8</v>
      </c>
      <c r="Z6" s="25">
        <f t="shared" si="12"/>
        <v>2.3519439359783248E-8</v>
      </c>
      <c r="AA6" s="25">
        <v>0</v>
      </c>
      <c r="AB6" s="25">
        <v>0</v>
      </c>
      <c r="AC6" s="34">
        <f t="shared" si="15"/>
        <v>2.3519439359783248E-8</v>
      </c>
      <c r="AD6" s="33">
        <f t="shared" si="16"/>
        <v>2.4811716247683428E-9</v>
      </c>
      <c r="AE6" s="25">
        <f t="shared" si="17"/>
        <v>3.1460607529742385E-13</v>
      </c>
      <c r="AF6" s="25">
        <f t="shared" si="18"/>
        <v>9.2306303999999987E-7</v>
      </c>
      <c r="AG6" s="25">
        <f t="shared" si="19"/>
        <v>3.2806655999999996E-7</v>
      </c>
      <c r="AH6" s="25">
        <f t="shared" si="20"/>
        <v>2.2394558850834108E-8</v>
      </c>
      <c r="AI6" s="25">
        <f t="shared" si="21"/>
        <v>1.0152127231343804E-8</v>
      </c>
      <c r="AJ6" s="25">
        <f t="shared" si="22"/>
        <v>3.2546686082177912E-8</v>
      </c>
      <c r="AK6" s="25">
        <f t="shared" si="23"/>
        <v>1.2405858123841714E-8</v>
      </c>
      <c r="AL6" s="25">
        <v>0</v>
      </c>
      <c r="AM6" s="25">
        <v>0</v>
      </c>
      <c r="AN6" s="34">
        <f t="shared" si="26"/>
        <v>1.2405858123841714E-8</v>
      </c>
      <c r="AO6" s="33">
        <f t="shared" si="27"/>
        <v>2.8779154831110296E-9</v>
      </c>
      <c r="AP6" s="25">
        <f t="shared" si="28"/>
        <v>3.6491215929643121E-13</v>
      </c>
      <c r="AQ6" s="25">
        <f t="shared" si="29"/>
        <v>1.0706624999999999E-6</v>
      </c>
      <c r="AR6" s="25">
        <f t="shared" si="30"/>
        <v>3.80525E-7</v>
      </c>
      <c r="AS6" s="25">
        <f t="shared" si="31"/>
        <v>2.5975489567463532E-8</v>
      </c>
      <c r="AT6" s="25">
        <f t="shared" si="32"/>
        <v>1.1775470851729299E-8</v>
      </c>
      <c r="AU6" s="25">
        <f t="shared" si="33"/>
        <v>3.7750960419192833E-8</v>
      </c>
      <c r="AV6" s="25">
        <f t="shared" si="34"/>
        <v>1.4389577415555147E-8</v>
      </c>
      <c r="AW6" s="25">
        <v>0</v>
      </c>
      <c r="AX6" s="25">
        <v>0</v>
      </c>
      <c r="AY6" s="34">
        <f t="shared" si="37"/>
        <v>1.4389577415555147E-8</v>
      </c>
      <c r="AZ6" s="33">
        <f t="shared" si="38"/>
        <v>1.3151145397984149E-8</v>
      </c>
      <c r="BA6" s="25">
        <f t="shared" si="39"/>
        <v>1.6675308543849179E-12</v>
      </c>
      <c r="BB6" s="25">
        <f t="shared" si="40"/>
        <v>4.892582250000001E-6</v>
      </c>
      <c r="BC6" s="25">
        <f t="shared" si="41"/>
        <v>1.7388765000000005E-6</v>
      </c>
      <c r="BD6" s="25">
        <f t="shared" si="42"/>
        <v>1.1869960813312534E-7</v>
      </c>
      <c r="BE6" s="25">
        <f t="shared" si="43"/>
        <v>5.381010325341848E-8</v>
      </c>
      <c r="BF6" s="25">
        <f t="shared" si="44"/>
        <v>1.7250971138654381E-7</v>
      </c>
      <c r="BG6" s="25">
        <f t="shared" si="45"/>
        <v>6.5755726989920744E-8</v>
      </c>
      <c r="BH6" s="25">
        <v>0</v>
      </c>
      <c r="BI6" s="25">
        <v>0</v>
      </c>
      <c r="BJ6" s="34">
        <f t="shared" si="48"/>
        <v>6.5755726989920744E-8</v>
      </c>
    </row>
    <row r="7" spans="1:62" ht="16" x14ac:dyDescent="0.2">
      <c r="A7" s="69" t="s">
        <v>100</v>
      </c>
      <c r="B7" s="1" t="s">
        <v>171</v>
      </c>
      <c r="C7" s="1">
        <v>0</v>
      </c>
      <c r="D7" s="1">
        <v>0</v>
      </c>
      <c r="E7" s="1">
        <v>2.0199999999999999E-2</v>
      </c>
      <c r="F7" s="1">
        <v>2.9399999999999999E-2</v>
      </c>
      <c r="G7" s="1">
        <v>0</v>
      </c>
      <c r="H7" s="1">
        <v>0</v>
      </c>
      <c r="I7" s="69" t="s">
        <v>100</v>
      </c>
      <c r="J7" s="25">
        <f t="shared" si="1"/>
        <v>1.7051999999999998E-2</v>
      </c>
      <c r="K7" s="25">
        <f t="shared" si="2"/>
        <v>8.5259999999999989E-3</v>
      </c>
      <c r="L7" s="25">
        <f t="shared" si="3"/>
        <v>8.8199999999999997E-3</v>
      </c>
      <c r="M7" s="27">
        <f t="shared" si="4"/>
        <v>2.4239999999999999E-3</v>
      </c>
      <c r="N7" s="26">
        <v>2E-3</v>
      </c>
      <c r="O7" s="25">
        <f t="shared" ref="O7" si="49">P7*$C$51/$C$49</f>
        <v>4.094986807387863E-6</v>
      </c>
      <c r="P7" s="25">
        <v>2.0000000000000002E-5</v>
      </c>
      <c r="Q7" s="25">
        <v>7.0000000000000001E-3</v>
      </c>
      <c r="R7" s="25">
        <f>N7*Q7</f>
        <v>1.4E-5</v>
      </c>
      <c r="S7" s="33">
        <f t="shared" si="5"/>
        <v>1.2664313501421749E-11</v>
      </c>
      <c r="T7" s="25">
        <f t="shared" si="6"/>
        <v>1.605801842663934E-15</v>
      </c>
      <c r="U7" s="25">
        <f t="shared" si="7"/>
        <v>4.7114675999999993E-9</v>
      </c>
      <c r="V7" s="25">
        <f t="shared" si="8"/>
        <v>1.6745063999999999E-9</v>
      </c>
      <c r="W7" s="25">
        <f t="shared" si="9"/>
        <v>1.1430556080113244E-10</v>
      </c>
      <c r="X7" s="25">
        <f t="shared" si="10"/>
        <v>5.1818149409983999E-11</v>
      </c>
      <c r="Y7" s="25">
        <f t="shared" si="11"/>
        <v>1.6612371021111642E-10</v>
      </c>
      <c r="Z7" s="25">
        <v>0</v>
      </c>
      <c r="AA7" s="25">
        <v>0</v>
      </c>
      <c r="AB7" s="25">
        <v>0</v>
      </c>
      <c r="AC7" s="34">
        <f t="shared" si="15"/>
        <v>0</v>
      </c>
      <c r="AD7" s="33">
        <f t="shared" si="16"/>
        <v>6.3321567507108746E-12</v>
      </c>
      <c r="AE7" s="25">
        <f t="shared" si="17"/>
        <v>8.0290092133196701E-16</v>
      </c>
      <c r="AF7" s="25">
        <f t="shared" si="18"/>
        <v>2.3557337999999997E-9</v>
      </c>
      <c r="AG7" s="25">
        <f t="shared" si="19"/>
        <v>8.3725319999999996E-10</v>
      </c>
      <c r="AH7" s="25">
        <f t="shared" si="20"/>
        <v>5.7152780400566218E-11</v>
      </c>
      <c r="AI7" s="25">
        <f t="shared" si="21"/>
        <v>2.5909074704991999E-11</v>
      </c>
      <c r="AJ7" s="25">
        <f t="shared" si="22"/>
        <v>8.3061855105558211E-11</v>
      </c>
      <c r="AK7" s="25">
        <v>0</v>
      </c>
      <c r="AL7" s="25">
        <v>0</v>
      </c>
      <c r="AM7" s="25">
        <v>0</v>
      </c>
      <c r="AN7" s="34">
        <f t="shared" si="26"/>
        <v>0</v>
      </c>
      <c r="AO7" s="33">
        <f t="shared" si="27"/>
        <v>6.5505069834940079E-12</v>
      </c>
      <c r="AP7" s="25">
        <f t="shared" si="28"/>
        <v>8.3058715999858663E-16</v>
      </c>
      <c r="AQ7" s="25">
        <f t="shared" si="29"/>
        <v>2.4369660000000001E-9</v>
      </c>
      <c r="AR7" s="25">
        <f t="shared" si="30"/>
        <v>8.6612400000000004E-10</v>
      </c>
      <c r="AS7" s="25">
        <f t="shared" si="31"/>
        <v>5.9123565931620225E-11</v>
      </c>
      <c r="AT7" s="25">
        <f t="shared" si="32"/>
        <v>2.6802491074129659E-11</v>
      </c>
      <c r="AU7" s="25">
        <f t="shared" si="33"/>
        <v>8.5926057005749887E-11</v>
      </c>
      <c r="AV7" s="25">
        <v>0</v>
      </c>
      <c r="AW7" s="25">
        <v>0</v>
      </c>
      <c r="AX7" s="25">
        <v>0</v>
      </c>
      <c r="AY7" s="34">
        <f t="shared" si="37"/>
        <v>0</v>
      </c>
      <c r="AZ7" s="33">
        <f t="shared" si="38"/>
        <v>1.8002753886609383E-12</v>
      </c>
      <c r="BA7" s="25">
        <f t="shared" si="39"/>
        <v>2.2827021267988373E-16</v>
      </c>
      <c r="BB7" s="25">
        <f t="shared" si="40"/>
        <v>6.6975119999999996E-10</v>
      </c>
      <c r="BC7" s="25">
        <f t="shared" si="41"/>
        <v>2.380368E-10</v>
      </c>
      <c r="BD7" s="25">
        <f t="shared" si="42"/>
        <v>1.6248925602975898E-11</v>
      </c>
      <c r="BE7" s="25">
        <f t="shared" si="43"/>
        <v>7.3661267986043407E-12</v>
      </c>
      <c r="BF7" s="25">
        <f t="shared" si="44"/>
        <v>2.3615052401580237E-11</v>
      </c>
      <c r="BG7" s="25">
        <v>0</v>
      </c>
      <c r="BH7" s="25">
        <v>0</v>
      </c>
      <c r="BI7" s="25">
        <v>0</v>
      </c>
      <c r="BJ7" s="34">
        <f t="shared" si="48"/>
        <v>0</v>
      </c>
    </row>
    <row r="8" spans="1:62" ht="16" x14ac:dyDescent="0.2">
      <c r="A8" s="69" t="s">
        <v>52</v>
      </c>
      <c r="B8" s="1" t="s">
        <v>171</v>
      </c>
      <c r="C8" s="1">
        <v>0</v>
      </c>
      <c r="D8" s="1">
        <v>1.52</v>
      </c>
      <c r="E8" s="1">
        <v>1.56</v>
      </c>
      <c r="F8" s="1">
        <v>7.8</v>
      </c>
      <c r="G8" s="1">
        <v>0</v>
      </c>
      <c r="H8" s="1">
        <v>0</v>
      </c>
      <c r="I8" s="69" t="s">
        <v>52</v>
      </c>
      <c r="J8" s="25">
        <f t="shared" si="1"/>
        <v>4.524</v>
      </c>
      <c r="K8" s="25">
        <f t="shared" si="2"/>
        <v>2.262</v>
      </c>
      <c r="L8" s="25">
        <f t="shared" si="3"/>
        <v>2.492</v>
      </c>
      <c r="M8" s="27">
        <f t="shared" si="4"/>
        <v>0.18720000000000001</v>
      </c>
      <c r="N8" s="26">
        <v>0.2</v>
      </c>
      <c r="O8" s="25">
        <f>P8*$C$51/$C$49</f>
        <v>4.0949868073878633E-3</v>
      </c>
      <c r="P8" s="25">
        <v>0.02</v>
      </c>
      <c r="Q8" s="25">
        <v>1</v>
      </c>
      <c r="R8" s="25">
        <f>N8*Q8</f>
        <v>0.2</v>
      </c>
      <c r="S8" s="33">
        <f t="shared" si="5"/>
        <v>3.3599199085404654E-9</v>
      </c>
      <c r="T8" s="25">
        <f t="shared" si="6"/>
        <v>4.2602906029859488E-13</v>
      </c>
      <c r="U8" s="25">
        <f t="shared" si="7"/>
        <v>1.2499812000000001E-6</v>
      </c>
      <c r="V8" s="25">
        <f t="shared" si="8"/>
        <v>4.4425680000000002E-7</v>
      </c>
      <c r="W8" s="25">
        <f t="shared" si="9"/>
        <v>3.0325965110504529E-8</v>
      </c>
      <c r="X8" s="25">
        <f t="shared" si="10"/>
        <v>1.3747672292444734E-8</v>
      </c>
      <c r="Y8" s="25">
        <f t="shared" si="11"/>
        <v>4.4073637402949265E-8</v>
      </c>
      <c r="Z8" s="25">
        <f t="shared" si="12"/>
        <v>1.6799599542702327E-8</v>
      </c>
      <c r="AA8" s="25">
        <f t="shared" si="13"/>
        <v>1.0403673573013366E-10</v>
      </c>
      <c r="AB8" s="25">
        <f t="shared" si="14"/>
        <v>2.2036818701474631E-7</v>
      </c>
      <c r="AC8" s="34">
        <f t="shared" si="15"/>
        <v>2.3727182329317878E-7</v>
      </c>
      <c r="AD8" s="33">
        <f t="shared" si="16"/>
        <v>1.6799599542702327E-9</v>
      </c>
      <c r="AE8" s="25">
        <f t="shared" si="17"/>
        <v>2.1301453014929744E-13</v>
      </c>
      <c r="AF8" s="25">
        <f t="shared" si="18"/>
        <v>6.2499060000000005E-7</v>
      </c>
      <c r="AG8" s="25">
        <f t="shared" si="19"/>
        <v>2.2212840000000001E-7</v>
      </c>
      <c r="AH8" s="25">
        <f t="shared" si="20"/>
        <v>1.5162982555252264E-8</v>
      </c>
      <c r="AI8" s="25">
        <f t="shared" si="21"/>
        <v>6.873836146222367E-9</v>
      </c>
      <c r="AJ8" s="25">
        <f t="shared" si="22"/>
        <v>2.2036818701474632E-8</v>
      </c>
      <c r="AK8" s="25">
        <f t="shared" si="23"/>
        <v>8.3997997713511634E-9</v>
      </c>
      <c r="AL8" s="25">
        <f t="shared" si="24"/>
        <v>5.2018367865066828E-11</v>
      </c>
      <c r="AM8" s="25">
        <f t="shared" si="25"/>
        <v>1.1018409350737315E-7</v>
      </c>
      <c r="AN8" s="34">
        <f t="shared" si="26"/>
        <v>1.1863591164658939E-7</v>
      </c>
      <c r="AO8" s="33">
        <f t="shared" si="27"/>
        <v>1.8507781635903706E-9</v>
      </c>
      <c r="AP8" s="25">
        <f t="shared" si="28"/>
        <v>2.3467383250753722E-13</v>
      </c>
      <c r="AQ8" s="25">
        <f t="shared" si="29"/>
        <v>6.8853959999999992E-7</v>
      </c>
      <c r="AR8" s="25">
        <f t="shared" si="30"/>
        <v>2.447144E-7</v>
      </c>
      <c r="AS8" s="25">
        <f t="shared" si="31"/>
        <v>1.6704753548933966E-8</v>
      </c>
      <c r="AT8" s="25">
        <f t="shared" si="32"/>
        <v>7.5727673193572684E-9</v>
      </c>
      <c r="AU8" s="25">
        <f t="shared" si="33"/>
        <v>2.4277520868291234E-8</v>
      </c>
      <c r="AV8" s="25">
        <f t="shared" si="34"/>
        <v>9.2538908179518521E-9</v>
      </c>
      <c r="AW8" s="25">
        <f t="shared" si="35"/>
        <v>5.7307591830126674E-11</v>
      </c>
      <c r="AX8" s="25">
        <f t="shared" si="36"/>
        <v>1.2138760434145615E-7</v>
      </c>
      <c r="AY8" s="34">
        <f t="shared" si="37"/>
        <v>1.3069880275123812E-7</v>
      </c>
      <c r="AZ8" s="33">
        <f t="shared" si="38"/>
        <v>1.390311686292606E-10</v>
      </c>
      <c r="BA8" s="25">
        <f t="shared" si="39"/>
        <v>1.7628788702010822E-14</v>
      </c>
      <c r="BB8" s="25">
        <f t="shared" si="40"/>
        <v>5.1723359999999995E-8</v>
      </c>
      <c r="BC8" s="25">
        <f t="shared" si="41"/>
        <v>1.8383039999999999E-8</v>
      </c>
      <c r="BD8" s="25">
        <f t="shared" si="42"/>
        <v>1.2548675218139801E-9</v>
      </c>
      <c r="BE8" s="25">
        <f t="shared" si="43"/>
        <v>5.6886919830805787E-10</v>
      </c>
      <c r="BF8" s="25">
        <f t="shared" si="44"/>
        <v>1.8237367201220381E-9</v>
      </c>
      <c r="BG8" s="25">
        <f t="shared" si="45"/>
        <v>6.9515584314630294E-10</v>
      </c>
      <c r="BH8" s="25">
        <f t="shared" si="46"/>
        <v>4.3049683750400135E-12</v>
      </c>
      <c r="BI8" s="25">
        <f t="shared" si="47"/>
        <v>9.1186836006101901E-9</v>
      </c>
      <c r="BJ8" s="34">
        <f t="shared" si="48"/>
        <v>9.8181444121315338E-9</v>
      </c>
    </row>
    <row r="9" spans="1:62" ht="16" x14ac:dyDescent="0.2">
      <c r="A9" s="69" t="s">
        <v>40</v>
      </c>
      <c r="B9" s="1" t="s">
        <v>171</v>
      </c>
      <c r="C9" s="1">
        <v>0</v>
      </c>
      <c r="D9" s="1">
        <v>698</v>
      </c>
      <c r="E9" s="1">
        <v>3149</v>
      </c>
      <c r="F9" s="1">
        <v>7358</v>
      </c>
      <c r="G9" s="1">
        <v>173827</v>
      </c>
      <c r="H9" s="1">
        <v>181331</v>
      </c>
      <c r="I9" s="69" t="s">
        <v>40</v>
      </c>
      <c r="J9" s="25">
        <f t="shared" si="1"/>
        <v>4267.6399999999994</v>
      </c>
      <c r="K9" s="25">
        <f t="shared" si="2"/>
        <v>52543.649999999994</v>
      </c>
      <c r="L9" s="25">
        <f t="shared" si="3"/>
        <v>54425.3</v>
      </c>
      <c r="M9" s="27">
        <f t="shared" si="4"/>
        <v>49337.25</v>
      </c>
      <c r="N9" s="37">
        <v>0</v>
      </c>
      <c r="O9" s="36">
        <f>P9*$C$51/$C$49</f>
        <v>0</v>
      </c>
      <c r="P9" s="36">
        <v>0</v>
      </c>
      <c r="Q9" s="36">
        <v>1</v>
      </c>
      <c r="R9" s="36">
        <f t="shared" ref="R9:R13" si="50">N9*Q9</f>
        <v>0</v>
      </c>
      <c r="S9" s="33">
        <f t="shared" si="5"/>
        <v>3.1695244470565045E-6</v>
      </c>
      <c r="T9" s="25">
        <f t="shared" si="6"/>
        <v>4.018874135483411E-10</v>
      </c>
      <c r="U9" s="25">
        <f t="shared" si="7"/>
        <v>1.1791489319999998E-3</v>
      </c>
      <c r="V9" s="25">
        <f t="shared" si="8"/>
        <v>4.1908224799999991E-4</v>
      </c>
      <c r="W9" s="25">
        <f t="shared" si="9"/>
        <v>2.8607493754242593E-5</v>
      </c>
      <c r="X9" s="25">
        <f t="shared" si="10"/>
        <v>1.2968637529206198E-5</v>
      </c>
      <c r="Y9" s="25">
        <f t="shared" si="11"/>
        <v>4.1576131283448789E-5</v>
      </c>
      <c r="Z9" s="25">
        <v>0</v>
      </c>
      <c r="AA9" s="25">
        <v>0</v>
      </c>
      <c r="AB9" s="25">
        <v>0</v>
      </c>
      <c r="AC9" s="34">
        <f t="shared" si="15"/>
        <v>0</v>
      </c>
      <c r="AD9" s="33">
        <f t="shared" si="16"/>
        <v>3.9023531322365644E-5</v>
      </c>
      <c r="AE9" s="25">
        <f t="shared" si="17"/>
        <v>4.9480817493718526E-9</v>
      </c>
      <c r="AF9" s="25">
        <f t="shared" si="18"/>
        <v>1.4517810494999998E-2</v>
      </c>
      <c r="AG9" s="25">
        <f t="shared" si="19"/>
        <v>5.1597864299999996E-3</v>
      </c>
      <c r="AH9" s="25">
        <f t="shared" si="20"/>
        <v>3.5221858900940782E-4</v>
      </c>
      <c r="AI9" s="25">
        <f t="shared" si="21"/>
        <v>1.5967128232734608E-4</v>
      </c>
      <c r="AJ9" s="25">
        <f t="shared" si="22"/>
        <v>5.1188987133675391E-4</v>
      </c>
      <c r="AK9" s="25">
        <v>0</v>
      </c>
      <c r="AL9" s="25">
        <v>0</v>
      </c>
      <c r="AM9" s="25">
        <v>0</v>
      </c>
      <c r="AN9" s="34">
        <f t="shared" si="26"/>
        <v>0</v>
      </c>
      <c r="AO9" s="33">
        <f t="shared" si="27"/>
        <v>4.0421009946571031E-5</v>
      </c>
      <c r="AP9" s="25">
        <f t="shared" si="28"/>
        <v>5.1252783853822088E-9</v>
      </c>
      <c r="AQ9" s="25">
        <f t="shared" si="29"/>
        <v>1.503771039E-2</v>
      </c>
      <c r="AR9" s="25">
        <f t="shared" si="30"/>
        <v>5.3445644600000003E-3</v>
      </c>
      <c r="AS9" s="25">
        <f t="shared" si="31"/>
        <v>3.6483195157576082E-4</v>
      </c>
      <c r="AT9" s="25">
        <f t="shared" si="32"/>
        <v>1.6538929903138648E-4</v>
      </c>
      <c r="AU9" s="25">
        <f t="shared" si="33"/>
        <v>5.3022125060714733E-4</v>
      </c>
      <c r="AV9" s="25">
        <v>0</v>
      </c>
      <c r="AW9" s="25">
        <v>0</v>
      </c>
      <c r="AX9" s="25">
        <v>0</v>
      </c>
      <c r="AY9" s="34">
        <f t="shared" si="37"/>
        <v>0</v>
      </c>
      <c r="AZ9" s="33">
        <f t="shared" si="38"/>
        <v>3.6642176946869591E-5</v>
      </c>
      <c r="BA9" s="25">
        <f t="shared" si="39"/>
        <v>4.6461322403220264E-9</v>
      </c>
      <c r="BB9" s="25">
        <f t="shared" si="40"/>
        <v>1.3631882174999999E-2</v>
      </c>
      <c r="BC9" s="25">
        <f t="shared" si="41"/>
        <v>4.8449179499999995E-3</v>
      </c>
      <c r="BD9" s="25">
        <f t="shared" si="42"/>
        <v>3.3072496068705553E-4</v>
      </c>
      <c r="BE9" s="25">
        <f t="shared" si="43"/>
        <v>1.4992757400760808E-4</v>
      </c>
      <c r="BF9" s="25">
        <f t="shared" si="44"/>
        <v>4.8065253469466358E-4</v>
      </c>
      <c r="BG9" s="25">
        <v>0</v>
      </c>
      <c r="BH9" s="25">
        <v>0</v>
      </c>
      <c r="BI9" s="25">
        <v>0</v>
      </c>
      <c r="BJ9" s="34">
        <f t="shared" si="48"/>
        <v>0</v>
      </c>
    </row>
    <row r="10" spans="1:62" ht="16" x14ac:dyDescent="0.2">
      <c r="A10" s="69" t="s">
        <v>92</v>
      </c>
      <c r="B10" s="1" t="s">
        <v>171</v>
      </c>
      <c r="C10" s="1">
        <v>0</v>
      </c>
      <c r="D10" s="1">
        <v>0</v>
      </c>
      <c r="E10" s="1">
        <v>0.247</v>
      </c>
      <c r="F10" s="1">
        <v>0.27200000000000002</v>
      </c>
      <c r="G10" s="1">
        <v>0</v>
      </c>
      <c r="H10" s="1">
        <v>0</v>
      </c>
      <c r="I10" s="69" t="s">
        <v>92</v>
      </c>
      <c r="J10" s="25">
        <f t="shared" si="1"/>
        <v>0.15776000000000001</v>
      </c>
      <c r="K10" s="25">
        <f t="shared" si="2"/>
        <v>7.8880000000000006E-2</v>
      </c>
      <c r="L10" s="25">
        <f t="shared" si="3"/>
        <v>8.1600000000000006E-2</v>
      </c>
      <c r="M10" s="27">
        <f t="shared" si="4"/>
        <v>2.964E-2</v>
      </c>
      <c r="N10" s="26">
        <v>2.9999999999999997E-4</v>
      </c>
      <c r="O10" s="25">
        <f t="shared" ref="O10" si="51">P10*$C$51/$C$49</f>
        <v>1.2284960422163589E-6</v>
      </c>
      <c r="P10" s="25">
        <v>6.0000000000000002E-6</v>
      </c>
      <c r="Q10" s="25">
        <v>1</v>
      </c>
      <c r="R10" s="25">
        <f t="shared" si="50"/>
        <v>2.9999999999999997E-4</v>
      </c>
      <c r="S10" s="33">
        <f t="shared" si="5"/>
        <v>1.1716643783628286E-10</v>
      </c>
      <c r="T10" s="25">
        <f t="shared" si="6"/>
        <v>1.4856398000156129E-14</v>
      </c>
      <c r="U10" s="25">
        <f t="shared" si="7"/>
        <v>4.3589088000000002E-8</v>
      </c>
      <c r="V10" s="25">
        <f t="shared" si="8"/>
        <v>1.5492032000000001E-8</v>
      </c>
      <c r="W10" s="25">
        <f t="shared" si="9"/>
        <v>1.0575208346227221E-9</v>
      </c>
      <c r="X10" s="25">
        <f t="shared" si="10"/>
        <v>4.7940600814679077E-10</v>
      </c>
      <c r="Y10" s="25">
        <f t="shared" si="11"/>
        <v>1.5369268427695127E-9</v>
      </c>
      <c r="Z10" s="25">
        <f t="shared" si="12"/>
        <v>3.9055479278760954E-7</v>
      </c>
      <c r="AA10" s="25">
        <v>0</v>
      </c>
      <c r="AB10" s="25">
        <v>0</v>
      </c>
      <c r="AC10" s="34">
        <f t="shared" si="15"/>
        <v>3.9055479278760954E-7</v>
      </c>
      <c r="AD10" s="33">
        <f t="shared" si="16"/>
        <v>5.8583218918141428E-11</v>
      </c>
      <c r="AE10" s="25">
        <f t="shared" si="17"/>
        <v>7.4281990000780646E-15</v>
      </c>
      <c r="AF10" s="25">
        <f t="shared" si="18"/>
        <v>2.1794544000000001E-8</v>
      </c>
      <c r="AG10" s="25">
        <f t="shared" si="19"/>
        <v>7.7460160000000005E-9</v>
      </c>
      <c r="AH10" s="25">
        <f t="shared" si="20"/>
        <v>5.2876041731136104E-10</v>
      </c>
      <c r="AI10" s="25">
        <f t="shared" si="21"/>
        <v>2.3970300407339539E-10</v>
      </c>
      <c r="AJ10" s="25">
        <f t="shared" si="22"/>
        <v>7.6846342138475637E-10</v>
      </c>
      <c r="AK10" s="25">
        <f t="shared" si="23"/>
        <v>1.9527739639380477E-7</v>
      </c>
      <c r="AL10" s="25">
        <v>0</v>
      </c>
      <c r="AM10" s="25">
        <v>0</v>
      </c>
      <c r="AN10" s="34">
        <f t="shared" si="26"/>
        <v>1.9527739639380477E-7</v>
      </c>
      <c r="AO10" s="33">
        <f t="shared" si="27"/>
        <v>6.0603329915318728E-11</v>
      </c>
      <c r="AP10" s="25">
        <f t="shared" si="28"/>
        <v>7.6843437931842046E-15</v>
      </c>
      <c r="AQ10" s="25">
        <f t="shared" si="29"/>
        <v>2.2546080000000001E-8</v>
      </c>
      <c r="AR10" s="25">
        <f t="shared" si="30"/>
        <v>8.0131200000000006E-9</v>
      </c>
      <c r="AS10" s="25">
        <f t="shared" si="31"/>
        <v>5.4699353514968373E-10</v>
      </c>
      <c r="AT10" s="25">
        <f t="shared" si="32"/>
        <v>2.4796862490351248E-10</v>
      </c>
      <c r="AU10" s="25">
        <f t="shared" si="33"/>
        <v>7.9496216005319621E-10</v>
      </c>
      <c r="AV10" s="25">
        <f t="shared" si="34"/>
        <v>2.0201109971772912E-7</v>
      </c>
      <c r="AW10" s="25">
        <v>0</v>
      </c>
      <c r="AX10" s="25">
        <v>0</v>
      </c>
      <c r="AY10" s="34">
        <f t="shared" si="37"/>
        <v>2.0201109971772912E-7</v>
      </c>
      <c r="AZ10" s="33">
        <f t="shared" si="38"/>
        <v>2.2013268366299595E-11</v>
      </c>
      <c r="BA10" s="25">
        <f t="shared" si="39"/>
        <v>2.7912248778183799E-15</v>
      </c>
      <c r="BB10" s="25">
        <f t="shared" si="40"/>
        <v>8.1895320000000006E-9</v>
      </c>
      <c r="BC10" s="25">
        <f t="shared" si="41"/>
        <v>2.9106480000000003E-9</v>
      </c>
      <c r="BD10" s="25">
        <f t="shared" si="42"/>
        <v>1.9868735762054695E-10</v>
      </c>
      <c r="BE10" s="25">
        <f t="shared" si="43"/>
        <v>9.0070956398775839E-11</v>
      </c>
      <c r="BF10" s="25">
        <f t="shared" si="44"/>
        <v>2.8875831401932277E-10</v>
      </c>
      <c r="BG10" s="25">
        <f t="shared" si="45"/>
        <v>7.3377561220998658E-8</v>
      </c>
      <c r="BH10" s="25">
        <v>0</v>
      </c>
      <c r="BI10" s="25">
        <v>0</v>
      </c>
      <c r="BJ10" s="34">
        <f t="shared" si="48"/>
        <v>7.3377561220998658E-8</v>
      </c>
    </row>
    <row r="11" spans="1:62" ht="16" x14ac:dyDescent="0.2">
      <c r="A11" s="69" t="s">
        <v>82</v>
      </c>
      <c r="B11" s="1" t="s">
        <v>171</v>
      </c>
      <c r="C11" s="1">
        <v>0</v>
      </c>
      <c r="D11" s="1">
        <v>0</v>
      </c>
      <c r="E11" s="1">
        <v>35.700000000000003</v>
      </c>
      <c r="F11" s="1">
        <v>0</v>
      </c>
      <c r="G11" s="1">
        <v>0</v>
      </c>
      <c r="H11" s="1">
        <v>0</v>
      </c>
      <c r="I11" s="69" t="s">
        <v>82</v>
      </c>
      <c r="J11" s="25">
        <f t="shared" si="1"/>
        <v>0</v>
      </c>
      <c r="K11" s="25">
        <f t="shared" si="2"/>
        <v>0</v>
      </c>
      <c r="L11" s="25">
        <f t="shared" si="3"/>
        <v>0</v>
      </c>
      <c r="M11" s="27">
        <f t="shared" si="4"/>
        <v>4.2839999999999998</v>
      </c>
      <c r="N11" s="26">
        <v>0.04</v>
      </c>
      <c r="O11" s="25">
        <v>4.4999999999999998E-2</v>
      </c>
      <c r="P11" s="25"/>
      <c r="Q11" s="25">
        <v>0.3</v>
      </c>
      <c r="R11" s="25">
        <f t="shared" si="50"/>
        <v>1.2E-2</v>
      </c>
      <c r="S11" s="33">
        <f t="shared" si="5"/>
        <v>0</v>
      </c>
      <c r="T11" s="25">
        <f t="shared" si="6"/>
        <v>0</v>
      </c>
      <c r="U11" s="25">
        <f t="shared" si="7"/>
        <v>0</v>
      </c>
      <c r="V11" s="25">
        <f t="shared" si="8"/>
        <v>0</v>
      </c>
      <c r="W11" s="25">
        <f t="shared" si="9"/>
        <v>0</v>
      </c>
      <c r="X11" s="25">
        <f t="shared" si="10"/>
        <v>0</v>
      </c>
      <c r="Y11" s="25">
        <f t="shared" si="11"/>
        <v>0</v>
      </c>
      <c r="Z11" s="25">
        <f t="shared" si="12"/>
        <v>0</v>
      </c>
      <c r="AA11" s="25">
        <v>0</v>
      </c>
      <c r="AB11" s="25">
        <f t="shared" si="14"/>
        <v>0</v>
      </c>
      <c r="AC11" s="34">
        <f t="shared" si="15"/>
        <v>0</v>
      </c>
      <c r="AD11" s="33">
        <f t="shared" si="16"/>
        <v>0</v>
      </c>
      <c r="AE11" s="25">
        <f t="shared" si="17"/>
        <v>0</v>
      </c>
      <c r="AF11" s="25">
        <f t="shared" si="18"/>
        <v>0</v>
      </c>
      <c r="AG11" s="25">
        <f t="shared" si="19"/>
        <v>0</v>
      </c>
      <c r="AH11" s="25">
        <f t="shared" si="20"/>
        <v>0</v>
      </c>
      <c r="AI11" s="25">
        <f t="shared" si="21"/>
        <v>0</v>
      </c>
      <c r="AJ11" s="25">
        <f t="shared" si="22"/>
        <v>0</v>
      </c>
      <c r="AK11" s="25">
        <f t="shared" si="23"/>
        <v>0</v>
      </c>
      <c r="AL11" s="25">
        <v>0</v>
      </c>
      <c r="AM11" s="25">
        <f t="shared" si="25"/>
        <v>0</v>
      </c>
      <c r="AN11" s="34">
        <f t="shared" si="26"/>
        <v>0</v>
      </c>
      <c r="AO11" s="33">
        <f t="shared" si="27"/>
        <v>0</v>
      </c>
      <c r="AP11" s="25">
        <f t="shared" si="28"/>
        <v>0</v>
      </c>
      <c r="AQ11" s="25">
        <f t="shared" si="29"/>
        <v>0</v>
      </c>
      <c r="AR11" s="25">
        <f t="shared" si="30"/>
        <v>0</v>
      </c>
      <c r="AS11" s="25">
        <f t="shared" si="31"/>
        <v>0</v>
      </c>
      <c r="AT11" s="25">
        <f t="shared" si="32"/>
        <v>0</v>
      </c>
      <c r="AU11" s="25">
        <f t="shared" si="33"/>
        <v>0</v>
      </c>
      <c r="AV11" s="25">
        <f t="shared" si="34"/>
        <v>0</v>
      </c>
      <c r="AW11" s="25">
        <v>0</v>
      </c>
      <c r="AX11" s="25">
        <f t="shared" si="36"/>
        <v>0</v>
      </c>
      <c r="AY11" s="34">
        <f t="shared" si="37"/>
        <v>0</v>
      </c>
      <c r="AZ11" s="33">
        <f t="shared" si="38"/>
        <v>3.1816748205542331E-9</v>
      </c>
      <c r="BA11" s="25">
        <f t="shared" si="39"/>
        <v>4.0342804914217065E-13</v>
      </c>
      <c r="BB11" s="25">
        <f t="shared" si="40"/>
        <v>1.1836691999999999E-6</v>
      </c>
      <c r="BC11" s="25">
        <f t="shared" si="41"/>
        <v>4.2068879999999998E-7</v>
      </c>
      <c r="BD11" s="25">
        <f t="shared" si="42"/>
        <v>2.8717160595358388E-8</v>
      </c>
      <c r="BE11" s="25">
        <f t="shared" si="43"/>
        <v>1.3018352807434403E-8</v>
      </c>
      <c r="BF11" s="25">
        <f t="shared" si="44"/>
        <v>4.1735513402792791E-8</v>
      </c>
      <c r="BG11" s="25">
        <f t="shared" si="45"/>
        <v>7.9541870513855823E-8</v>
      </c>
      <c r="BH11" s="25">
        <v>0</v>
      </c>
      <c r="BI11" s="25">
        <f t="shared" si="47"/>
        <v>3.4779594502327325E-6</v>
      </c>
      <c r="BJ11" s="34">
        <f t="shared" si="48"/>
        <v>3.5575013207465883E-6</v>
      </c>
    </row>
    <row r="12" spans="1:62" ht="16" x14ac:dyDescent="0.2">
      <c r="A12" s="69" t="s">
        <v>43</v>
      </c>
      <c r="B12" s="1" t="s">
        <v>171</v>
      </c>
      <c r="C12" s="1">
        <v>0</v>
      </c>
      <c r="D12" s="1">
        <v>13.9</v>
      </c>
      <c r="E12" s="1">
        <v>1353</v>
      </c>
      <c r="F12" s="1">
        <v>636</v>
      </c>
      <c r="G12" s="1">
        <v>0</v>
      </c>
      <c r="H12" s="1">
        <v>0</v>
      </c>
      <c r="I12" s="69" t="s">
        <v>43</v>
      </c>
      <c r="J12" s="25">
        <f t="shared" si="1"/>
        <v>368.88</v>
      </c>
      <c r="K12" s="25">
        <f t="shared" si="2"/>
        <v>184.44</v>
      </c>
      <c r="L12" s="25">
        <f t="shared" si="3"/>
        <v>192.18999999999997</v>
      </c>
      <c r="M12" s="27">
        <f t="shared" si="4"/>
        <v>162.35999999999999</v>
      </c>
      <c r="N12" s="26">
        <v>0.7</v>
      </c>
      <c r="O12" s="25">
        <v>0</v>
      </c>
      <c r="P12" s="25"/>
      <c r="Q12" s="25">
        <v>0</v>
      </c>
      <c r="R12" s="25">
        <f t="shared" si="50"/>
        <v>0</v>
      </c>
      <c r="S12" s="33">
        <f t="shared" si="5"/>
        <v>2.7396270023483787E-7</v>
      </c>
      <c r="T12" s="25">
        <f t="shared" si="6"/>
        <v>3.4737754147423887E-11</v>
      </c>
      <c r="U12" s="25">
        <f t="shared" si="7"/>
        <v>1.01921544E-4</v>
      </c>
      <c r="V12" s="25">
        <f t="shared" si="8"/>
        <v>3.6224016000000001E-5</v>
      </c>
      <c r="W12" s="25">
        <f t="shared" si="9"/>
        <v>2.4727325397795994E-6</v>
      </c>
      <c r="X12" s="25">
        <f t="shared" si="10"/>
        <v>1.1209640484608784E-6</v>
      </c>
      <c r="Y12" s="25">
        <f t="shared" si="11"/>
        <v>3.5936965882404776E-6</v>
      </c>
      <c r="Z12" s="25">
        <v>0</v>
      </c>
      <c r="AA12" s="25">
        <v>0</v>
      </c>
      <c r="AB12" s="25">
        <v>0</v>
      </c>
      <c r="AC12" s="34">
        <f t="shared" si="15"/>
        <v>0</v>
      </c>
      <c r="AD12" s="33">
        <f t="shared" si="16"/>
        <v>1.3698135011741894E-7</v>
      </c>
      <c r="AE12" s="25">
        <f t="shared" si="17"/>
        <v>1.7368877073711943E-11</v>
      </c>
      <c r="AF12" s="25">
        <f t="shared" si="18"/>
        <v>5.0960771999999998E-5</v>
      </c>
      <c r="AG12" s="25">
        <f t="shared" si="19"/>
        <v>1.8112008000000001E-5</v>
      </c>
      <c r="AH12" s="25">
        <f t="shared" si="20"/>
        <v>1.2363662698897997E-6</v>
      </c>
      <c r="AI12" s="25">
        <f t="shared" si="21"/>
        <v>5.6048202423043921E-7</v>
      </c>
      <c r="AJ12" s="25">
        <f t="shared" si="22"/>
        <v>1.7968482941202388E-6</v>
      </c>
      <c r="AK12" s="25">
        <v>0</v>
      </c>
      <c r="AL12" s="25">
        <v>0</v>
      </c>
      <c r="AM12" s="25">
        <v>0</v>
      </c>
      <c r="AN12" s="34">
        <f t="shared" si="26"/>
        <v>0</v>
      </c>
      <c r="AO12" s="33">
        <f t="shared" si="27"/>
        <v>1.4273718108364097E-7</v>
      </c>
      <c r="AP12" s="25">
        <f t="shared" si="28"/>
        <v>1.8098701392304804E-11</v>
      </c>
      <c r="AQ12" s="25">
        <f t="shared" si="29"/>
        <v>5.3102096999999993E-5</v>
      </c>
      <c r="AR12" s="25">
        <f t="shared" si="30"/>
        <v>1.8873057999999999E-5</v>
      </c>
      <c r="AS12" s="25">
        <f t="shared" si="31"/>
        <v>1.2883172490247268E-6</v>
      </c>
      <c r="AT12" s="25">
        <f t="shared" si="32"/>
        <v>5.8403296593389764E-7</v>
      </c>
      <c r="AU12" s="25">
        <f t="shared" si="33"/>
        <v>1.8723502149586246E-6</v>
      </c>
      <c r="AV12" s="25">
        <v>0</v>
      </c>
      <c r="AW12" s="25">
        <v>0</v>
      </c>
      <c r="AX12" s="25">
        <v>0</v>
      </c>
      <c r="AY12" s="34">
        <f t="shared" si="37"/>
        <v>0</v>
      </c>
      <c r="AZ12" s="33">
        <f t="shared" si="38"/>
        <v>1.2058280202268562E-7</v>
      </c>
      <c r="BA12" s="25">
        <f t="shared" si="39"/>
        <v>1.5289584047320924E-11</v>
      </c>
      <c r="BB12" s="25">
        <f t="shared" si="40"/>
        <v>4.4860067999999993E-5</v>
      </c>
      <c r="BC12" s="25">
        <f t="shared" si="41"/>
        <v>1.5943751999999997E-5</v>
      </c>
      <c r="BD12" s="25">
        <f t="shared" si="42"/>
        <v>1.088356254496356E-6</v>
      </c>
      <c r="BE12" s="25">
        <f t="shared" si="43"/>
        <v>4.9338463160948865E-7</v>
      </c>
      <c r="BF12" s="25">
        <f t="shared" si="44"/>
        <v>1.5817408861058447E-6</v>
      </c>
      <c r="BG12" s="25">
        <v>0</v>
      </c>
      <c r="BH12" s="25">
        <v>0</v>
      </c>
      <c r="BI12" s="25">
        <v>0</v>
      </c>
      <c r="BJ12" s="34">
        <f t="shared" si="48"/>
        <v>0</v>
      </c>
    </row>
    <row r="13" spans="1:62" ht="16" x14ac:dyDescent="0.2">
      <c r="A13" s="69" t="s">
        <v>80</v>
      </c>
      <c r="B13" s="1" t="s">
        <v>171</v>
      </c>
      <c r="C13" s="1">
        <v>0</v>
      </c>
      <c r="D13" s="1">
        <v>0</v>
      </c>
      <c r="E13" s="1">
        <v>0</v>
      </c>
      <c r="F13" s="1">
        <v>1.28</v>
      </c>
      <c r="G13" s="1">
        <v>0</v>
      </c>
      <c r="H13" s="1">
        <v>0</v>
      </c>
      <c r="I13" s="69" t="s">
        <v>80</v>
      </c>
      <c r="J13" s="25">
        <f t="shared" si="1"/>
        <v>0.74239999999999995</v>
      </c>
      <c r="K13" s="25">
        <f t="shared" si="2"/>
        <v>0.37119999999999997</v>
      </c>
      <c r="L13" s="25">
        <f t="shared" si="3"/>
        <v>0.38400000000000001</v>
      </c>
      <c r="M13" s="27">
        <f t="shared" si="4"/>
        <v>0</v>
      </c>
      <c r="N13" s="26">
        <v>2E-3</v>
      </c>
      <c r="O13" s="25">
        <v>0</v>
      </c>
      <c r="P13" s="25"/>
      <c r="Q13" s="25">
        <v>1</v>
      </c>
      <c r="R13" s="25">
        <f t="shared" si="50"/>
        <v>2E-3</v>
      </c>
      <c r="S13" s="33">
        <f t="shared" si="5"/>
        <v>5.5137147217074285E-10</v>
      </c>
      <c r="T13" s="25">
        <f t="shared" si="6"/>
        <v>6.9912461177205303E-14</v>
      </c>
      <c r="U13" s="25">
        <f t="shared" si="7"/>
        <v>2.0512511999999999E-7</v>
      </c>
      <c r="V13" s="25">
        <f t="shared" si="8"/>
        <v>7.2903679999999993E-8</v>
      </c>
      <c r="W13" s="25">
        <f t="shared" si="9"/>
        <v>4.9765686335186905E-9</v>
      </c>
      <c r="X13" s="25">
        <f t="shared" si="10"/>
        <v>2.2560282736319562E-9</v>
      </c>
      <c r="Y13" s="25">
        <f t="shared" si="11"/>
        <v>7.232596907150647E-9</v>
      </c>
      <c r="Z13" s="25">
        <f t="shared" si="12"/>
        <v>2.7568573608537144E-7</v>
      </c>
      <c r="AA13" s="25">
        <v>0</v>
      </c>
      <c r="AB13" s="25">
        <f t="shared" si="14"/>
        <v>3.6162984535753236E-6</v>
      </c>
      <c r="AC13" s="34">
        <f t="shared" si="15"/>
        <v>3.8919841896606953E-6</v>
      </c>
      <c r="AD13" s="33">
        <f t="shared" si="16"/>
        <v>2.7568573608537142E-10</v>
      </c>
      <c r="AE13" s="25">
        <f t="shared" si="17"/>
        <v>3.4956230588602652E-14</v>
      </c>
      <c r="AF13" s="25">
        <f t="shared" si="18"/>
        <v>1.0256256E-7</v>
      </c>
      <c r="AG13" s="25">
        <f t="shared" si="19"/>
        <v>3.6451839999999996E-8</v>
      </c>
      <c r="AH13" s="25">
        <f t="shared" si="20"/>
        <v>2.4882843167593452E-9</v>
      </c>
      <c r="AI13" s="25">
        <f t="shared" si="21"/>
        <v>1.1280141368159781E-9</v>
      </c>
      <c r="AJ13" s="25">
        <f t="shared" si="22"/>
        <v>3.6162984535753235E-9</v>
      </c>
      <c r="AK13" s="25">
        <f t="shared" si="23"/>
        <v>1.3784286804268572E-7</v>
      </c>
      <c r="AL13" s="25">
        <v>0</v>
      </c>
      <c r="AM13" s="25">
        <f t="shared" si="25"/>
        <v>1.8081492267876618E-6</v>
      </c>
      <c r="AN13" s="34">
        <f t="shared" si="26"/>
        <v>1.9459920948303477E-6</v>
      </c>
      <c r="AO13" s="33">
        <f t="shared" si="27"/>
        <v>2.8519214077797049E-10</v>
      </c>
      <c r="AP13" s="25">
        <f t="shared" si="28"/>
        <v>3.6161617850278605E-14</v>
      </c>
      <c r="AQ13" s="25">
        <f t="shared" si="29"/>
        <v>1.060992E-7</v>
      </c>
      <c r="AR13" s="25">
        <f t="shared" si="30"/>
        <v>3.7708799999999999E-8</v>
      </c>
      <c r="AS13" s="25">
        <f t="shared" si="31"/>
        <v>2.5740872242338063E-9</v>
      </c>
      <c r="AT13" s="25">
        <f t="shared" si="32"/>
        <v>1.1669111760165293E-9</v>
      </c>
      <c r="AU13" s="25">
        <f t="shared" si="33"/>
        <v>3.740998400250336E-9</v>
      </c>
      <c r="AV13" s="25">
        <f t="shared" si="34"/>
        <v>1.4259607038898525E-7</v>
      </c>
      <c r="AW13" s="25">
        <v>0</v>
      </c>
      <c r="AX13" s="25">
        <f t="shared" si="36"/>
        <v>1.8704992001251679E-6</v>
      </c>
      <c r="AY13" s="34">
        <f t="shared" si="37"/>
        <v>2.0130952705141531E-6</v>
      </c>
      <c r="AZ13" s="33">
        <f t="shared" si="38"/>
        <v>0</v>
      </c>
      <c r="BA13" s="25">
        <f t="shared" si="39"/>
        <v>0</v>
      </c>
      <c r="BB13" s="25">
        <f t="shared" si="40"/>
        <v>0</v>
      </c>
      <c r="BC13" s="25">
        <f t="shared" si="41"/>
        <v>0</v>
      </c>
      <c r="BD13" s="25">
        <f t="shared" si="42"/>
        <v>0</v>
      </c>
      <c r="BE13" s="25">
        <f t="shared" si="43"/>
        <v>0</v>
      </c>
      <c r="BF13" s="25">
        <f t="shared" si="44"/>
        <v>0</v>
      </c>
      <c r="BG13" s="25">
        <f t="shared" si="45"/>
        <v>0</v>
      </c>
      <c r="BH13" s="25">
        <v>0</v>
      </c>
      <c r="BI13" s="25">
        <f t="shared" si="47"/>
        <v>0</v>
      </c>
      <c r="BJ13" s="34">
        <f t="shared" si="48"/>
        <v>0</v>
      </c>
    </row>
    <row r="14" spans="1:62" ht="16" x14ac:dyDescent="0.2">
      <c r="A14" s="69" t="s">
        <v>84</v>
      </c>
      <c r="B14" s="1" t="s">
        <v>171</v>
      </c>
      <c r="C14" s="1">
        <v>0</v>
      </c>
      <c r="D14" s="1">
        <v>3.83</v>
      </c>
      <c r="E14" s="1">
        <v>305</v>
      </c>
      <c r="F14" s="1">
        <v>2052</v>
      </c>
      <c r="G14" s="1">
        <v>547</v>
      </c>
      <c r="H14" s="1">
        <v>1326</v>
      </c>
      <c r="I14" s="69" t="s">
        <v>84</v>
      </c>
      <c r="J14" s="25">
        <f t="shared" si="1"/>
        <v>1190.1599999999999</v>
      </c>
      <c r="K14" s="25">
        <f t="shared" si="2"/>
        <v>753.70999999999992</v>
      </c>
      <c r="L14" s="25">
        <f t="shared" si="3"/>
        <v>780.08299999999997</v>
      </c>
      <c r="M14" s="27">
        <f t="shared" si="4"/>
        <v>394.62000000000006</v>
      </c>
      <c r="N14" s="26">
        <v>11</v>
      </c>
      <c r="O14" s="25">
        <f>P14*$C$51/$C$49</f>
        <v>2.0474934036939316E-2</v>
      </c>
      <c r="P14" s="25">
        <v>0.1</v>
      </c>
      <c r="Q14" s="25">
        <v>1</v>
      </c>
      <c r="R14" s="25">
        <f>N14*Q14</f>
        <v>11</v>
      </c>
      <c r="S14" s="33">
        <f t="shared" si="5"/>
        <v>8.8391739132372202E-7</v>
      </c>
      <c r="T14" s="25">
        <f t="shared" si="6"/>
        <v>1.1207841432470725E-10</v>
      </c>
      <c r="U14" s="25">
        <f t="shared" si="7"/>
        <v>3.2884120799999995E-4</v>
      </c>
      <c r="V14" s="25">
        <f t="shared" si="8"/>
        <v>1.1687371199999999E-4</v>
      </c>
      <c r="W14" s="25">
        <f t="shared" si="9"/>
        <v>7.9780615906096508E-6</v>
      </c>
      <c r="X14" s="25">
        <f t="shared" si="10"/>
        <v>3.6166953261662296E-6</v>
      </c>
      <c r="Y14" s="25">
        <f t="shared" si="11"/>
        <v>1.1594756916775881E-5</v>
      </c>
      <c r="Z14" s="25">
        <f t="shared" si="12"/>
        <v>8.0356126483974723E-8</v>
      </c>
      <c r="AA14" s="25">
        <f t="shared" si="13"/>
        <v>5.4739328645701082E-9</v>
      </c>
      <c r="AB14" s="25">
        <f t="shared" si="14"/>
        <v>1.0540688106159892E-6</v>
      </c>
      <c r="AC14" s="34">
        <f t="shared" si="15"/>
        <v>1.1398988699645341E-6</v>
      </c>
      <c r="AD14" s="33">
        <f t="shared" si="16"/>
        <v>5.5977127194209397E-7</v>
      </c>
      <c r="AE14" s="25">
        <f t="shared" si="17"/>
        <v>7.0977533827951791E-11</v>
      </c>
      <c r="AF14" s="25">
        <f t="shared" si="18"/>
        <v>2.0825007299999997E-4</v>
      </c>
      <c r="AG14" s="25">
        <f t="shared" si="19"/>
        <v>7.4014321999999987E-5</v>
      </c>
      <c r="AH14" s="25">
        <f t="shared" si="20"/>
        <v>5.0523835462949525E-6</v>
      </c>
      <c r="AI14" s="25">
        <f t="shared" si="21"/>
        <v>2.2903974543630675E-6</v>
      </c>
      <c r="AJ14" s="25">
        <f t="shared" si="22"/>
        <v>7.34278100065802E-6</v>
      </c>
      <c r="AK14" s="25">
        <f t="shared" si="23"/>
        <v>5.0888297449281268E-8</v>
      </c>
      <c r="AL14" s="25">
        <f t="shared" si="24"/>
        <v>3.4665573867002225E-9</v>
      </c>
      <c r="AM14" s="25">
        <f t="shared" si="25"/>
        <v>6.675255455143655E-7</v>
      </c>
      <c r="AN14" s="34">
        <f t="shared" si="26"/>
        <v>7.2188040035034699E-7</v>
      </c>
      <c r="AO14" s="33">
        <f t="shared" si="27"/>
        <v>5.7935817904818107E-7</v>
      </c>
      <c r="AP14" s="25">
        <f t="shared" si="28"/>
        <v>7.346110244140335E-11</v>
      </c>
      <c r="AQ14" s="25">
        <f t="shared" si="29"/>
        <v>2.1553693289999998E-4</v>
      </c>
      <c r="AR14" s="25">
        <f t="shared" si="30"/>
        <v>7.66041506E-5</v>
      </c>
      <c r="AS14" s="25">
        <f t="shared" si="31"/>
        <v>5.2291710524530723E-6</v>
      </c>
      <c r="AT14" s="25">
        <f t="shared" si="32"/>
        <v>2.3705405492721411E-6</v>
      </c>
      <c r="AU14" s="25">
        <f t="shared" si="33"/>
        <v>7.5997116017252138E-6</v>
      </c>
      <c r="AV14" s="25">
        <f t="shared" si="34"/>
        <v>5.2668925368016459E-8</v>
      </c>
      <c r="AW14" s="25">
        <f t="shared" si="35"/>
        <v>3.5878553898571993E-9</v>
      </c>
      <c r="AX14" s="25">
        <f t="shared" si="36"/>
        <v>6.9088287288411038E-7</v>
      </c>
      <c r="AY14" s="34">
        <f t="shared" si="37"/>
        <v>7.4713965364198402E-7</v>
      </c>
      <c r="AZ14" s="33">
        <f t="shared" si="38"/>
        <v>2.9307948592136121E-7</v>
      </c>
      <c r="BA14" s="25">
        <f t="shared" si="39"/>
        <v>3.7161712593950386E-11</v>
      </c>
      <c r="BB14" s="25">
        <f t="shared" si="40"/>
        <v>1.0903350600000002E-4</v>
      </c>
      <c r="BC14" s="25">
        <f t="shared" si="41"/>
        <v>3.8751684000000007E-5</v>
      </c>
      <c r="BD14" s="25">
        <f t="shared" si="42"/>
        <v>2.6452768240290224E-6</v>
      </c>
      <c r="BE14" s="25">
        <f t="shared" si="43"/>
        <v>1.1991835632282367E-6</v>
      </c>
      <c r="BF14" s="25">
        <f t="shared" si="44"/>
        <v>3.8444603872572589E-6</v>
      </c>
      <c r="BG14" s="25">
        <f t="shared" si="45"/>
        <v>2.6643589629214654E-8</v>
      </c>
      <c r="BH14" s="25">
        <f t="shared" si="46"/>
        <v>1.8149857052973189E-9</v>
      </c>
      <c r="BI14" s="25">
        <f t="shared" si="47"/>
        <v>3.4949639884156901E-7</v>
      </c>
      <c r="BJ14" s="34">
        <f t="shared" si="48"/>
        <v>3.7795497417608101E-7</v>
      </c>
    </row>
    <row r="15" spans="1:62" ht="16" x14ac:dyDescent="0.2">
      <c r="A15" s="69" t="s">
        <v>77</v>
      </c>
      <c r="B15" s="1" t="s">
        <v>171</v>
      </c>
      <c r="C15" s="1">
        <v>0</v>
      </c>
      <c r="D15" s="1">
        <v>27.8</v>
      </c>
      <c r="E15" s="1">
        <v>30.9</v>
      </c>
      <c r="F15" s="1">
        <v>36.299999999999997</v>
      </c>
      <c r="G15" s="1">
        <v>11.6</v>
      </c>
      <c r="H15" s="1">
        <v>1.02</v>
      </c>
      <c r="I15" s="69" t="s">
        <v>77</v>
      </c>
      <c r="J15" s="25">
        <f t="shared" si="1"/>
        <v>21.053999999999998</v>
      </c>
      <c r="K15" s="25">
        <f t="shared" si="2"/>
        <v>13.890999999999998</v>
      </c>
      <c r="L15" s="25">
        <f t="shared" si="3"/>
        <v>17.149999999999999</v>
      </c>
      <c r="M15" s="27">
        <f t="shared" si="4"/>
        <v>3.9833999999999996</v>
      </c>
      <c r="N15" s="26">
        <v>2.4E-2</v>
      </c>
      <c r="O15" s="25">
        <f>P15*$C$51/$C$49</f>
        <v>1.0237467018469658E-5</v>
      </c>
      <c r="P15" s="25">
        <v>5.0000000000000002E-5</v>
      </c>
      <c r="Q15" s="25">
        <v>0.04</v>
      </c>
      <c r="R15" s="25">
        <f t="shared" ref="R15:R26" si="52">N15*Q15</f>
        <v>9.6000000000000002E-4</v>
      </c>
      <c r="S15" s="33">
        <f t="shared" si="5"/>
        <v>1.563655034359216E-8</v>
      </c>
      <c r="T15" s="25">
        <f t="shared" si="6"/>
        <v>1.9826737036973065E-12</v>
      </c>
      <c r="U15" s="25">
        <f t="shared" si="7"/>
        <v>5.8172201999999996E-6</v>
      </c>
      <c r="V15" s="25">
        <f t="shared" si="8"/>
        <v>2.0675028000000001E-6</v>
      </c>
      <c r="W15" s="25">
        <f t="shared" si="9"/>
        <v>1.4113237609119412E-7</v>
      </c>
      <c r="X15" s="25">
        <f t="shared" si="10"/>
        <v>6.3979551822531269E-8</v>
      </c>
      <c r="Y15" s="25">
        <f t="shared" si="11"/>
        <v>2.0511192791372537E-7</v>
      </c>
      <c r="Z15" s="25">
        <f t="shared" si="12"/>
        <v>6.5152293098300671E-7</v>
      </c>
      <c r="AA15" s="25">
        <f t="shared" si="13"/>
        <v>1.9366838497455646E-7</v>
      </c>
      <c r="AB15" s="25">
        <f t="shared" si="14"/>
        <v>2.1365825824346392E-4</v>
      </c>
      <c r="AC15" s="34">
        <f t="shared" si="15"/>
        <v>2.1450344955942148E-4</v>
      </c>
      <c r="AD15" s="33">
        <f t="shared" si="16"/>
        <v>1.0316677155069758E-8</v>
      </c>
      <c r="AE15" s="25">
        <f t="shared" si="17"/>
        <v>1.3081276915578646E-12</v>
      </c>
      <c r="AF15" s="25">
        <f t="shared" si="18"/>
        <v>3.8380832999999997E-6</v>
      </c>
      <c r="AG15" s="25">
        <f t="shared" si="19"/>
        <v>1.3640962E-6</v>
      </c>
      <c r="AH15" s="25">
        <f t="shared" si="20"/>
        <v>9.3116264666228632E-8</v>
      </c>
      <c r="AI15" s="25">
        <f t="shared" si="21"/>
        <v>4.2212404026160431E-8</v>
      </c>
      <c r="AJ15" s="25">
        <f t="shared" si="22"/>
        <v>1.3532866869238905E-7</v>
      </c>
      <c r="AK15" s="25">
        <f t="shared" si="23"/>
        <v>4.298615481279066E-7</v>
      </c>
      <c r="AL15" s="25">
        <f t="shared" si="24"/>
        <v>1.277784523454718E-7</v>
      </c>
      <c r="AM15" s="25">
        <f t="shared" si="25"/>
        <v>1.409673632212386E-4</v>
      </c>
      <c r="AN15" s="34">
        <f t="shared" si="26"/>
        <v>1.4152500322171197E-4</v>
      </c>
      <c r="AO15" s="33">
        <f t="shared" si="27"/>
        <v>1.2737096912349462E-8</v>
      </c>
      <c r="AP15" s="25">
        <f t="shared" si="28"/>
        <v>1.6150305888861408E-12</v>
      </c>
      <c r="AQ15" s="25">
        <f t="shared" si="29"/>
        <v>4.7385449999999994E-6</v>
      </c>
      <c r="AR15" s="25">
        <f t="shared" si="30"/>
        <v>1.6841299999999999E-6</v>
      </c>
      <c r="AS15" s="25">
        <f t="shared" si="31"/>
        <v>1.1496248931148375E-7</v>
      </c>
      <c r="AT15" s="25">
        <f t="shared" si="32"/>
        <v>5.2115954866363225E-8</v>
      </c>
      <c r="AU15" s="25">
        <f t="shared" si="33"/>
        <v>1.6707844417784696E-7</v>
      </c>
      <c r="AV15" s="25">
        <f t="shared" si="34"/>
        <v>5.3071237134789426E-7</v>
      </c>
      <c r="AW15" s="25">
        <f t="shared" si="35"/>
        <v>1.5775685391439364E-7</v>
      </c>
      <c r="AX15" s="25">
        <f t="shared" si="36"/>
        <v>1.7404004601859058E-4</v>
      </c>
      <c r="AY15" s="34">
        <f t="shared" si="37"/>
        <v>1.7472851524385287E-4</v>
      </c>
      <c r="AZ15" s="33">
        <f t="shared" si="38"/>
        <v>2.9584228478514776E-9</v>
      </c>
      <c r="BA15" s="25">
        <f t="shared" si="39"/>
        <v>3.7512028266874943E-13</v>
      </c>
      <c r="BB15" s="25">
        <f t="shared" si="40"/>
        <v>1.1006134199999999E-6</v>
      </c>
      <c r="BC15" s="25">
        <f t="shared" si="41"/>
        <v>3.9116987999999996E-7</v>
      </c>
      <c r="BD15" s="25">
        <f t="shared" si="42"/>
        <v>2.6702132940137868E-8</v>
      </c>
      <c r="BE15" s="25">
        <f t="shared" si="43"/>
        <v>1.2104880152458964E-8</v>
      </c>
      <c r="BF15" s="25">
        <f t="shared" si="44"/>
        <v>3.8807013092596833E-8</v>
      </c>
      <c r="BG15" s="25">
        <f t="shared" si="45"/>
        <v>1.2326761866047824E-7</v>
      </c>
      <c r="BH15" s="25">
        <f t="shared" si="46"/>
        <v>3.6641903899859802E-8</v>
      </c>
      <c r="BI15" s="25">
        <f t="shared" si="47"/>
        <v>4.0423971971455032E-5</v>
      </c>
      <c r="BJ15" s="34">
        <f t="shared" si="48"/>
        <v>4.0583881494015369E-5</v>
      </c>
    </row>
    <row r="16" spans="1:62" ht="16" x14ac:dyDescent="0.2">
      <c r="A16" s="69" t="s">
        <v>46</v>
      </c>
      <c r="B16" s="1" t="s">
        <v>171</v>
      </c>
      <c r="C16" s="1">
        <v>0</v>
      </c>
      <c r="D16" s="1">
        <v>0</v>
      </c>
      <c r="E16" s="1">
        <v>0.40600000000000003</v>
      </c>
      <c r="F16" s="1">
        <v>0</v>
      </c>
      <c r="G16" s="1">
        <v>0</v>
      </c>
      <c r="H16" s="1">
        <v>0</v>
      </c>
      <c r="I16" s="69" t="s">
        <v>46</v>
      </c>
      <c r="J16" s="25">
        <f t="shared" si="1"/>
        <v>0</v>
      </c>
      <c r="K16" s="25">
        <f t="shared" si="2"/>
        <v>0</v>
      </c>
      <c r="L16" s="25">
        <f t="shared" si="3"/>
        <v>0</v>
      </c>
      <c r="M16" s="27">
        <f t="shared" si="4"/>
        <v>4.8719999999999999E-2</v>
      </c>
      <c r="N16" s="26">
        <v>5.0000000000000001E-3</v>
      </c>
      <c r="O16" s="25">
        <f>P16*$C$51/$C$49</f>
        <v>4.0949868073878625E-4</v>
      </c>
      <c r="P16" s="25">
        <v>2E-3</v>
      </c>
      <c r="Q16" s="25">
        <v>1</v>
      </c>
      <c r="R16" s="25">
        <f t="shared" si="52"/>
        <v>5.0000000000000001E-3</v>
      </c>
      <c r="S16" s="33">
        <f t="shared" si="5"/>
        <v>0</v>
      </c>
      <c r="T16" s="25">
        <f t="shared" si="6"/>
        <v>0</v>
      </c>
      <c r="U16" s="25">
        <f t="shared" si="7"/>
        <v>0</v>
      </c>
      <c r="V16" s="25">
        <f t="shared" si="8"/>
        <v>0</v>
      </c>
      <c r="W16" s="25">
        <f t="shared" si="9"/>
        <v>0</v>
      </c>
      <c r="X16" s="25">
        <f t="shared" si="10"/>
        <v>0</v>
      </c>
      <c r="Y16" s="25">
        <f t="shared" si="11"/>
        <v>0</v>
      </c>
      <c r="Z16" s="25">
        <f t="shared" si="12"/>
        <v>0</v>
      </c>
      <c r="AA16" s="25">
        <f t="shared" si="13"/>
        <v>0</v>
      </c>
      <c r="AB16" s="25">
        <f t="shared" si="14"/>
        <v>0</v>
      </c>
      <c r="AC16" s="34">
        <f t="shared" si="15"/>
        <v>0</v>
      </c>
      <c r="AD16" s="33">
        <f t="shared" si="16"/>
        <v>0</v>
      </c>
      <c r="AE16" s="25">
        <f t="shared" si="17"/>
        <v>0</v>
      </c>
      <c r="AF16" s="25">
        <f t="shared" si="18"/>
        <v>0</v>
      </c>
      <c r="AG16" s="25">
        <f t="shared" si="19"/>
        <v>0</v>
      </c>
      <c r="AH16" s="25">
        <f t="shared" si="20"/>
        <v>0</v>
      </c>
      <c r="AI16" s="25">
        <f t="shared" si="21"/>
        <v>0</v>
      </c>
      <c r="AJ16" s="25">
        <f t="shared" si="22"/>
        <v>0</v>
      </c>
      <c r="AK16" s="25">
        <f t="shared" si="23"/>
        <v>0</v>
      </c>
      <c r="AL16" s="25">
        <f t="shared" si="24"/>
        <v>0</v>
      </c>
      <c r="AM16" s="25">
        <f t="shared" si="25"/>
        <v>0</v>
      </c>
      <c r="AN16" s="34">
        <f t="shared" si="26"/>
        <v>0</v>
      </c>
      <c r="AO16" s="33">
        <f t="shared" si="27"/>
        <v>0</v>
      </c>
      <c r="AP16" s="25">
        <f t="shared" si="28"/>
        <v>0</v>
      </c>
      <c r="AQ16" s="25">
        <f t="shared" si="29"/>
        <v>0</v>
      </c>
      <c r="AR16" s="25">
        <f t="shared" si="30"/>
        <v>0</v>
      </c>
      <c r="AS16" s="25">
        <f t="shared" si="31"/>
        <v>0</v>
      </c>
      <c r="AT16" s="25">
        <f t="shared" si="32"/>
        <v>0</v>
      </c>
      <c r="AU16" s="25">
        <f t="shared" si="33"/>
        <v>0</v>
      </c>
      <c r="AV16" s="25">
        <f t="shared" si="34"/>
        <v>0</v>
      </c>
      <c r="AW16" s="25">
        <f t="shared" si="35"/>
        <v>0</v>
      </c>
      <c r="AX16" s="25">
        <f t="shared" si="36"/>
        <v>0</v>
      </c>
      <c r="AY16" s="34">
        <f t="shared" si="37"/>
        <v>0</v>
      </c>
      <c r="AZ16" s="33">
        <f t="shared" si="38"/>
        <v>3.6183752861204999E-11</v>
      </c>
      <c r="BA16" s="25">
        <f t="shared" si="39"/>
        <v>4.5880052647540981E-15</v>
      </c>
      <c r="BB16" s="25">
        <f t="shared" si="40"/>
        <v>1.3461336E-8</v>
      </c>
      <c r="BC16" s="25">
        <f t="shared" si="41"/>
        <v>4.7843040000000001E-9</v>
      </c>
      <c r="BD16" s="25">
        <f t="shared" si="42"/>
        <v>3.2658731657466412E-10</v>
      </c>
      <c r="BE16" s="25">
        <f t="shared" si="43"/>
        <v>1.4805185545709715E-10</v>
      </c>
      <c r="BF16" s="25">
        <f t="shared" si="44"/>
        <v>4.7463917203176129E-10</v>
      </c>
      <c r="BG16" s="25">
        <f t="shared" si="45"/>
        <v>7.2367505722409995E-9</v>
      </c>
      <c r="BH16" s="25">
        <f t="shared" si="46"/>
        <v>1.1203956155552857E-11</v>
      </c>
      <c r="BI16" s="25">
        <f t="shared" si="47"/>
        <v>9.4927834406352259E-8</v>
      </c>
      <c r="BJ16" s="34">
        <f t="shared" si="48"/>
        <v>1.0217578893474881E-7</v>
      </c>
    </row>
    <row r="17" spans="1:62" ht="16" x14ac:dyDescent="0.2">
      <c r="A17" s="69" t="s">
        <v>31</v>
      </c>
      <c r="B17" s="1" t="s">
        <v>171</v>
      </c>
      <c r="C17" s="1">
        <v>0</v>
      </c>
      <c r="D17" s="1">
        <v>176</v>
      </c>
      <c r="E17" s="1">
        <v>1531</v>
      </c>
      <c r="F17" s="1">
        <v>1624</v>
      </c>
      <c r="G17" s="1">
        <v>0</v>
      </c>
      <c r="H17" s="1">
        <v>14.9</v>
      </c>
      <c r="I17" s="69" t="s">
        <v>31</v>
      </c>
      <c r="J17" s="25">
        <f t="shared" si="1"/>
        <v>941.92</v>
      </c>
      <c r="K17" s="25">
        <f t="shared" si="2"/>
        <v>470.96</v>
      </c>
      <c r="L17" s="25">
        <f t="shared" si="3"/>
        <v>504.8</v>
      </c>
      <c r="M17" s="27">
        <f t="shared" si="4"/>
        <v>187.74299999999999</v>
      </c>
      <c r="N17" s="26">
        <v>49</v>
      </c>
      <c r="O17" s="36">
        <v>0</v>
      </c>
      <c r="P17" s="25"/>
      <c r="Q17" s="25">
        <v>1</v>
      </c>
      <c r="R17" s="25">
        <f t="shared" si="52"/>
        <v>49</v>
      </c>
      <c r="S17" s="33">
        <f t="shared" si="5"/>
        <v>6.9955255531663001E-7</v>
      </c>
      <c r="T17" s="25">
        <f t="shared" si="6"/>
        <v>8.8701435118579232E-11</v>
      </c>
      <c r="U17" s="25">
        <f t="shared" si="7"/>
        <v>2.6025249600000001E-4</v>
      </c>
      <c r="V17" s="25">
        <f t="shared" si="8"/>
        <v>9.2496543999999998E-5</v>
      </c>
      <c r="W17" s="25">
        <f t="shared" si="9"/>
        <v>6.31402145377684E-6</v>
      </c>
      <c r="X17" s="25">
        <f t="shared" si="10"/>
        <v>2.8623358721705448E-6</v>
      </c>
      <c r="Y17" s="25">
        <f t="shared" si="11"/>
        <v>9.1763573259473852E-6</v>
      </c>
      <c r="Z17" s="25">
        <f t="shared" si="12"/>
        <v>1.4276582761563877E-8</v>
      </c>
      <c r="AA17" s="25">
        <v>0</v>
      </c>
      <c r="AB17" s="25">
        <f t="shared" si="14"/>
        <v>1.8727259848872214E-7</v>
      </c>
      <c r="AC17" s="34">
        <f t="shared" si="15"/>
        <v>2.01549181250286E-7</v>
      </c>
      <c r="AD17" s="33">
        <f t="shared" si="16"/>
        <v>3.4977627765831501E-7</v>
      </c>
      <c r="AE17" s="25">
        <f t="shared" si="17"/>
        <v>4.4350717559289616E-11</v>
      </c>
      <c r="AF17" s="25">
        <f t="shared" si="18"/>
        <v>1.3012624800000001E-4</v>
      </c>
      <c r="AG17" s="25">
        <f t="shared" si="19"/>
        <v>4.6248271999999999E-5</v>
      </c>
      <c r="AH17" s="25">
        <f t="shared" si="20"/>
        <v>3.15701072688842E-6</v>
      </c>
      <c r="AI17" s="25">
        <f t="shared" si="21"/>
        <v>1.4311679360852724E-6</v>
      </c>
      <c r="AJ17" s="25">
        <f t="shared" si="22"/>
        <v>4.5881786629736926E-6</v>
      </c>
      <c r="AK17" s="25">
        <f t="shared" si="23"/>
        <v>7.1382913807819385E-9</v>
      </c>
      <c r="AL17" s="25">
        <v>0</v>
      </c>
      <c r="AM17" s="25">
        <f t="shared" si="25"/>
        <v>9.3636299244361069E-8</v>
      </c>
      <c r="AN17" s="34">
        <f t="shared" si="26"/>
        <v>1.00774590625143E-7</v>
      </c>
      <c r="AO17" s="33">
        <f t="shared" si="27"/>
        <v>3.7490883506437368E-7</v>
      </c>
      <c r="AP17" s="25">
        <f t="shared" si="28"/>
        <v>4.753746013234542E-11</v>
      </c>
      <c r="AQ17" s="25">
        <f t="shared" si="29"/>
        <v>1.3947623999999999E-4</v>
      </c>
      <c r="AR17" s="25">
        <f t="shared" si="30"/>
        <v>4.9571360000000002E-5</v>
      </c>
      <c r="AS17" s="25">
        <f t="shared" si="31"/>
        <v>3.3838521635240247E-6</v>
      </c>
      <c r="AT17" s="25">
        <f t="shared" si="32"/>
        <v>1.5340019834717291E-6</v>
      </c>
      <c r="AU17" s="25">
        <f t="shared" si="33"/>
        <v>4.9178541469957536E-6</v>
      </c>
      <c r="AV17" s="25">
        <f t="shared" si="34"/>
        <v>7.6512007155994629E-9</v>
      </c>
      <c r="AW17" s="25">
        <v>0</v>
      </c>
      <c r="AX17" s="25">
        <f t="shared" si="36"/>
        <v>1.0036437034685211E-7</v>
      </c>
      <c r="AY17" s="34">
        <f t="shared" si="37"/>
        <v>1.0801557106245157E-7</v>
      </c>
      <c r="AZ17" s="33">
        <f t="shared" si="38"/>
        <v>1.3943444814082946E-7</v>
      </c>
      <c r="BA17" s="25">
        <f t="shared" si="39"/>
        <v>1.7679923489752232E-11</v>
      </c>
      <c r="BB17" s="25">
        <f t="shared" si="40"/>
        <v>5.1873390899999994E-5</v>
      </c>
      <c r="BC17" s="25">
        <f t="shared" si="41"/>
        <v>1.8436362600000001E-5</v>
      </c>
      <c r="BD17" s="25">
        <f t="shared" si="42"/>
        <v>1.2585074420294983E-6</v>
      </c>
      <c r="BE17" s="25">
        <f t="shared" si="43"/>
        <v>5.7051928364289382E-7</v>
      </c>
      <c r="BF17" s="25">
        <f t="shared" si="44"/>
        <v>1.8290267256723922E-6</v>
      </c>
      <c r="BG17" s="25">
        <f t="shared" si="45"/>
        <v>2.8456009824659073E-9</v>
      </c>
      <c r="BH17" s="25">
        <v>0</v>
      </c>
      <c r="BI17" s="25">
        <f t="shared" si="47"/>
        <v>3.732707603413045E-8</v>
      </c>
      <c r="BJ17" s="34">
        <f t="shared" si="48"/>
        <v>4.0172677016596358E-8</v>
      </c>
    </row>
    <row r="18" spans="1:62" ht="16" x14ac:dyDescent="0.2">
      <c r="A18" s="69" t="s">
        <v>37</v>
      </c>
      <c r="B18" s="1" t="s">
        <v>171</v>
      </c>
      <c r="C18" s="1">
        <v>0</v>
      </c>
      <c r="D18" s="1">
        <v>971</v>
      </c>
      <c r="E18" s="1">
        <v>87.6</v>
      </c>
      <c r="F18" s="1">
        <v>15174</v>
      </c>
      <c r="G18" s="1">
        <v>30.2</v>
      </c>
      <c r="H18" s="1">
        <v>12.5</v>
      </c>
      <c r="I18" s="69" t="s">
        <v>37</v>
      </c>
      <c r="J18" s="25">
        <f t="shared" si="1"/>
        <v>8800.92</v>
      </c>
      <c r="K18" s="25">
        <f t="shared" si="2"/>
        <v>4409.2179999999998</v>
      </c>
      <c r="L18" s="25">
        <f t="shared" si="3"/>
        <v>4658.3600000000006</v>
      </c>
      <c r="M18" s="27">
        <f t="shared" si="4"/>
        <v>13.886999999999999</v>
      </c>
      <c r="N18" s="37">
        <v>0</v>
      </c>
      <c r="O18" s="36">
        <v>0</v>
      </c>
      <c r="P18" s="25"/>
      <c r="Q18" s="25">
        <v>0</v>
      </c>
      <c r="R18" s="25">
        <f t="shared" si="52"/>
        <v>0</v>
      </c>
      <c r="S18" s="33">
        <f t="shared" si="5"/>
        <v>6.5363364989991029E-6</v>
      </c>
      <c r="T18" s="25">
        <f t="shared" si="6"/>
        <v>8.2879037961165103E-10</v>
      </c>
      <c r="U18" s="25">
        <f t="shared" si="7"/>
        <v>2.431694196E-3</v>
      </c>
      <c r="V18" s="25">
        <f t="shared" si="8"/>
        <v>8.6425034399999993E-4</v>
      </c>
      <c r="W18" s="25">
        <f t="shared" si="9"/>
        <v>5.8995665972666113E-5</v>
      </c>
      <c r="X18" s="25">
        <f t="shared" si="10"/>
        <v>2.6744510175071327E-5</v>
      </c>
      <c r="Y18" s="25">
        <f t="shared" si="11"/>
        <v>8.5740176147737444E-5</v>
      </c>
      <c r="Z18" s="25">
        <v>0</v>
      </c>
      <c r="AA18" s="25">
        <v>0</v>
      </c>
      <c r="AB18" s="25">
        <v>0</v>
      </c>
      <c r="AC18" s="34">
        <f t="shared" si="15"/>
        <v>0</v>
      </c>
      <c r="AD18" s="33">
        <f t="shared" si="16"/>
        <v>3.2746727098353161E-6</v>
      </c>
      <c r="AE18" s="25">
        <f t="shared" si="17"/>
        <v>4.1521993837127531E-10</v>
      </c>
      <c r="AF18" s="25">
        <f t="shared" si="18"/>
        <v>1.2182669334000001E-3</v>
      </c>
      <c r="AG18" s="25">
        <f t="shared" si="19"/>
        <v>4.329852076E-4</v>
      </c>
      <c r="AH18" s="25">
        <f t="shared" si="20"/>
        <v>2.9556540944431599E-5</v>
      </c>
      <c r="AI18" s="25">
        <f t="shared" si="21"/>
        <v>1.3398869171076168E-5</v>
      </c>
      <c r="AJ18" s="25">
        <f t="shared" si="22"/>
        <v>4.2955410115507768E-5</v>
      </c>
      <c r="AK18" s="25">
        <v>0</v>
      </c>
      <c r="AL18" s="25">
        <v>0</v>
      </c>
      <c r="AM18" s="25">
        <v>0</v>
      </c>
      <c r="AN18" s="34">
        <f>SUM(AK18:AM18)</f>
        <v>0</v>
      </c>
      <c r="AO18" s="33">
        <f t="shared" si="27"/>
        <v>3.459707450298091E-6</v>
      </c>
      <c r="AP18" s="25">
        <f t="shared" si="28"/>
        <v>4.3868185971099968E-10</v>
      </c>
      <c r="AQ18" s="25">
        <f t="shared" si="29"/>
        <v>1.2871048680000003E-3</v>
      </c>
      <c r="AR18" s="25">
        <f t="shared" si="30"/>
        <v>4.5745095200000008E-4</v>
      </c>
      <c r="AS18" s="25">
        <f t="shared" si="31"/>
        <v>3.1226627504900515E-5</v>
      </c>
      <c r="AT18" s="25">
        <f t="shared" si="32"/>
        <v>1.4155969650803021E-5</v>
      </c>
      <c r="AU18" s="25">
        <f t="shared" si="33"/>
        <v>4.5382597155703534E-5</v>
      </c>
      <c r="AV18" s="25">
        <v>0</v>
      </c>
      <c r="AW18" s="25">
        <v>0</v>
      </c>
      <c r="AX18" s="25">
        <v>0</v>
      </c>
      <c r="AY18" s="34">
        <f t="shared" si="37"/>
        <v>0</v>
      </c>
      <c r="AZ18" s="33">
        <f t="shared" si="38"/>
        <v>1.0313706403603322E-8</v>
      </c>
      <c r="BA18" s="25">
        <f t="shared" si="39"/>
        <v>1.3077510080385908E-12</v>
      </c>
      <c r="BB18" s="25">
        <f t="shared" si="40"/>
        <v>3.8369780999999996E-6</v>
      </c>
      <c r="BC18" s="25">
        <f t="shared" si="41"/>
        <v>1.3637033999999998E-6</v>
      </c>
      <c r="BD18" s="25">
        <f t="shared" si="42"/>
        <v>9.3089451257642847E-8</v>
      </c>
      <c r="BE18" s="25">
        <f t="shared" si="43"/>
        <v>4.2200248701410256E-8</v>
      </c>
      <c r="BF18" s="25">
        <f t="shared" si="44"/>
        <v>1.3528969995905312E-7</v>
      </c>
      <c r="BG18" s="25">
        <v>0</v>
      </c>
      <c r="BH18" s="25">
        <v>0</v>
      </c>
      <c r="BI18" s="25">
        <v>0</v>
      </c>
      <c r="BJ18" s="34">
        <f t="shared" si="48"/>
        <v>0</v>
      </c>
    </row>
    <row r="19" spans="1:62" ht="16" x14ac:dyDescent="0.2">
      <c r="A19" s="69" t="s">
        <v>70</v>
      </c>
      <c r="B19" s="1" t="s">
        <v>171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69" t="s">
        <v>70</v>
      </c>
      <c r="J19" s="25">
        <f t="shared" si="1"/>
        <v>0</v>
      </c>
      <c r="K19" s="25">
        <f t="shared" si="2"/>
        <v>0</v>
      </c>
      <c r="L19" s="25">
        <f t="shared" si="3"/>
        <v>0</v>
      </c>
      <c r="M19" s="27">
        <f t="shared" si="4"/>
        <v>0</v>
      </c>
      <c r="N19" s="35">
        <v>5.0000000000000001E-3</v>
      </c>
      <c r="O19" s="32">
        <f>P19*$C$51/$C$49</f>
        <v>6.142480211081794E-4</v>
      </c>
      <c r="P19" s="32">
        <f>3/1000</f>
        <v>3.0000000000000001E-3</v>
      </c>
      <c r="Q19" s="25">
        <v>0.04</v>
      </c>
      <c r="R19" s="32">
        <f t="shared" si="52"/>
        <v>2.0000000000000001E-4</v>
      </c>
      <c r="S19" s="33">
        <f t="shared" si="5"/>
        <v>0</v>
      </c>
      <c r="T19" s="25">
        <f t="shared" si="6"/>
        <v>0</v>
      </c>
      <c r="U19" s="25">
        <f t="shared" si="7"/>
        <v>0</v>
      </c>
      <c r="V19" s="25">
        <f t="shared" si="8"/>
        <v>0</v>
      </c>
      <c r="W19" s="25">
        <f t="shared" si="9"/>
        <v>0</v>
      </c>
      <c r="X19" s="25">
        <f t="shared" si="10"/>
        <v>0</v>
      </c>
      <c r="Y19" s="25">
        <f t="shared" si="11"/>
        <v>0</v>
      </c>
      <c r="Z19" s="25">
        <f t="shared" si="12"/>
        <v>0</v>
      </c>
      <c r="AA19" s="25">
        <f t="shared" si="13"/>
        <v>0</v>
      </c>
      <c r="AB19" s="25">
        <f t="shared" si="14"/>
        <v>0</v>
      </c>
      <c r="AC19" s="34">
        <f t="shared" si="15"/>
        <v>0</v>
      </c>
      <c r="AD19" s="33">
        <f t="shared" si="16"/>
        <v>0</v>
      </c>
      <c r="AE19" s="25">
        <f t="shared" si="17"/>
        <v>0</v>
      </c>
      <c r="AF19" s="25">
        <f t="shared" si="18"/>
        <v>0</v>
      </c>
      <c r="AG19" s="25">
        <f t="shared" si="19"/>
        <v>0</v>
      </c>
      <c r="AH19" s="25">
        <f t="shared" si="20"/>
        <v>0</v>
      </c>
      <c r="AI19" s="25">
        <f t="shared" si="21"/>
        <v>0</v>
      </c>
      <c r="AJ19" s="25">
        <f t="shared" si="22"/>
        <v>0</v>
      </c>
      <c r="AK19" s="25">
        <f t="shared" si="23"/>
        <v>0</v>
      </c>
      <c r="AL19" s="25">
        <f t="shared" si="24"/>
        <v>0</v>
      </c>
      <c r="AM19" s="25">
        <f t="shared" si="25"/>
        <v>0</v>
      </c>
      <c r="AN19" s="34">
        <f t="shared" si="26"/>
        <v>0</v>
      </c>
      <c r="AO19" s="33">
        <f t="shared" si="27"/>
        <v>0</v>
      </c>
      <c r="AP19" s="25">
        <f t="shared" si="28"/>
        <v>0</v>
      </c>
      <c r="AQ19" s="25">
        <f t="shared" si="29"/>
        <v>0</v>
      </c>
      <c r="AR19" s="25">
        <f t="shared" si="30"/>
        <v>0</v>
      </c>
      <c r="AS19" s="25">
        <f t="shared" si="31"/>
        <v>0</v>
      </c>
      <c r="AT19" s="25">
        <f t="shared" si="32"/>
        <v>0</v>
      </c>
      <c r="AU19" s="25">
        <f t="shared" si="33"/>
        <v>0</v>
      </c>
      <c r="AV19" s="25">
        <f t="shared" si="34"/>
        <v>0</v>
      </c>
      <c r="AW19" s="25">
        <f t="shared" si="35"/>
        <v>0</v>
      </c>
      <c r="AX19" s="25">
        <f t="shared" si="36"/>
        <v>0</v>
      </c>
      <c r="AY19" s="34">
        <f t="shared" si="37"/>
        <v>0</v>
      </c>
      <c r="AZ19" s="33">
        <f t="shared" si="38"/>
        <v>0</v>
      </c>
      <c r="BA19" s="25">
        <f t="shared" si="39"/>
        <v>0</v>
      </c>
      <c r="BB19" s="25">
        <f t="shared" si="40"/>
        <v>0</v>
      </c>
      <c r="BC19" s="25">
        <f t="shared" si="41"/>
        <v>0</v>
      </c>
      <c r="BD19" s="25">
        <f t="shared" si="42"/>
        <v>0</v>
      </c>
      <c r="BE19" s="25">
        <f t="shared" si="43"/>
        <v>0</v>
      </c>
      <c r="BF19" s="25">
        <f t="shared" si="44"/>
        <v>0</v>
      </c>
      <c r="BG19" s="25">
        <f t="shared" si="45"/>
        <v>0</v>
      </c>
      <c r="BH19" s="25">
        <f t="shared" si="46"/>
        <v>0</v>
      </c>
      <c r="BI19" s="25">
        <f t="shared" si="47"/>
        <v>0</v>
      </c>
      <c r="BJ19" s="34">
        <f t="shared" si="48"/>
        <v>0</v>
      </c>
    </row>
    <row r="20" spans="1:62" ht="16" x14ac:dyDescent="0.2">
      <c r="A20" s="69" t="s">
        <v>25</v>
      </c>
      <c r="B20" s="1" t="s">
        <v>171</v>
      </c>
      <c r="C20" s="1">
        <v>0</v>
      </c>
      <c r="D20" s="1">
        <v>615</v>
      </c>
      <c r="E20" s="1">
        <v>342</v>
      </c>
      <c r="F20" s="1">
        <v>4785</v>
      </c>
      <c r="G20" s="1">
        <v>24</v>
      </c>
      <c r="H20" s="1">
        <v>443</v>
      </c>
      <c r="I20" s="69" t="s">
        <v>25</v>
      </c>
      <c r="J20" s="25">
        <f t="shared" si="1"/>
        <v>2775.2999999999997</v>
      </c>
      <c r="K20" s="25">
        <f t="shared" si="2"/>
        <v>1394.61</v>
      </c>
      <c r="L20" s="25">
        <f t="shared" si="3"/>
        <v>1504.2</v>
      </c>
      <c r="M20" s="27">
        <f t="shared" si="4"/>
        <v>160.65</v>
      </c>
      <c r="N20" s="39">
        <v>19</v>
      </c>
      <c r="O20" s="38">
        <v>0</v>
      </c>
      <c r="P20" s="27"/>
      <c r="Q20" s="27">
        <v>1</v>
      </c>
      <c r="R20" s="27">
        <f t="shared" si="52"/>
        <v>19</v>
      </c>
      <c r="S20" s="33">
        <f t="shared" si="5"/>
        <v>2.0611816362007847E-6</v>
      </c>
      <c r="T20" s="25">
        <f t="shared" si="6"/>
        <v>2.613524427600995E-10</v>
      </c>
      <c r="U20" s="25">
        <f t="shared" si="7"/>
        <v>7.6681538999999986E-4</v>
      </c>
      <c r="V20" s="25">
        <f t="shared" si="8"/>
        <v>2.7253445999999995E-4</v>
      </c>
      <c r="W20" s="25">
        <f t="shared" si="9"/>
        <v>1.8603813212021043E-5</v>
      </c>
      <c r="X20" s="25">
        <f t="shared" si="10"/>
        <v>8.4336681947882106E-6</v>
      </c>
      <c r="Y20" s="25">
        <f t="shared" si="11"/>
        <v>2.7037481406809251E-5</v>
      </c>
      <c r="Z20" s="25">
        <f t="shared" si="12"/>
        <v>1.0848324401056761E-7</v>
      </c>
      <c r="AA20" s="25">
        <v>0</v>
      </c>
      <c r="AB20" s="25">
        <v>0</v>
      </c>
      <c r="AC20" s="34">
        <f t="shared" si="15"/>
        <v>1.0848324401056761E-7</v>
      </c>
      <c r="AD20" s="33">
        <f t="shared" si="16"/>
        <v>1.0357599256519931E-6</v>
      </c>
      <c r="AE20" s="25">
        <f t="shared" si="17"/>
        <v>1.3133165070358606E-10</v>
      </c>
      <c r="AF20" s="25">
        <f t="shared" si="18"/>
        <v>3.8533074299999998E-4</v>
      </c>
      <c r="AG20" s="25">
        <f t="shared" si="19"/>
        <v>1.3695070199999998E-4</v>
      </c>
      <c r="AH20" s="25">
        <f t="shared" si="20"/>
        <v>9.3485619369497591E-6</v>
      </c>
      <c r="AI20" s="25">
        <f t="shared" si="21"/>
        <v>4.237984362459405E-6</v>
      </c>
      <c r="AJ20" s="25">
        <f t="shared" si="22"/>
        <v>1.3586546299409164E-5</v>
      </c>
      <c r="AK20" s="25">
        <f t="shared" si="23"/>
        <v>5.4513680297473324E-8</v>
      </c>
      <c r="AL20" s="25">
        <v>0</v>
      </c>
      <c r="AM20" s="25">
        <v>0</v>
      </c>
      <c r="AN20" s="34">
        <f t="shared" si="26"/>
        <v>5.4513680297473324E-8</v>
      </c>
      <c r="AO20" s="33">
        <f t="shared" si="27"/>
        <v>1.1171510889537061E-6</v>
      </c>
      <c r="AP20" s="25">
        <f t="shared" si="28"/>
        <v>1.416518374228882E-10</v>
      </c>
      <c r="AQ20" s="25">
        <f t="shared" si="29"/>
        <v>4.1561045999999996E-4</v>
      </c>
      <c r="AR20" s="25">
        <f t="shared" si="30"/>
        <v>1.4771243999999999E-4</v>
      </c>
      <c r="AS20" s="25">
        <f t="shared" si="31"/>
        <v>1.0083182298678362E-5</v>
      </c>
      <c r="AT20" s="25">
        <f t="shared" si="32"/>
        <v>4.5710098723022478E-6</v>
      </c>
      <c r="AU20" s="25">
        <f t="shared" si="33"/>
        <v>1.465419217098061E-5</v>
      </c>
      <c r="AV20" s="25">
        <f t="shared" si="34"/>
        <v>5.8797425734405584E-8</v>
      </c>
      <c r="AW20" s="25">
        <v>0</v>
      </c>
      <c r="AX20" s="25">
        <v>0</v>
      </c>
      <c r="AY20" s="34">
        <f t="shared" si="37"/>
        <v>5.8797425734405584E-8</v>
      </c>
      <c r="AZ20" s="33">
        <f t="shared" si="38"/>
        <v>1.1931280577078374E-7</v>
      </c>
      <c r="BA20" s="25">
        <f t="shared" si="39"/>
        <v>1.51285518428314E-11</v>
      </c>
      <c r="BB20" s="25">
        <f t="shared" si="40"/>
        <v>4.4387595000000001E-5</v>
      </c>
      <c r="BC20" s="25">
        <f t="shared" si="41"/>
        <v>1.5775830000000001E-5</v>
      </c>
      <c r="BD20" s="25">
        <f t="shared" si="42"/>
        <v>1.07689352232594E-6</v>
      </c>
      <c r="BE20" s="25">
        <f t="shared" si="43"/>
        <v>4.8818823027879022E-7</v>
      </c>
      <c r="BF20" s="25">
        <f t="shared" si="44"/>
        <v>1.5650817526047302E-6</v>
      </c>
      <c r="BG20" s="25">
        <f t="shared" si="45"/>
        <v>6.2796213563570392E-9</v>
      </c>
      <c r="BH20" s="25">
        <v>0</v>
      </c>
      <c r="BI20" s="25">
        <v>0</v>
      </c>
      <c r="BJ20" s="34">
        <f t="shared" si="48"/>
        <v>6.2796213563570392E-9</v>
      </c>
    </row>
    <row r="21" spans="1:62" ht="16" x14ac:dyDescent="0.2">
      <c r="A21" s="69" t="s">
        <v>178</v>
      </c>
      <c r="B21" s="1" t="s">
        <v>171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69" t="s">
        <v>178</v>
      </c>
      <c r="J21" s="25">
        <f t="shared" si="1"/>
        <v>0</v>
      </c>
      <c r="K21" s="25">
        <f t="shared" si="2"/>
        <v>0</v>
      </c>
      <c r="L21" s="25">
        <f t="shared" si="3"/>
        <v>0</v>
      </c>
      <c r="M21" s="27">
        <f t="shared" si="4"/>
        <v>0</v>
      </c>
      <c r="N21" s="35">
        <f>(0.00007+0.00009+0.00008)/3</f>
        <v>7.9999999999999993E-5</v>
      </c>
      <c r="O21" s="32">
        <f>P21*$C$51/$C$49</f>
        <v>4.0949868073878633E-2</v>
      </c>
      <c r="P21" s="32">
        <v>0.2</v>
      </c>
      <c r="Q21" s="25">
        <v>0.2</v>
      </c>
      <c r="R21" s="32">
        <f t="shared" si="52"/>
        <v>1.5999999999999999E-5</v>
      </c>
      <c r="S21" s="33">
        <f t="shared" si="5"/>
        <v>0</v>
      </c>
      <c r="T21" s="25">
        <f t="shared" si="6"/>
        <v>0</v>
      </c>
      <c r="U21" s="25">
        <f t="shared" si="7"/>
        <v>0</v>
      </c>
      <c r="V21" s="25">
        <f t="shared" si="8"/>
        <v>0</v>
      </c>
      <c r="W21" s="25">
        <f t="shared" si="9"/>
        <v>0</v>
      </c>
      <c r="X21" s="25">
        <f t="shared" si="10"/>
        <v>0</v>
      </c>
      <c r="Y21" s="25">
        <f t="shared" si="11"/>
        <v>0</v>
      </c>
      <c r="Z21" s="25">
        <f t="shared" si="12"/>
        <v>0</v>
      </c>
      <c r="AA21" s="25">
        <f t="shared" si="13"/>
        <v>0</v>
      </c>
      <c r="AB21" s="25">
        <f t="shared" si="14"/>
        <v>0</v>
      </c>
      <c r="AC21" s="34">
        <f t="shared" si="15"/>
        <v>0</v>
      </c>
      <c r="AD21" s="33">
        <f t="shared" si="16"/>
        <v>0</v>
      </c>
      <c r="AE21" s="25">
        <f t="shared" si="17"/>
        <v>0</v>
      </c>
      <c r="AF21" s="25">
        <f t="shared" si="18"/>
        <v>0</v>
      </c>
      <c r="AG21" s="25">
        <f t="shared" si="19"/>
        <v>0</v>
      </c>
      <c r="AH21" s="25">
        <f t="shared" si="20"/>
        <v>0</v>
      </c>
      <c r="AI21" s="25">
        <f t="shared" si="21"/>
        <v>0</v>
      </c>
      <c r="AJ21" s="25">
        <f t="shared" si="22"/>
        <v>0</v>
      </c>
      <c r="AK21" s="25">
        <f t="shared" si="23"/>
        <v>0</v>
      </c>
      <c r="AL21" s="25">
        <f t="shared" si="24"/>
        <v>0</v>
      </c>
      <c r="AM21" s="25">
        <f t="shared" si="25"/>
        <v>0</v>
      </c>
      <c r="AN21" s="34">
        <f t="shared" si="26"/>
        <v>0</v>
      </c>
      <c r="AO21" s="33">
        <f t="shared" si="27"/>
        <v>0</v>
      </c>
      <c r="AP21" s="25">
        <f t="shared" si="28"/>
        <v>0</v>
      </c>
      <c r="AQ21" s="25">
        <f t="shared" si="29"/>
        <v>0</v>
      </c>
      <c r="AR21" s="25">
        <f t="shared" si="30"/>
        <v>0</v>
      </c>
      <c r="AS21" s="25">
        <f t="shared" si="31"/>
        <v>0</v>
      </c>
      <c r="AT21" s="25">
        <f t="shared" si="32"/>
        <v>0</v>
      </c>
      <c r="AU21" s="25">
        <f t="shared" si="33"/>
        <v>0</v>
      </c>
      <c r="AV21" s="25">
        <f t="shared" si="34"/>
        <v>0</v>
      </c>
      <c r="AW21" s="25">
        <f t="shared" si="35"/>
        <v>0</v>
      </c>
      <c r="AX21" s="25">
        <f t="shared" si="36"/>
        <v>0</v>
      </c>
      <c r="AY21" s="34">
        <f t="shared" si="37"/>
        <v>0</v>
      </c>
      <c r="AZ21" s="33">
        <f t="shared" si="38"/>
        <v>0</v>
      </c>
      <c r="BA21" s="25">
        <f t="shared" si="39"/>
        <v>0</v>
      </c>
      <c r="BB21" s="25">
        <f t="shared" si="40"/>
        <v>0</v>
      </c>
      <c r="BC21" s="25">
        <f t="shared" si="41"/>
        <v>0</v>
      </c>
      <c r="BD21" s="25">
        <f t="shared" si="42"/>
        <v>0</v>
      </c>
      <c r="BE21" s="25">
        <f t="shared" si="43"/>
        <v>0</v>
      </c>
      <c r="BF21" s="25">
        <f t="shared" si="44"/>
        <v>0</v>
      </c>
      <c r="BG21" s="25">
        <f t="shared" si="45"/>
        <v>0</v>
      </c>
      <c r="BH21" s="25">
        <f t="shared" si="46"/>
        <v>0</v>
      </c>
      <c r="BI21" s="25">
        <f t="shared" si="47"/>
        <v>0</v>
      </c>
      <c r="BJ21" s="34">
        <f t="shared" si="48"/>
        <v>0</v>
      </c>
    </row>
    <row r="22" spans="1:62" ht="16" x14ac:dyDescent="0.2">
      <c r="A22" s="69" t="s">
        <v>67</v>
      </c>
      <c r="B22" s="1" t="s">
        <v>171</v>
      </c>
      <c r="C22" s="1">
        <v>0</v>
      </c>
      <c r="D22" s="1">
        <v>0</v>
      </c>
      <c r="E22" s="1">
        <v>1.67</v>
      </c>
      <c r="F22" s="1">
        <v>0</v>
      </c>
      <c r="G22" s="1">
        <v>0</v>
      </c>
      <c r="H22" s="1">
        <v>0</v>
      </c>
      <c r="I22" s="69" t="s">
        <v>67</v>
      </c>
      <c r="J22" s="25">
        <f t="shared" si="1"/>
        <v>0</v>
      </c>
      <c r="K22" s="25">
        <f t="shared" si="2"/>
        <v>0</v>
      </c>
      <c r="L22" s="25">
        <f t="shared" si="3"/>
        <v>0</v>
      </c>
      <c r="M22" s="27">
        <f t="shared" si="4"/>
        <v>0.20039999999999999</v>
      </c>
      <c r="N22" s="26">
        <v>0.6</v>
      </c>
      <c r="O22" s="25">
        <v>0</v>
      </c>
      <c r="P22" s="25"/>
      <c r="Q22" s="25">
        <v>1</v>
      </c>
      <c r="R22" s="25">
        <f t="shared" si="52"/>
        <v>0.6</v>
      </c>
      <c r="S22" s="33">
        <f t="shared" si="5"/>
        <v>0</v>
      </c>
      <c r="T22" s="25">
        <f t="shared" si="6"/>
        <v>0</v>
      </c>
      <c r="U22" s="25">
        <f t="shared" si="7"/>
        <v>0</v>
      </c>
      <c r="V22" s="25">
        <f t="shared" si="8"/>
        <v>0</v>
      </c>
      <c r="W22" s="25">
        <f t="shared" si="9"/>
        <v>0</v>
      </c>
      <c r="X22" s="25">
        <f t="shared" si="10"/>
        <v>0</v>
      </c>
      <c r="Y22" s="25">
        <f t="shared" si="11"/>
        <v>0</v>
      </c>
      <c r="Z22" s="25">
        <f t="shared" si="12"/>
        <v>0</v>
      </c>
      <c r="AA22" s="25">
        <v>0</v>
      </c>
      <c r="AB22" s="25">
        <f t="shared" si="14"/>
        <v>0</v>
      </c>
      <c r="AC22" s="34">
        <f t="shared" si="15"/>
        <v>0</v>
      </c>
      <c r="AD22" s="33">
        <f t="shared" si="16"/>
        <v>0</v>
      </c>
      <c r="AE22" s="25">
        <f t="shared" si="17"/>
        <v>0</v>
      </c>
      <c r="AF22" s="25">
        <f t="shared" si="18"/>
        <v>0</v>
      </c>
      <c r="AG22" s="25">
        <f t="shared" si="19"/>
        <v>0</v>
      </c>
      <c r="AH22" s="25">
        <f t="shared" si="20"/>
        <v>0</v>
      </c>
      <c r="AI22" s="25">
        <f t="shared" si="21"/>
        <v>0</v>
      </c>
      <c r="AJ22" s="25">
        <f t="shared" si="22"/>
        <v>0</v>
      </c>
      <c r="AK22" s="25">
        <f t="shared" si="23"/>
        <v>0</v>
      </c>
      <c r="AL22" s="25">
        <v>0</v>
      </c>
      <c r="AM22" s="25">
        <f t="shared" si="25"/>
        <v>0</v>
      </c>
      <c r="AN22" s="34">
        <f t="shared" si="26"/>
        <v>0</v>
      </c>
      <c r="AO22" s="33">
        <f t="shared" si="27"/>
        <v>0</v>
      </c>
      <c r="AP22" s="25">
        <f t="shared" si="28"/>
        <v>0</v>
      </c>
      <c r="AQ22" s="25">
        <f t="shared" si="29"/>
        <v>0</v>
      </c>
      <c r="AR22" s="25">
        <f t="shared" si="30"/>
        <v>0</v>
      </c>
      <c r="AS22" s="25">
        <f t="shared" si="31"/>
        <v>0</v>
      </c>
      <c r="AT22" s="25">
        <f t="shared" si="32"/>
        <v>0</v>
      </c>
      <c r="AU22" s="25">
        <f t="shared" si="33"/>
        <v>0</v>
      </c>
      <c r="AV22" s="25">
        <f t="shared" si="34"/>
        <v>0</v>
      </c>
      <c r="AW22" s="25">
        <v>0</v>
      </c>
      <c r="AX22" s="25">
        <f t="shared" si="36"/>
        <v>0</v>
      </c>
      <c r="AY22" s="34">
        <f t="shared" si="37"/>
        <v>0</v>
      </c>
      <c r="AZ22" s="33">
        <f t="shared" si="38"/>
        <v>1.488346484685033E-10</v>
      </c>
      <c r="BA22" s="25">
        <f t="shared" si="39"/>
        <v>1.8871844315614147E-14</v>
      </c>
      <c r="BB22" s="25">
        <f t="shared" si="40"/>
        <v>5.5370519999999999E-8</v>
      </c>
      <c r="BC22" s="25">
        <f t="shared" si="41"/>
        <v>1.967928E-8</v>
      </c>
      <c r="BD22" s="25">
        <f t="shared" si="42"/>
        <v>1.3433517701470174E-9</v>
      </c>
      <c r="BE22" s="25">
        <f t="shared" si="43"/>
        <v>6.0898176998362619E-10</v>
      </c>
      <c r="BF22" s="25">
        <f t="shared" si="44"/>
        <v>1.9523335401306437E-9</v>
      </c>
      <c r="BG22" s="25">
        <f t="shared" si="45"/>
        <v>2.4805774744750553E-10</v>
      </c>
      <c r="BH22" s="25">
        <v>0</v>
      </c>
      <c r="BI22" s="25">
        <f t="shared" si="47"/>
        <v>3.253889233551073E-9</v>
      </c>
      <c r="BJ22" s="34">
        <f t="shared" si="48"/>
        <v>3.5019469809985787E-9</v>
      </c>
    </row>
    <row r="23" spans="1:62" ht="16" x14ac:dyDescent="0.2">
      <c r="A23" s="69" t="s">
        <v>64</v>
      </c>
      <c r="B23" s="1" t="s">
        <v>171</v>
      </c>
      <c r="C23" s="1">
        <v>0</v>
      </c>
      <c r="D23" s="1">
        <v>0</v>
      </c>
      <c r="E23" s="1">
        <v>4.29</v>
      </c>
      <c r="F23" s="1">
        <v>0.38</v>
      </c>
      <c r="G23" s="1">
        <v>0</v>
      </c>
      <c r="H23" s="1">
        <v>0</v>
      </c>
      <c r="I23" s="69" t="s">
        <v>64</v>
      </c>
      <c r="J23" s="25">
        <f t="shared" si="1"/>
        <v>0.22039999999999998</v>
      </c>
      <c r="K23" s="25">
        <f t="shared" si="2"/>
        <v>0.11019999999999999</v>
      </c>
      <c r="L23" s="25">
        <f t="shared" si="3"/>
        <v>0.11399999999999999</v>
      </c>
      <c r="M23" s="27">
        <f t="shared" si="4"/>
        <v>0.51480000000000004</v>
      </c>
      <c r="N23" s="26">
        <v>3</v>
      </c>
      <c r="O23" s="36">
        <v>0</v>
      </c>
      <c r="P23" s="25"/>
      <c r="Q23" s="25">
        <v>0</v>
      </c>
      <c r="R23" s="25">
        <f t="shared" si="52"/>
        <v>0</v>
      </c>
      <c r="S23" s="33">
        <f t="shared" si="5"/>
        <v>1.6368840580068931E-10</v>
      </c>
      <c r="T23" s="25">
        <f t="shared" si="6"/>
        <v>2.0755261911982825E-14</v>
      </c>
      <c r="U23" s="25">
        <f t="shared" si="7"/>
        <v>6.0896519999999998E-8</v>
      </c>
      <c r="V23" s="25">
        <f t="shared" si="8"/>
        <v>2.1643280000000001E-8</v>
      </c>
      <c r="W23" s="25">
        <f t="shared" si="9"/>
        <v>1.4774188130758615E-9</v>
      </c>
      <c r="X23" s="25">
        <f t="shared" si="10"/>
        <v>6.6975839373448713E-10</v>
      </c>
      <c r="Y23" s="25">
        <f t="shared" si="11"/>
        <v>2.1471772068103488E-9</v>
      </c>
      <c r="Z23" s="25">
        <f t="shared" si="12"/>
        <v>5.4562801933563101E-11</v>
      </c>
      <c r="AA23" s="25">
        <v>0</v>
      </c>
      <c r="AB23" s="25">
        <v>0</v>
      </c>
      <c r="AC23" s="34">
        <f t="shared" si="15"/>
        <v>5.4562801933563101E-11</v>
      </c>
      <c r="AD23" s="33">
        <f t="shared" si="16"/>
        <v>8.1844202900344655E-11</v>
      </c>
      <c r="AE23" s="25">
        <f t="shared" si="17"/>
        <v>1.0377630955991412E-14</v>
      </c>
      <c r="AF23" s="25">
        <f t="shared" si="18"/>
        <v>3.0448259999999999E-8</v>
      </c>
      <c r="AG23" s="25">
        <f t="shared" si="19"/>
        <v>1.082164E-8</v>
      </c>
      <c r="AH23" s="25">
        <f t="shared" si="20"/>
        <v>7.3870940653793076E-10</v>
      </c>
      <c r="AI23" s="25">
        <f t="shared" si="21"/>
        <v>3.3487919686724357E-10</v>
      </c>
      <c r="AJ23" s="25">
        <f t="shared" si="22"/>
        <v>1.0735886034051744E-9</v>
      </c>
      <c r="AK23" s="25">
        <f t="shared" si="23"/>
        <v>2.728140096678155E-11</v>
      </c>
      <c r="AL23" s="25">
        <v>0</v>
      </c>
      <c r="AM23" s="25">
        <v>0</v>
      </c>
      <c r="AN23" s="34">
        <f t="shared" si="26"/>
        <v>2.728140096678155E-11</v>
      </c>
      <c r="AO23" s="33">
        <f t="shared" si="27"/>
        <v>8.4666416793459977E-11</v>
      </c>
      <c r="AP23" s="25">
        <f t="shared" si="28"/>
        <v>1.073548029930146E-14</v>
      </c>
      <c r="AQ23" s="25">
        <f t="shared" si="29"/>
        <v>3.1498199999999999E-8</v>
      </c>
      <c r="AR23" s="25">
        <f t="shared" si="30"/>
        <v>1.1194799999999999E-8</v>
      </c>
      <c r="AS23" s="25">
        <f t="shared" si="31"/>
        <v>7.6418214469441113E-10</v>
      </c>
      <c r="AT23" s="25">
        <f t="shared" si="32"/>
        <v>3.4642675537990708E-10</v>
      </c>
      <c r="AU23" s="25">
        <f t="shared" si="33"/>
        <v>1.1106089000743183E-9</v>
      </c>
      <c r="AV23" s="25">
        <f t="shared" si="34"/>
        <v>2.8222138931153326E-11</v>
      </c>
      <c r="AW23" s="25">
        <v>0</v>
      </c>
      <c r="AX23" s="25">
        <v>0</v>
      </c>
      <c r="AY23" s="34">
        <f t="shared" si="37"/>
        <v>2.8222138931153326E-11</v>
      </c>
      <c r="AZ23" s="33">
        <f t="shared" si="38"/>
        <v>3.8233571373046665E-10</v>
      </c>
      <c r="BA23" s="25">
        <f t="shared" si="39"/>
        <v>4.8479168930529757E-14</v>
      </c>
      <c r="BB23" s="25">
        <f t="shared" si="40"/>
        <v>1.4223924E-7</v>
      </c>
      <c r="BC23" s="25">
        <f t="shared" si="41"/>
        <v>5.0553360000000005E-8</v>
      </c>
      <c r="BD23" s="25">
        <f t="shared" si="42"/>
        <v>3.4508856849884463E-9</v>
      </c>
      <c r="BE23" s="25">
        <f t="shared" si="43"/>
        <v>1.5643902953471594E-9</v>
      </c>
      <c r="BF23" s="25">
        <f t="shared" si="44"/>
        <v>5.0152759803356057E-9</v>
      </c>
      <c r="BG23" s="25">
        <f t="shared" si="45"/>
        <v>1.2744523791015556E-10</v>
      </c>
      <c r="BH23" s="25">
        <v>0</v>
      </c>
      <c r="BI23" s="25">
        <v>0</v>
      </c>
      <c r="BJ23" s="34">
        <f t="shared" si="48"/>
        <v>1.2744523791015556E-10</v>
      </c>
    </row>
    <row r="24" spans="1:62" ht="16" x14ac:dyDescent="0.2">
      <c r="A24" s="69" t="s">
        <v>61</v>
      </c>
      <c r="B24" s="1" t="s">
        <v>171</v>
      </c>
      <c r="C24" s="1">
        <v>0</v>
      </c>
      <c r="D24" s="1">
        <v>0</v>
      </c>
      <c r="E24" s="1">
        <v>3.38</v>
      </c>
      <c r="F24" s="1">
        <v>0.90900000000000003</v>
      </c>
      <c r="G24" s="1">
        <v>0</v>
      </c>
      <c r="H24" s="1">
        <v>0</v>
      </c>
      <c r="I24" s="69" t="s">
        <v>61</v>
      </c>
      <c r="J24" s="25">
        <f t="shared" si="1"/>
        <v>0.52722000000000002</v>
      </c>
      <c r="K24" s="25">
        <f t="shared" si="2"/>
        <v>0.26361000000000001</v>
      </c>
      <c r="L24" s="25">
        <f t="shared" si="3"/>
        <v>0.2727</v>
      </c>
      <c r="M24" s="27">
        <f t="shared" si="4"/>
        <v>0.40559999999999996</v>
      </c>
      <c r="N24" s="26">
        <v>5.0400000000000002E-3</v>
      </c>
      <c r="O24" s="25">
        <f>P24*$C$51/$C$49</f>
        <v>2.0474934036939316E-5</v>
      </c>
      <c r="P24" s="25">
        <v>1E-4</v>
      </c>
      <c r="Q24" s="25">
        <v>2.5999999999999999E-2</v>
      </c>
      <c r="R24" s="25">
        <f t="shared" si="52"/>
        <v>1.3103999999999999E-4</v>
      </c>
      <c r="S24" s="33">
        <f t="shared" si="5"/>
        <v>3.9155989703375411E-10</v>
      </c>
      <c r="T24" s="25">
        <f t="shared" si="6"/>
        <v>4.9648771257874713E-14</v>
      </c>
      <c r="U24" s="25">
        <f t="shared" si="7"/>
        <v>1.4567088599999999E-7</v>
      </c>
      <c r="V24" s="25">
        <f t="shared" si="8"/>
        <v>5.1773004000000004E-8</v>
      </c>
      <c r="W24" s="25">
        <f t="shared" si="9"/>
        <v>3.5341413186472578E-9</v>
      </c>
      <c r="X24" s="25">
        <f t="shared" si="10"/>
        <v>1.602132578696444E-9</v>
      </c>
      <c r="Y24" s="25">
        <f t="shared" si="11"/>
        <v>5.1362738973437015E-9</v>
      </c>
      <c r="Z24" s="25">
        <f t="shared" si="12"/>
        <v>7.7690455760665496E-8</v>
      </c>
      <c r="AA24" s="25">
        <f t="shared" si="13"/>
        <v>2.4248562250946537E-9</v>
      </c>
      <c r="AB24" s="25">
        <f t="shared" si="14"/>
        <v>3.9196229375333501E-5</v>
      </c>
      <c r="AC24" s="34">
        <f t="shared" si="15"/>
        <v>3.9276344687319263E-5</v>
      </c>
      <c r="AD24" s="33">
        <f t="shared" si="16"/>
        <v>1.9577994851687706E-10</v>
      </c>
      <c r="AE24" s="25">
        <f t="shared" si="17"/>
        <v>2.4824385628937356E-14</v>
      </c>
      <c r="AF24" s="25">
        <f t="shared" si="18"/>
        <v>7.2835442999999996E-8</v>
      </c>
      <c r="AG24" s="25">
        <f t="shared" si="19"/>
        <v>2.5886502000000002E-8</v>
      </c>
      <c r="AH24" s="25">
        <f t="shared" si="20"/>
        <v>1.7670706593236289E-9</v>
      </c>
      <c r="AI24" s="25">
        <f t="shared" si="21"/>
        <v>8.0106628934822202E-10</v>
      </c>
      <c r="AJ24" s="25">
        <f t="shared" si="22"/>
        <v>2.5681369486718507E-9</v>
      </c>
      <c r="AK24" s="25">
        <f t="shared" si="23"/>
        <v>3.8845227880332748E-8</v>
      </c>
      <c r="AL24" s="25">
        <f t="shared" si="24"/>
        <v>1.2124281125473269E-9</v>
      </c>
      <c r="AM24" s="25">
        <f t="shared" si="25"/>
        <v>1.9598114687666751E-5</v>
      </c>
      <c r="AN24" s="34">
        <f t="shared" si="26"/>
        <v>1.9638172343659632E-5</v>
      </c>
      <c r="AO24" s="33">
        <f t="shared" si="27"/>
        <v>2.0253098122435557E-10</v>
      </c>
      <c r="AP24" s="25">
        <f t="shared" si="28"/>
        <v>2.5680398926486915E-14</v>
      </c>
      <c r="AQ24" s="25">
        <f t="shared" si="29"/>
        <v>7.5347010000000003E-8</v>
      </c>
      <c r="AR24" s="25">
        <f t="shared" si="30"/>
        <v>2.6779140000000003E-8</v>
      </c>
      <c r="AS24" s="25">
        <f t="shared" si="31"/>
        <v>1.8280041303347888E-9</v>
      </c>
      <c r="AT24" s="25">
        <f t="shared" si="32"/>
        <v>8.2868926484298839E-10</v>
      </c>
      <c r="AU24" s="25">
        <f t="shared" si="33"/>
        <v>2.656693395177777E-9</v>
      </c>
      <c r="AV24" s="25">
        <f t="shared" si="34"/>
        <v>4.0184718496895945E-8</v>
      </c>
      <c r="AW24" s="25">
        <f t="shared" si="35"/>
        <v>1.2542359784972346E-9</v>
      </c>
      <c r="AX24" s="25">
        <f t="shared" si="36"/>
        <v>2.0273911745862159E-5</v>
      </c>
      <c r="AY24" s="34">
        <f t="shared" si="37"/>
        <v>2.0315350700337553E-5</v>
      </c>
      <c r="AZ24" s="33">
        <f t="shared" si="38"/>
        <v>3.0123419869673124E-10</v>
      </c>
      <c r="BA24" s="25">
        <f t="shared" si="39"/>
        <v>3.8195708854356776E-14</v>
      </c>
      <c r="BB24" s="25">
        <f t="shared" si="40"/>
        <v>1.1206727999999998E-7</v>
      </c>
      <c r="BC24" s="25">
        <f t="shared" si="41"/>
        <v>3.9829919999999994E-8</v>
      </c>
      <c r="BD24" s="25">
        <f t="shared" si="42"/>
        <v>2.7188796305969566E-9</v>
      </c>
      <c r="BE24" s="25">
        <f t="shared" si="43"/>
        <v>1.2325499296674589E-9</v>
      </c>
      <c r="BF24" s="25">
        <f t="shared" si="44"/>
        <v>3.9514295602644153E-9</v>
      </c>
      <c r="BG24" s="25">
        <f t="shared" si="45"/>
        <v>5.9768690217605409E-8</v>
      </c>
      <c r="BH24" s="25">
        <f t="shared" si="46"/>
        <v>1.8654862958506722E-9</v>
      </c>
      <c r="BI24" s="25">
        <f t="shared" si="47"/>
        <v>3.0154376986144809E-5</v>
      </c>
      <c r="BJ24" s="34">
        <f t="shared" si="48"/>
        <v>3.0216011162658265E-5</v>
      </c>
    </row>
    <row r="25" spans="1:62" ht="16" x14ac:dyDescent="0.2">
      <c r="A25" s="69" t="s">
        <v>58</v>
      </c>
      <c r="B25" s="1" t="s">
        <v>171</v>
      </c>
      <c r="C25" s="1">
        <v>0</v>
      </c>
      <c r="D25" s="1">
        <v>21.1</v>
      </c>
      <c r="E25" s="1">
        <v>87.1</v>
      </c>
      <c r="F25" s="1">
        <v>57.4</v>
      </c>
      <c r="G25" s="1">
        <v>0</v>
      </c>
      <c r="H25" s="1">
        <v>0</v>
      </c>
      <c r="I25" s="69" t="s">
        <v>58</v>
      </c>
      <c r="J25" s="25">
        <f t="shared" si="1"/>
        <v>33.291999999999994</v>
      </c>
      <c r="K25" s="25">
        <f t="shared" si="2"/>
        <v>16.645999999999997</v>
      </c>
      <c r="L25" s="25">
        <f t="shared" si="3"/>
        <v>19.329999999999998</v>
      </c>
      <c r="M25" s="27">
        <f t="shared" si="4"/>
        <v>10.451999999999998</v>
      </c>
      <c r="N25" s="26">
        <v>0.3</v>
      </c>
      <c r="O25" s="25">
        <v>0</v>
      </c>
      <c r="P25" s="25"/>
      <c r="Q25" s="25">
        <v>1</v>
      </c>
      <c r="R25" s="25">
        <f t="shared" si="52"/>
        <v>0.3</v>
      </c>
      <c r="S25" s="33">
        <f t="shared" si="5"/>
        <v>2.4725564455156743E-8</v>
      </c>
      <c r="T25" s="25">
        <f t="shared" si="6"/>
        <v>3.1351369309153E-12</v>
      </c>
      <c r="U25" s="25">
        <f t="shared" si="7"/>
        <v>9.1985795999999992E-6</v>
      </c>
      <c r="V25" s="25">
        <f t="shared" si="8"/>
        <v>3.2692743999999997E-6</v>
      </c>
      <c r="W25" s="25">
        <f t="shared" si="9"/>
        <v>2.2316799965935379E-7</v>
      </c>
      <c r="X25" s="25">
        <f t="shared" si="10"/>
        <v>1.0116876789568304E-7</v>
      </c>
      <c r="Y25" s="25">
        <f t="shared" si="11"/>
        <v>3.2433676755503684E-7</v>
      </c>
      <c r="Z25" s="25">
        <f t="shared" si="12"/>
        <v>8.2418548183855813E-8</v>
      </c>
      <c r="AA25" s="25">
        <v>0</v>
      </c>
      <c r="AB25" s="25">
        <f t="shared" si="14"/>
        <v>1.0811225585167896E-6</v>
      </c>
      <c r="AC25" s="34">
        <f t="shared" si="15"/>
        <v>1.1635411067006455E-6</v>
      </c>
      <c r="AD25" s="33">
        <f t="shared" si="16"/>
        <v>1.2362782227578372E-8</v>
      </c>
      <c r="AE25" s="25">
        <f t="shared" si="17"/>
        <v>1.56756846545765E-12</v>
      </c>
      <c r="AF25" s="25">
        <f t="shared" si="18"/>
        <v>4.5992897999999996E-6</v>
      </c>
      <c r="AG25" s="25">
        <f t="shared" si="19"/>
        <v>1.6346371999999998E-6</v>
      </c>
      <c r="AH25" s="25">
        <f t="shared" si="20"/>
        <v>1.115839998296769E-7</v>
      </c>
      <c r="AI25" s="25">
        <f t="shared" si="21"/>
        <v>5.0584383947841519E-8</v>
      </c>
      <c r="AJ25" s="25">
        <f t="shared" si="22"/>
        <v>1.6216838377751842E-7</v>
      </c>
      <c r="AK25" s="25">
        <f t="shared" si="23"/>
        <v>4.1209274091927907E-8</v>
      </c>
      <c r="AL25" s="25">
        <v>0</v>
      </c>
      <c r="AM25" s="25">
        <f t="shared" si="25"/>
        <v>5.4056127925839481E-7</v>
      </c>
      <c r="AN25" s="34">
        <f t="shared" si="26"/>
        <v>5.8177055335032276E-7</v>
      </c>
      <c r="AO25" s="33">
        <f t="shared" si="27"/>
        <v>1.4356156461557731E-8</v>
      </c>
      <c r="AP25" s="25">
        <f t="shared" si="28"/>
        <v>1.8203231068903267E-12</v>
      </c>
      <c r="AQ25" s="25">
        <f t="shared" si="29"/>
        <v>5.340879E-6</v>
      </c>
      <c r="AR25" s="25">
        <f t="shared" si="30"/>
        <v>1.8982060000000001E-6</v>
      </c>
      <c r="AS25" s="25">
        <f t="shared" si="31"/>
        <v>1.2957579699072777E-7</v>
      </c>
      <c r="AT25" s="25">
        <f t="shared" si="32"/>
        <v>5.8740606855207057E-8</v>
      </c>
      <c r="AU25" s="25">
        <f t="shared" si="33"/>
        <v>1.8831640384593483E-7</v>
      </c>
      <c r="AV25" s="25">
        <f t="shared" si="34"/>
        <v>4.7853854871859105E-8</v>
      </c>
      <c r="AW25" s="25">
        <v>0</v>
      </c>
      <c r="AX25" s="25">
        <f t="shared" si="36"/>
        <v>6.2772134615311611E-7</v>
      </c>
      <c r="AY25" s="34">
        <f t="shared" si="37"/>
        <v>6.7557520102497516E-7</v>
      </c>
      <c r="AZ25" s="33">
        <f t="shared" si="38"/>
        <v>7.7625735818003832E-9</v>
      </c>
      <c r="BA25" s="25">
        <f t="shared" si="39"/>
        <v>9.8427403586227075E-13</v>
      </c>
      <c r="BB25" s="25">
        <f t="shared" si="40"/>
        <v>2.8878875999999994E-6</v>
      </c>
      <c r="BC25" s="25">
        <f t="shared" si="41"/>
        <v>1.0263863999999998E-6</v>
      </c>
      <c r="BD25" s="25">
        <f t="shared" si="42"/>
        <v>7.0063436634613896E-8</v>
      </c>
      <c r="BE25" s="25">
        <f t="shared" si="43"/>
        <v>3.1761863572199895E-8</v>
      </c>
      <c r="BF25" s="25">
        <f t="shared" si="44"/>
        <v>1.0182530020681379E-7</v>
      </c>
      <c r="BG25" s="25">
        <f t="shared" si="45"/>
        <v>2.5875245272667946E-8</v>
      </c>
      <c r="BH25" s="25">
        <v>0</v>
      </c>
      <c r="BI25" s="25">
        <f t="shared" si="47"/>
        <v>3.3941766735604597E-7</v>
      </c>
      <c r="BJ25" s="34">
        <f t="shared" si="48"/>
        <v>3.652929126287139E-7</v>
      </c>
    </row>
    <row r="26" spans="1:62" ht="16" x14ac:dyDescent="0.2">
      <c r="A26" s="69" t="s">
        <v>28</v>
      </c>
      <c r="B26" s="1" t="s">
        <v>171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69" t="s">
        <v>28</v>
      </c>
      <c r="J26" s="25">
        <f t="shared" si="1"/>
        <v>0</v>
      </c>
      <c r="K26" s="25">
        <f t="shared" si="2"/>
        <v>0</v>
      </c>
      <c r="L26" s="25">
        <f t="shared" si="3"/>
        <v>0</v>
      </c>
      <c r="M26" s="27">
        <f t="shared" si="4"/>
        <v>0</v>
      </c>
      <c r="N26" s="35">
        <v>5.0000000000000001E-4</v>
      </c>
      <c r="O26" s="32">
        <f t="shared" ref="O26:O27" si="53">P26*$C$51/$C$49</f>
        <v>2.0474934036939315E-6</v>
      </c>
      <c r="P26" s="32">
        <v>1.0000000000000001E-5</v>
      </c>
      <c r="Q26" s="25">
        <v>0.05</v>
      </c>
      <c r="R26" s="32">
        <f t="shared" si="52"/>
        <v>2.5000000000000001E-5</v>
      </c>
      <c r="S26" s="33">
        <f t="shared" si="5"/>
        <v>0</v>
      </c>
      <c r="T26" s="25">
        <f t="shared" si="6"/>
        <v>0</v>
      </c>
      <c r="U26" s="25">
        <f t="shared" si="7"/>
        <v>0</v>
      </c>
      <c r="V26" s="25">
        <f t="shared" si="8"/>
        <v>0</v>
      </c>
      <c r="W26" s="25">
        <f t="shared" si="9"/>
        <v>0</v>
      </c>
      <c r="X26" s="25">
        <f t="shared" si="10"/>
        <v>0</v>
      </c>
      <c r="Y26" s="25">
        <f t="shared" si="11"/>
        <v>0</v>
      </c>
      <c r="Z26" s="25">
        <f t="shared" si="12"/>
        <v>0</v>
      </c>
      <c r="AA26" s="25">
        <v>0</v>
      </c>
      <c r="AB26" s="25">
        <f t="shared" si="14"/>
        <v>0</v>
      </c>
      <c r="AC26" s="34">
        <f t="shared" si="15"/>
        <v>0</v>
      </c>
      <c r="AD26" s="33">
        <f t="shared" si="16"/>
        <v>0</v>
      </c>
      <c r="AE26" s="25">
        <f t="shared" si="17"/>
        <v>0</v>
      </c>
      <c r="AF26" s="25">
        <f t="shared" si="18"/>
        <v>0</v>
      </c>
      <c r="AG26" s="25">
        <f t="shared" si="19"/>
        <v>0</v>
      </c>
      <c r="AH26" s="25">
        <f t="shared" si="20"/>
        <v>0</v>
      </c>
      <c r="AI26" s="25">
        <f t="shared" si="21"/>
        <v>0</v>
      </c>
      <c r="AJ26" s="25">
        <f t="shared" si="22"/>
        <v>0</v>
      </c>
      <c r="AK26" s="25">
        <f t="shared" si="23"/>
        <v>0</v>
      </c>
      <c r="AL26" s="25">
        <v>0</v>
      </c>
      <c r="AM26" s="25">
        <f t="shared" si="25"/>
        <v>0</v>
      </c>
      <c r="AN26" s="34">
        <f t="shared" si="26"/>
        <v>0</v>
      </c>
      <c r="AO26" s="33">
        <f t="shared" si="27"/>
        <v>0</v>
      </c>
      <c r="AP26" s="25">
        <f t="shared" si="28"/>
        <v>0</v>
      </c>
      <c r="AQ26" s="25">
        <f t="shared" si="29"/>
        <v>0</v>
      </c>
      <c r="AR26" s="25">
        <f t="shared" si="30"/>
        <v>0</v>
      </c>
      <c r="AS26" s="25">
        <f t="shared" si="31"/>
        <v>0</v>
      </c>
      <c r="AT26" s="25">
        <f t="shared" si="32"/>
        <v>0</v>
      </c>
      <c r="AU26" s="25">
        <f t="shared" si="33"/>
        <v>0</v>
      </c>
      <c r="AV26" s="25">
        <f t="shared" si="34"/>
        <v>0</v>
      </c>
      <c r="AW26" s="25">
        <v>0</v>
      </c>
      <c r="AX26" s="25">
        <f t="shared" si="36"/>
        <v>0</v>
      </c>
      <c r="AY26" s="34">
        <f t="shared" si="37"/>
        <v>0</v>
      </c>
      <c r="AZ26" s="33">
        <f t="shared" si="38"/>
        <v>0</v>
      </c>
      <c r="BA26" s="25">
        <f t="shared" si="39"/>
        <v>0</v>
      </c>
      <c r="BB26" s="25">
        <f t="shared" si="40"/>
        <v>0</v>
      </c>
      <c r="BC26" s="25">
        <f t="shared" si="41"/>
        <v>0</v>
      </c>
      <c r="BD26" s="25">
        <f t="shared" si="42"/>
        <v>0</v>
      </c>
      <c r="BE26" s="25">
        <f t="shared" si="43"/>
        <v>0</v>
      </c>
      <c r="BF26" s="25">
        <f t="shared" si="44"/>
        <v>0</v>
      </c>
      <c r="BG26" s="25">
        <f t="shared" si="45"/>
        <v>0</v>
      </c>
      <c r="BH26" s="25">
        <v>0</v>
      </c>
      <c r="BI26" s="25">
        <f t="shared" si="47"/>
        <v>0</v>
      </c>
      <c r="BJ26" s="34">
        <f t="shared" si="48"/>
        <v>0</v>
      </c>
    </row>
    <row r="27" spans="1:62" ht="16" x14ac:dyDescent="0.2">
      <c r="A27" s="69" t="s">
        <v>22</v>
      </c>
      <c r="B27" s="1" t="s">
        <v>171</v>
      </c>
      <c r="C27" s="1">
        <v>0</v>
      </c>
      <c r="D27" s="1">
        <v>0</v>
      </c>
      <c r="E27" s="1">
        <v>3.07</v>
      </c>
      <c r="F27" s="1">
        <v>0.996</v>
      </c>
      <c r="G27" s="1">
        <v>0</v>
      </c>
      <c r="H27" s="1">
        <v>0</v>
      </c>
      <c r="I27" s="69" t="s">
        <v>22</v>
      </c>
      <c r="J27" s="25">
        <f t="shared" si="1"/>
        <v>0.57767999999999997</v>
      </c>
      <c r="K27" s="25">
        <f t="shared" si="2"/>
        <v>0.28883999999999999</v>
      </c>
      <c r="L27" s="25">
        <f t="shared" si="3"/>
        <v>0.29880000000000001</v>
      </c>
      <c r="M27" s="27">
        <f t="shared" si="4"/>
        <v>0.36839999999999995</v>
      </c>
      <c r="N27" s="26">
        <v>3.0000000000000001E-3</v>
      </c>
      <c r="O27" s="25">
        <f t="shared" si="53"/>
        <v>2.0474934036939316E-5</v>
      </c>
      <c r="P27" s="25">
        <v>1E-4</v>
      </c>
      <c r="Q27" s="25">
        <v>2.5000000000000001E-2</v>
      </c>
      <c r="R27" s="25">
        <f>N27*Q27</f>
        <v>7.5000000000000007E-5</v>
      </c>
      <c r="S27" s="33">
        <f t="shared" si="5"/>
        <v>4.2903592678285938E-10</v>
      </c>
      <c r="T27" s="25">
        <f t="shared" si="6"/>
        <v>5.4400633853512878E-14</v>
      </c>
      <c r="U27" s="25">
        <f t="shared" si="7"/>
        <v>1.5961298400000001E-7</v>
      </c>
      <c r="V27" s="25">
        <f t="shared" si="8"/>
        <v>5.6728176E-8</v>
      </c>
      <c r="W27" s="25">
        <f t="shared" si="9"/>
        <v>3.8723924679567313E-9</v>
      </c>
      <c r="X27" s="25">
        <f t="shared" si="10"/>
        <v>1.7554720004198659E-9</v>
      </c>
      <c r="Y27" s="25">
        <f t="shared" si="11"/>
        <v>5.6278644683765971E-9</v>
      </c>
      <c r="Z27" s="25">
        <f t="shared" si="12"/>
        <v>1.4301197559428647E-7</v>
      </c>
      <c r="AA27" s="25">
        <f t="shared" si="13"/>
        <v>2.6569381740311055E-9</v>
      </c>
      <c r="AB27" s="25">
        <f t="shared" si="14"/>
        <v>7.5038192911687949E-5</v>
      </c>
      <c r="AC27" s="34">
        <f t="shared" si="15"/>
        <v>7.5183861825456271E-5</v>
      </c>
      <c r="AD27" s="33">
        <f t="shared" si="16"/>
        <v>2.1451796339142969E-10</v>
      </c>
      <c r="AE27" s="25">
        <f t="shared" si="17"/>
        <v>2.7200316926756439E-14</v>
      </c>
      <c r="AF27" s="25">
        <f t="shared" si="18"/>
        <v>7.9806492000000005E-8</v>
      </c>
      <c r="AG27" s="25">
        <f t="shared" si="19"/>
        <v>2.8364088E-8</v>
      </c>
      <c r="AH27" s="25">
        <f t="shared" si="20"/>
        <v>1.9361962339783656E-9</v>
      </c>
      <c r="AI27" s="25">
        <f t="shared" si="21"/>
        <v>8.7773600020993294E-10</v>
      </c>
      <c r="AJ27" s="25">
        <f t="shared" si="22"/>
        <v>2.8139322341882986E-9</v>
      </c>
      <c r="AK27" s="25">
        <f t="shared" si="23"/>
        <v>7.1505987797143234E-8</v>
      </c>
      <c r="AL27" s="25">
        <f t="shared" si="24"/>
        <v>1.3284690870155528E-9</v>
      </c>
      <c r="AM27" s="25">
        <f t="shared" si="25"/>
        <v>3.7519096455843974E-5</v>
      </c>
      <c r="AN27" s="34">
        <f t="shared" si="26"/>
        <v>3.7591930912728135E-5</v>
      </c>
      <c r="AO27" s="33">
        <f t="shared" si="27"/>
        <v>2.2191513454285826E-10</v>
      </c>
      <c r="AP27" s="25">
        <f t="shared" si="28"/>
        <v>2.8138258889748038E-14</v>
      </c>
      <c r="AQ27" s="25">
        <f t="shared" si="29"/>
        <v>8.2558439999999998E-8</v>
      </c>
      <c r="AR27" s="25">
        <f t="shared" si="30"/>
        <v>2.934216E-8</v>
      </c>
      <c r="AS27" s="25">
        <f t="shared" si="31"/>
        <v>2.0029616213569303E-9</v>
      </c>
      <c r="AT27" s="25">
        <f t="shared" si="32"/>
        <v>9.0800275883786186E-10</v>
      </c>
      <c r="AU27" s="25">
        <f t="shared" si="33"/>
        <v>2.9109643801947921E-9</v>
      </c>
      <c r="AV27" s="25">
        <f t="shared" si="34"/>
        <v>7.3971711514286079E-8</v>
      </c>
      <c r="AW27" s="25">
        <f t="shared" si="35"/>
        <v>1.3742783658781579E-9</v>
      </c>
      <c r="AX27" s="25">
        <f t="shared" si="36"/>
        <v>3.881285840259722E-5</v>
      </c>
      <c r="AY27" s="34">
        <f t="shared" si="37"/>
        <v>3.8888204392477387E-5</v>
      </c>
      <c r="AZ27" s="33">
        <f t="shared" si="38"/>
        <v>2.736062100588654E-10</v>
      </c>
      <c r="BA27" s="25">
        <f t="shared" si="39"/>
        <v>3.4692552125111033E-14</v>
      </c>
      <c r="BB27" s="25">
        <f t="shared" si="40"/>
        <v>1.0178891999999999E-7</v>
      </c>
      <c r="BC27" s="25">
        <f t="shared" si="41"/>
        <v>3.6176879999999995E-8</v>
      </c>
      <c r="BD27" s="25">
        <f t="shared" si="42"/>
        <v>2.4695149307493073E-9</v>
      </c>
      <c r="BE27" s="25">
        <f t="shared" si="43"/>
        <v>1.1195054094908575E-9</v>
      </c>
      <c r="BF27" s="25">
        <f t="shared" si="44"/>
        <v>3.5890203402401648E-9</v>
      </c>
      <c r="BG27" s="25">
        <f t="shared" si="45"/>
        <v>9.1202070019621797E-8</v>
      </c>
      <c r="BH27" s="25">
        <f t="shared" si="46"/>
        <v>1.6943913988939537E-9</v>
      </c>
      <c r="BI27" s="25">
        <f t="shared" si="47"/>
        <v>4.7853604536535527E-5</v>
      </c>
      <c r="BJ27" s="34">
        <f t="shared" si="48"/>
        <v>4.7946500997954045E-5</v>
      </c>
    </row>
    <row r="28" spans="1:62" ht="16" x14ac:dyDescent="0.2">
      <c r="A28" s="69" t="s">
        <v>19</v>
      </c>
      <c r="B28" s="1" t="s">
        <v>171</v>
      </c>
      <c r="C28" s="1">
        <v>0</v>
      </c>
      <c r="D28" s="1">
        <v>0</v>
      </c>
      <c r="E28" s="1">
        <v>3.18</v>
      </c>
      <c r="F28" s="1">
        <v>0</v>
      </c>
      <c r="G28" s="1">
        <v>0</v>
      </c>
      <c r="H28" s="1">
        <v>0</v>
      </c>
      <c r="I28" s="69" t="s">
        <v>19</v>
      </c>
      <c r="J28" s="25">
        <f t="shared" si="1"/>
        <v>0</v>
      </c>
      <c r="K28" s="25">
        <f t="shared" si="2"/>
        <v>0</v>
      </c>
      <c r="L28" s="25">
        <f t="shared" si="3"/>
        <v>0</v>
      </c>
      <c r="M28" s="27">
        <f t="shared" si="4"/>
        <v>0.38159999999999999</v>
      </c>
      <c r="N28" s="26">
        <v>1.0999999999999999E-2</v>
      </c>
      <c r="O28" s="25">
        <f>P28*$C$51/$C$49</f>
        <v>2.8664907651715037E-6</v>
      </c>
      <c r="P28" s="25">
        <v>1.4E-5</v>
      </c>
      <c r="Q28" s="25">
        <v>0.04</v>
      </c>
      <c r="R28" s="25">
        <f t="shared" ref="R28" si="54">N28*Q28</f>
        <v>4.3999999999999996E-4</v>
      </c>
      <c r="S28" s="33">
        <f t="shared" si="5"/>
        <v>0</v>
      </c>
      <c r="T28" s="25">
        <f t="shared" si="6"/>
        <v>0</v>
      </c>
      <c r="U28" s="25">
        <f t="shared" si="7"/>
        <v>0</v>
      </c>
      <c r="V28" s="25">
        <f t="shared" si="8"/>
        <v>0</v>
      </c>
      <c r="W28" s="25">
        <f t="shared" si="9"/>
        <v>0</v>
      </c>
      <c r="X28" s="25">
        <f t="shared" si="10"/>
        <v>0</v>
      </c>
      <c r="Y28" s="25">
        <f t="shared" si="11"/>
        <v>0</v>
      </c>
      <c r="Z28" s="25">
        <f t="shared" si="12"/>
        <v>0</v>
      </c>
      <c r="AA28" s="25">
        <f t="shared" si="13"/>
        <v>0</v>
      </c>
      <c r="AB28" s="25">
        <f t="shared" si="14"/>
        <v>0</v>
      </c>
      <c r="AC28" s="34">
        <f t="shared" si="15"/>
        <v>0</v>
      </c>
      <c r="AD28" s="33">
        <f t="shared" si="16"/>
        <v>0</v>
      </c>
      <c r="AE28" s="25">
        <f t="shared" si="17"/>
        <v>0</v>
      </c>
      <c r="AF28" s="25">
        <f t="shared" si="18"/>
        <v>0</v>
      </c>
      <c r="AG28" s="25">
        <f t="shared" si="19"/>
        <v>0</v>
      </c>
      <c r="AH28" s="25">
        <f t="shared" si="20"/>
        <v>0</v>
      </c>
      <c r="AI28" s="25">
        <f t="shared" si="21"/>
        <v>0</v>
      </c>
      <c r="AJ28" s="25">
        <f t="shared" si="22"/>
        <v>0</v>
      </c>
      <c r="AK28" s="25">
        <f t="shared" si="23"/>
        <v>0</v>
      </c>
      <c r="AL28" s="25">
        <f t="shared" si="24"/>
        <v>0</v>
      </c>
      <c r="AM28" s="25">
        <f t="shared" si="25"/>
        <v>0</v>
      </c>
      <c r="AN28" s="34">
        <f t="shared" si="26"/>
        <v>0</v>
      </c>
      <c r="AO28" s="33">
        <f t="shared" si="27"/>
        <v>0</v>
      </c>
      <c r="AP28" s="25">
        <f t="shared" si="28"/>
        <v>0</v>
      </c>
      <c r="AQ28" s="25">
        <f t="shared" si="29"/>
        <v>0</v>
      </c>
      <c r="AR28" s="25">
        <f t="shared" si="30"/>
        <v>0</v>
      </c>
      <c r="AS28" s="25">
        <f t="shared" si="31"/>
        <v>0</v>
      </c>
      <c r="AT28" s="25">
        <f t="shared" si="32"/>
        <v>0</v>
      </c>
      <c r="AU28" s="25">
        <f t="shared" si="33"/>
        <v>0</v>
      </c>
      <c r="AV28" s="25">
        <f t="shared" si="34"/>
        <v>0</v>
      </c>
      <c r="AW28" s="25">
        <f t="shared" si="35"/>
        <v>0</v>
      </c>
      <c r="AX28" s="25">
        <f t="shared" si="36"/>
        <v>0</v>
      </c>
      <c r="AY28" s="34">
        <f t="shared" si="37"/>
        <v>0</v>
      </c>
      <c r="AZ28" s="33">
        <f t="shared" si="38"/>
        <v>2.8340968989810812E-10</v>
      </c>
      <c r="BA28" s="25">
        <f t="shared" si="39"/>
        <v>3.5935607738714373E-14</v>
      </c>
      <c r="BB28" s="25">
        <f t="shared" si="40"/>
        <v>1.0543608E-7</v>
      </c>
      <c r="BC28" s="25">
        <f t="shared" si="41"/>
        <v>3.7473119999999999E-8</v>
      </c>
      <c r="BD28" s="25">
        <f t="shared" si="42"/>
        <v>2.557999179082345E-9</v>
      </c>
      <c r="BE28" s="25">
        <f t="shared" si="43"/>
        <v>1.1596179811664259E-9</v>
      </c>
      <c r="BF28" s="25">
        <f t="shared" si="44"/>
        <v>3.7176171602487708E-9</v>
      </c>
      <c r="BG28" s="25">
        <f t="shared" si="45"/>
        <v>2.5764517263464375E-8</v>
      </c>
      <c r="BH28" s="25">
        <f t="shared" si="46"/>
        <v>1.2536446366874769E-8</v>
      </c>
      <c r="BI28" s="25">
        <f t="shared" si="47"/>
        <v>8.4491299096562982E-6</v>
      </c>
      <c r="BJ28" s="34">
        <f t="shared" si="48"/>
        <v>8.4874308732866367E-6</v>
      </c>
    </row>
    <row r="29" spans="1:62" ht="16" x14ac:dyDescent="0.2">
      <c r="A29" s="69" t="s">
        <v>16</v>
      </c>
      <c r="B29" s="1" t="s">
        <v>171</v>
      </c>
      <c r="C29" s="1">
        <v>0</v>
      </c>
      <c r="D29" s="1">
        <v>0</v>
      </c>
      <c r="E29" s="1">
        <v>12.9</v>
      </c>
      <c r="F29" s="1">
        <v>2.72</v>
      </c>
      <c r="G29" s="1">
        <v>0</v>
      </c>
      <c r="H29" s="1">
        <v>0</v>
      </c>
      <c r="I29" s="69" t="s">
        <v>16</v>
      </c>
      <c r="J29" s="25">
        <f t="shared" si="1"/>
        <v>1.5776000000000001</v>
      </c>
      <c r="K29" s="25">
        <f t="shared" si="2"/>
        <v>0.78880000000000006</v>
      </c>
      <c r="L29" s="25">
        <f t="shared" si="3"/>
        <v>0.81600000000000006</v>
      </c>
      <c r="M29" s="27">
        <f t="shared" si="4"/>
        <v>1.548</v>
      </c>
      <c r="N29" s="26">
        <v>4.0000000000000001E-3</v>
      </c>
      <c r="O29" s="25">
        <v>0</v>
      </c>
      <c r="P29" s="25"/>
      <c r="Q29" s="25">
        <v>0</v>
      </c>
      <c r="R29" s="25">
        <v>0</v>
      </c>
      <c r="S29" s="33">
        <f t="shared" si="5"/>
        <v>1.171664378362829E-9</v>
      </c>
      <c r="T29" s="25">
        <f t="shared" si="6"/>
        <v>1.4856398000156128E-13</v>
      </c>
      <c r="U29" s="25">
        <f t="shared" si="7"/>
        <v>4.3589088000000004E-7</v>
      </c>
      <c r="V29" s="25">
        <f t="shared" si="8"/>
        <v>1.5492032000000001E-7</v>
      </c>
      <c r="W29" s="25">
        <f t="shared" si="9"/>
        <v>1.0575208346227221E-8</v>
      </c>
      <c r="X29" s="25">
        <f t="shared" si="10"/>
        <v>4.7940600814679075E-9</v>
      </c>
      <c r="Y29" s="25">
        <f t="shared" si="11"/>
        <v>1.5369268427695128E-8</v>
      </c>
      <c r="Z29" s="25">
        <f t="shared" si="12"/>
        <v>2.9291609459070725E-7</v>
      </c>
      <c r="AA29" s="25">
        <v>0</v>
      </c>
      <c r="AB29" s="25">
        <v>0</v>
      </c>
      <c r="AC29" s="34">
        <f t="shared" si="15"/>
        <v>2.9291609459070725E-7</v>
      </c>
      <c r="AD29" s="33">
        <f t="shared" si="16"/>
        <v>5.8583218918141448E-10</v>
      </c>
      <c r="AE29" s="25">
        <f t="shared" si="17"/>
        <v>7.4281990000780639E-14</v>
      </c>
      <c r="AF29" s="25">
        <f t="shared" si="18"/>
        <v>2.1794544000000002E-7</v>
      </c>
      <c r="AG29" s="25">
        <f t="shared" si="19"/>
        <v>7.7460160000000005E-8</v>
      </c>
      <c r="AH29" s="25">
        <f t="shared" si="20"/>
        <v>5.2876041731136104E-9</v>
      </c>
      <c r="AI29" s="25">
        <f t="shared" si="21"/>
        <v>2.3970300407339538E-9</v>
      </c>
      <c r="AJ29" s="25">
        <f t="shared" si="22"/>
        <v>7.6846342138475641E-9</v>
      </c>
      <c r="AK29" s="25">
        <f t="shared" si="23"/>
        <v>1.4645804729535362E-7</v>
      </c>
      <c r="AL29" s="25">
        <v>0</v>
      </c>
      <c r="AM29" s="25">
        <v>0</v>
      </c>
      <c r="AN29" s="34">
        <f t="shared" si="26"/>
        <v>1.4645804729535362E-7</v>
      </c>
      <c r="AO29" s="33">
        <f t="shared" si="27"/>
        <v>6.0603329915318733E-10</v>
      </c>
      <c r="AP29" s="25">
        <f t="shared" si="28"/>
        <v>7.6843437931842055E-14</v>
      </c>
      <c r="AQ29" s="25">
        <f t="shared" si="29"/>
        <v>2.2546080000000003E-7</v>
      </c>
      <c r="AR29" s="25">
        <f t="shared" si="30"/>
        <v>8.0131200000000015E-8</v>
      </c>
      <c r="AS29" s="25">
        <f t="shared" si="31"/>
        <v>5.4699353514968383E-9</v>
      </c>
      <c r="AT29" s="25">
        <f t="shared" si="32"/>
        <v>2.4796862490351254E-9</v>
      </c>
      <c r="AU29" s="25">
        <f t="shared" si="33"/>
        <v>7.9496216005319634E-9</v>
      </c>
      <c r="AV29" s="25">
        <f t="shared" si="34"/>
        <v>1.5150832478829682E-7</v>
      </c>
      <c r="AW29" s="25">
        <v>0</v>
      </c>
      <c r="AX29" s="25">
        <v>0</v>
      </c>
      <c r="AY29" s="34">
        <f t="shared" si="37"/>
        <v>1.5150832478829682E-7</v>
      </c>
      <c r="AZ29" s="33">
        <f t="shared" si="38"/>
        <v>1.1496808175111935E-9</v>
      </c>
      <c r="BA29" s="25">
        <f t="shared" si="39"/>
        <v>1.4577652195893563E-13</v>
      </c>
      <c r="BB29" s="25">
        <f t="shared" si="40"/>
        <v>4.2771240000000003E-7</v>
      </c>
      <c r="BC29" s="25">
        <f t="shared" si="41"/>
        <v>1.5201360000000001E-7</v>
      </c>
      <c r="BD29" s="25">
        <f t="shared" si="42"/>
        <v>1.037678912269253E-8</v>
      </c>
      <c r="BE29" s="25">
        <f t="shared" si="43"/>
        <v>4.704110678316634E-9</v>
      </c>
      <c r="BF29" s="25">
        <f t="shared" si="44"/>
        <v>1.5080899801009166E-8</v>
      </c>
      <c r="BG29" s="25">
        <f t="shared" si="45"/>
        <v>2.8742020437779836E-7</v>
      </c>
      <c r="BH29" s="25">
        <v>0</v>
      </c>
      <c r="BI29" s="25">
        <v>0</v>
      </c>
      <c r="BJ29" s="34">
        <f t="shared" si="48"/>
        <v>2.8742020437779836E-7</v>
      </c>
    </row>
    <row r="30" spans="1:62" ht="16" x14ac:dyDescent="0.2">
      <c r="A30" s="69" t="s">
        <v>3</v>
      </c>
      <c r="B30" s="1" t="s">
        <v>171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69" t="s">
        <v>3</v>
      </c>
      <c r="J30" s="25">
        <f t="shared" si="1"/>
        <v>0</v>
      </c>
      <c r="K30" s="25">
        <f t="shared" si="2"/>
        <v>0</v>
      </c>
      <c r="L30" s="25">
        <f t="shared" si="3"/>
        <v>0</v>
      </c>
      <c r="M30" s="27">
        <f t="shared" si="4"/>
        <v>0</v>
      </c>
      <c r="N30" s="35">
        <v>4.0000000000000002E-4</v>
      </c>
      <c r="O30" s="32">
        <f t="shared" ref="O30:O31" si="55">P30*$C$51/$C$49</f>
        <v>6.1424802110817938E-5</v>
      </c>
      <c r="P30" s="32">
        <v>2.9999999999999997E-4</v>
      </c>
      <c r="Q30" s="25">
        <v>0.15</v>
      </c>
      <c r="R30" s="32">
        <f t="shared" ref="R30:R34" si="56">N30*Q30</f>
        <v>6.0000000000000002E-5</v>
      </c>
      <c r="S30" s="33">
        <f t="shared" si="5"/>
        <v>0</v>
      </c>
      <c r="T30" s="25">
        <f t="shared" si="6"/>
        <v>0</v>
      </c>
      <c r="U30" s="25">
        <f t="shared" si="7"/>
        <v>0</v>
      </c>
      <c r="V30" s="25">
        <f t="shared" si="8"/>
        <v>0</v>
      </c>
      <c r="W30" s="25">
        <f t="shared" si="9"/>
        <v>0</v>
      </c>
      <c r="X30" s="25">
        <f t="shared" si="10"/>
        <v>0</v>
      </c>
      <c r="Y30" s="25">
        <f t="shared" si="11"/>
        <v>0</v>
      </c>
      <c r="Z30" s="25">
        <f t="shared" si="12"/>
        <v>0</v>
      </c>
      <c r="AA30" s="25">
        <f t="shared" si="13"/>
        <v>0</v>
      </c>
      <c r="AB30" s="25">
        <f t="shared" si="14"/>
        <v>0</v>
      </c>
      <c r="AC30" s="34">
        <f t="shared" si="15"/>
        <v>0</v>
      </c>
      <c r="AD30" s="33">
        <f t="shared" si="16"/>
        <v>0</v>
      </c>
      <c r="AE30" s="25">
        <f t="shared" si="17"/>
        <v>0</v>
      </c>
      <c r="AF30" s="25">
        <f t="shared" si="18"/>
        <v>0</v>
      </c>
      <c r="AG30" s="25">
        <f t="shared" si="19"/>
        <v>0</v>
      </c>
      <c r="AH30" s="25">
        <f t="shared" si="20"/>
        <v>0</v>
      </c>
      <c r="AI30" s="25">
        <f t="shared" si="21"/>
        <v>0</v>
      </c>
      <c r="AJ30" s="25">
        <f t="shared" si="22"/>
        <v>0</v>
      </c>
      <c r="AK30" s="25">
        <f t="shared" si="23"/>
        <v>0</v>
      </c>
      <c r="AL30" s="25">
        <f t="shared" si="24"/>
        <v>0</v>
      </c>
      <c r="AM30" s="25">
        <f t="shared" si="25"/>
        <v>0</v>
      </c>
      <c r="AN30" s="34">
        <f t="shared" si="26"/>
        <v>0</v>
      </c>
      <c r="AO30" s="33">
        <f t="shared" si="27"/>
        <v>0</v>
      </c>
      <c r="AP30" s="25">
        <f t="shared" si="28"/>
        <v>0</v>
      </c>
      <c r="AQ30" s="25">
        <f t="shared" si="29"/>
        <v>0</v>
      </c>
      <c r="AR30" s="25">
        <f t="shared" si="30"/>
        <v>0</v>
      </c>
      <c r="AS30" s="25">
        <f t="shared" si="31"/>
        <v>0</v>
      </c>
      <c r="AT30" s="25">
        <f t="shared" si="32"/>
        <v>0</v>
      </c>
      <c r="AU30" s="25">
        <f t="shared" si="33"/>
        <v>0</v>
      </c>
      <c r="AV30" s="25">
        <f t="shared" si="34"/>
        <v>0</v>
      </c>
      <c r="AW30" s="25">
        <f t="shared" si="35"/>
        <v>0</v>
      </c>
      <c r="AX30" s="25">
        <f t="shared" si="36"/>
        <v>0</v>
      </c>
      <c r="AY30" s="34">
        <f t="shared" si="37"/>
        <v>0</v>
      </c>
      <c r="AZ30" s="33">
        <f t="shared" si="38"/>
        <v>0</v>
      </c>
      <c r="BA30" s="25">
        <f t="shared" si="39"/>
        <v>0</v>
      </c>
      <c r="BB30" s="25">
        <f t="shared" si="40"/>
        <v>0</v>
      </c>
      <c r="BC30" s="25">
        <f t="shared" si="41"/>
        <v>0</v>
      </c>
      <c r="BD30" s="25">
        <f t="shared" si="42"/>
        <v>0</v>
      </c>
      <c r="BE30" s="25">
        <f t="shared" si="43"/>
        <v>0</v>
      </c>
      <c r="BF30" s="25">
        <f t="shared" si="44"/>
        <v>0</v>
      </c>
      <c r="BG30" s="25">
        <f t="shared" si="45"/>
        <v>0</v>
      </c>
      <c r="BH30" s="25">
        <f t="shared" si="46"/>
        <v>0</v>
      </c>
      <c r="BI30" s="25">
        <f t="shared" si="47"/>
        <v>0</v>
      </c>
      <c r="BJ30" s="34">
        <f t="shared" si="48"/>
        <v>0</v>
      </c>
    </row>
    <row r="31" spans="1:62" ht="16" x14ac:dyDescent="0.2">
      <c r="A31" s="69" t="s">
        <v>13</v>
      </c>
      <c r="B31" s="1" t="s">
        <v>171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69" t="s">
        <v>13</v>
      </c>
      <c r="J31" s="25">
        <f t="shared" si="1"/>
        <v>0</v>
      </c>
      <c r="K31" s="25">
        <f t="shared" si="2"/>
        <v>0</v>
      </c>
      <c r="L31" s="25">
        <f t="shared" si="3"/>
        <v>0</v>
      </c>
      <c r="M31" s="27">
        <f t="shared" si="4"/>
        <v>0</v>
      </c>
      <c r="N31" s="35">
        <v>2.9999999999999997E-4</v>
      </c>
      <c r="O31" s="32">
        <f t="shared" si="55"/>
        <v>3.0712401055408971E-6</v>
      </c>
      <c r="P31" s="32">
        <v>1.5E-5</v>
      </c>
      <c r="Q31" s="25">
        <v>0.41</v>
      </c>
      <c r="R31" s="32">
        <f t="shared" si="56"/>
        <v>1.2299999999999998E-4</v>
      </c>
      <c r="S31" s="33">
        <f t="shared" si="5"/>
        <v>0</v>
      </c>
      <c r="T31" s="25">
        <f t="shared" si="6"/>
        <v>0</v>
      </c>
      <c r="U31" s="25">
        <f t="shared" si="7"/>
        <v>0</v>
      </c>
      <c r="V31" s="25">
        <f t="shared" si="8"/>
        <v>0</v>
      </c>
      <c r="W31" s="25">
        <f t="shared" si="9"/>
        <v>0</v>
      </c>
      <c r="X31" s="25">
        <f t="shared" si="10"/>
        <v>0</v>
      </c>
      <c r="Y31" s="25">
        <f t="shared" si="11"/>
        <v>0</v>
      </c>
      <c r="Z31" s="25">
        <f t="shared" si="12"/>
        <v>0</v>
      </c>
      <c r="AA31" s="25">
        <f t="shared" si="13"/>
        <v>0</v>
      </c>
      <c r="AB31" s="25">
        <f t="shared" si="14"/>
        <v>0</v>
      </c>
      <c r="AC31" s="34">
        <f t="shared" si="15"/>
        <v>0</v>
      </c>
      <c r="AD31" s="33">
        <f t="shared" si="16"/>
        <v>0</v>
      </c>
      <c r="AE31" s="25">
        <f t="shared" si="17"/>
        <v>0</v>
      </c>
      <c r="AF31" s="25">
        <f t="shared" si="18"/>
        <v>0</v>
      </c>
      <c r="AG31" s="25">
        <f t="shared" si="19"/>
        <v>0</v>
      </c>
      <c r="AH31" s="25">
        <f t="shared" si="20"/>
        <v>0</v>
      </c>
      <c r="AI31" s="25">
        <f t="shared" si="21"/>
        <v>0</v>
      </c>
      <c r="AJ31" s="25">
        <f t="shared" si="22"/>
        <v>0</v>
      </c>
      <c r="AK31" s="25">
        <f t="shared" si="23"/>
        <v>0</v>
      </c>
      <c r="AL31" s="25">
        <f t="shared" si="24"/>
        <v>0</v>
      </c>
      <c r="AM31" s="25">
        <f t="shared" si="25"/>
        <v>0</v>
      </c>
      <c r="AN31" s="34">
        <f t="shared" si="26"/>
        <v>0</v>
      </c>
      <c r="AO31" s="33">
        <f t="shared" si="27"/>
        <v>0</v>
      </c>
      <c r="AP31" s="25">
        <f t="shared" si="28"/>
        <v>0</v>
      </c>
      <c r="AQ31" s="25">
        <f t="shared" si="29"/>
        <v>0</v>
      </c>
      <c r="AR31" s="25">
        <f t="shared" si="30"/>
        <v>0</v>
      </c>
      <c r="AS31" s="25">
        <f t="shared" si="31"/>
        <v>0</v>
      </c>
      <c r="AT31" s="25">
        <f t="shared" si="32"/>
        <v>0</v>
      </c>
      <c r="AU31" s="25">
        <f t="shared" si="33"/>
        <v>0</v>
      </c>
      <c r="AV31" s="25">
        <f t="shared" si="34"/>
        <v>0</v>
      </c>
      <c r="AW31" s="25">
        <f t="shared" si="35"/>
        <v>0</v>
      </c>
      <c r="AX31" s="25">
        <f t="shared" si="36"/>
        <v>0</v>
      </c>
      <c r="AY31" s="34">
        <f t="shared" si="37"/>
        <v>0</v>
      </c>
      <c r="AZ31" s="33">
        <f t="shared" si="38"/>
        <v>0</v>
      </c>
      <c r="BA31" s="25">
        <f t="shared" si="39"/>
        <v>0</v>
      </c>
      <c r="BB31" s="25">
        <f t="shared" si="40"/>
        <v>0</v>
      </c>
      <c r="BC31" s="25">
        <f t="shared" si="41"/>
        <v>0</v>
      </c>
      <c r="BD31" s="25">
        <f t="shared" si="42"/>
        <v>0</v>
      </c>
      <c r="BE31" s="25">
        <f t="shared" si="43"/>
        <v>0</v>
      </c>
      <c r="BF31" s="25">
        <f t="shared" si="44"/>
        <v>0</v>
      </c>
      <c r="BG31" s="25">
        <f t="shared" si="45"/>
        <v>0</v>
      </c>
      <c r="BH31" s="25">
        <f t="shared" si="46"/>
        <v>0</v>
      </c>
      <c r="BI31" s="25">
        <f t="shared" si="47"/>
        <v>0</v>
      </c>
      <c r="BJ31" s="34">
        <f t="shared" si="48"/>
        <v>0</v>
      </c>
    </row>
    <row r="32" spans="1:62" ht="16" x14ac:dyDescent="0.2">
      <c r="A32" s="69" t="s">
        <v>10</v>
      </c>
      <c r="B32" s="1" t="s">
        <v>171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69" t="s">
        <v>10</v>
      </c>
      <c r="J32" s="25">
        <f t="shared" si="1"/>
        <v>0</v>
      </c>
      <c r="K32" s="25">
        <f t="shared" si="2"/>
        <v>0</v>
      </c>
      <c r="L32" s="25">
        <f t="shared" si="3"/>
        <v>0</v>
      </c>
      <c r="M32" s="27">
        <f t="shared" si="4"/>
        <v>0</v>
      </c>
      <c r="N32" s="35">
        <v>5.0000000000000001E-3</v>
      </c>
      <c r="O32" s="32">
        <f>P32*$C$51/$C$49</f>
        <v>4.0949868073878633E-3</v>
      </c>
      <c r="P32" s="32">
        <v>0.02</v>
      </c>
      <c r="Q32" s="25">
        <v>1</v>
      </c>
      <c r="R32" s="32">
        <f t="shared" si="56"/>
        <v>5.0000000000000001E-3</v>
      </c>
      <c r="S32" s="33">
        <f t="shared" si="5"/>
        <v>0</v>
      </c>
      <c r="T32" s="25">
        <f t="shared" si="6"/>
        <v>0</v>
      </c>
      <c r="U32" s="25">
        <f t="shared" si="7"/>
        <v>0</v>
      </c>
      <c r="V32" s="25">
        <f t="shared" si="8"/>
        <v>0</v>
      </c>
      <c r="W32" s="25">
        <f t="shared" si="9"/>
        <v>0</v>
      </c>
      <c r="X32" s="25">
        <f t="shared" si="10"/>
        <v>0</v>
      </c>
      <c r="Y32" s="25">
        <f t="shared" si="11"/>
        <v>0</v>
      </c>
      <c r="Z32" s="25">
        <f t="shared" si="12"/>
        <v>0</v>
      </c>
      <c r="AA32" s="25">
        <v>0</v>
      </c>
      <c r="AB32" s="25">
        <f t="shared" si="14"/>
        <v>0</v>
      </c>
      <c r="AC32" s="34">
        <f t="shared" si="15"/>
        <v>0</v>
      </c>
      <c r="AD32" s="33">
        <f t="shared" si="16"/>
        <v>0</v>
      </c>
      <c r="AE32" s="25">
        <f t="shared" si="17"/>
        <v>0</v>
      </c>
      <c r="AF32" s="25">
        <f t="shared" si="18"/>
        <v>0</v>
      </c>
      <c r="AG32" s="25">
        <f t="shared" si="19"/>
        <v>0</v>
      </c>
      <c r="AH32" s="25">
        <f t="shared" si="20"/>
        <v>0</v>
      </c>
      <c r="AI32" s="25">
        <f t="shared" si="21"/>
        <v>0</v>
      </c>
      <c r="AJ32" s="25">
        <f t="shared" si="22"/>
        <v>0</v>
      </c>
      <c r="AK32" s="25">
        <f t="shared" si="23"/>
        <v>0</v>
      </c>
      <c r="AL32" s="25">
        <v>0</v>
      </c>
      <c r="AM32" s="25">
        <f t="shared" si="25"/>
        <v>0</v>
      </c>
      <c r="AN32" s="34">
        <f t="shared" si="26"/>
        <v>0</v>
      </c>
      <c r="AO32" s="33">
        <f t="shared" si="27"/>
        <v>0</v>
      </c>
      <c r="AP32" s="25">
        <f t="shared" si="28"/>
        <v>0</v>
      </c>
      <c r="AQ32" s="25">
        <f t="shared" si="29"/>
        <v>0</v>
      </c>
      <c r="AR32" s="25">
        <f t="shared" si="30"/>
        <v>0</v>
      </c>
      <c r="AS32" s="25">
        <f t="shared" si="31"/>
        <v>0</v>
      </c>
      <c r="AT32" s="25">
        <f t="shared" si="32"/>
        <v>0</v>
      </c>
      <c r="AU32" s="25">
        <f t="shared" si="33"/>
        <v>0</v>
      </c>
      <c r="AV32" s="25">
        <f t="shared" si="34"/>
        <v>0</v>
      </c>
      <c r="AW32" s="25">
        <v>0</v>
      </c>
      <c r="AX32" s="25">
        <f t="shared" si="36"/>
        <v>0</v>
      </c>
      <c r="AY32" s="34">
        <f t="shared" si="37"/>
        <v>0</v>
      </c>
      <c r="AZ32" s="33">
        <f t="shared" si="38"/>
        <v>0</v>
      </c>
      <c r="BA32" s="25">
        <f t="shared" si="39"/>
        <v>0</v>
      </c>
      <c r="BB32" s="25">
        <f t="shared" si="40"/>
        <v>0</v>
      </c>
      <c r="BC32" s="25">
        <f t="shared" si="41"/>
        <v>0</v>
      </c>
      <c r="BD32" s="25">
        <f t="shared" si="42"/>
        <v>0</v>
      </c>
      <c r="BE32" s="25">
        <f t="shared" si="43"/>
        <v>0</v>
      </c>
      <c r="BF32" s="25">
        <f t="shared" si="44"/>
        <v>0</v>
      </c>
      <c r="BG32" s="25">
        <f t="shared" si="45"/>
        <v>0</v>
      </c>
      <c r="BH32" s="25">
        <v>0</v>
      </c>
      <c r="BI32" s="25">
        <f t="shared" si="47"/>
        <v>0</v>
      </c>
      <c r="BJ32" s="34">
        <f t="shared" si="48"/>
        <v>0</v>
      </c>
    </row>
    <row r="33" spans="1:62" ht="16" x14ac:dyDescent="0.2">
      <c r="A33" s="69" t="s">
        <v>177</v>
      </c>
      <c r="B33" s="1" t="s">
        <v>171</v>
      </c>
      <c r="C33" s="1">
        <v>0</v>
      </c>
      <c r="D33" s="1">
        <v>0</v>
      </c>
      <c r="E33" s="1">
        <v>1.54</v>
      </c>
      <c r="F33" s="1">
        <v>0</v>
      </c>
      <c r="G33" s="1">
        <v>0</v>
      </c>
      <c r="H33" s="1">
        <v>0</v>
      </c>
      <c r="I33" s="69" t="s">
        <v>177</v>
      </c>
      <c r="J33" s="25">
        <f t="shared" si="1"/>
        <v>0</v>
      </c>
      <c r="K33" s="25">
        <f t="shared" si="2"/>
        <v>0</v>
      </c>
      <c r="L33" s="25">
        <f t="shared" si="3"/>
        <v>0</v>
      </c>
      <c r="M33" s="27">
        <f t="shared" si="4"/>
        <v>0.18479999999999999</v>
      </c>
      <c r="N33" s="26">
        <v>0</v>
      </c>
      <c r="O33" s="36">
        <v>0</v>
      </c>
      <c r="P33" s="25"/>
      <c r="Q33" s="25">
        <v>0</v>
      </c>
      <c r="R33" s="25">
        <f t="shared" si="56"/>
        <v>0</v>
      </c>
      <c r="S33" s="33">
        <f t="shared" si="5"/>
        <v>0</v>
      </c>
      <c r="T33" s="25">
        <f t="shared" si="6"/>
        <v>0</v>
      </c>
      <c r="U33" s="25">
        <f t="shared" si="7"/>
        <v>0</v>
      </c>
      <c r="V33" s="25">
        <f t="shared" si="8"/>
        <v>0</v>
      </c>
      <c r="W33" s="25">
        <f t="shared" si="9"/>
        <v>0</v>
      </c>
      <c r="X33" s="25">
        <f t="shared" si="10"/>
        <v>0</v>
      </c>
      <c r="Y33" s="25">
        <f t="shared" si="11"/>
        <v>0</v>
      </c>
      <c r="Z33" s="25">
        <v>0</v>
      </c>
      <c r="AA33" s="25">
        <v>0</v>
      </c>
      <c r="AB33" s="25">
        <v>0</v>
      </c>
      <c r="AC33" s="34">
        <f t="shared" si="15"/>
        <v>0</v>
      </c>
      <c r="AD33" s="33">
        <f t="shared" si="16"/>
        <v>0</v>
      </c>
      <c r="AE33" s="25">
        <f t="shared" si="17"/>
        <v>0</v>
      </c>
      <c r="AF33" s="25">
        <f t="shared" si="18"/>
        <v>0</v>
      </c>
      <c r="AG33" s="25">
        <f t="shared" si="19"/>
        <v>0</v>
      </c>
      <c r="AH33" s="25">
        <f t="shared" si="20"/>
        <v>0</v>
      </c>
      <c r="AI33" s="25">
        <f t="shared" si="21"/>
        <v>0</v>
      </c>
      <c r="AJ33" s="25">
        <f t="shared" si="22"/>
        <v>0</v>
      </c>
      <c r="AK33" s="25">
        <v>0</v>
      </c>
      <c r="AL33" s="25">
        <v>0</v>
      </c>
      <c r="AM33" s="25">
        <v>0</v>
      </c>
      <c r="AN33" s="34">
        <f t="shared" si="26"/>
        <v>0</v>
      </c>
      <c r="AO33" s="33">
        <f t="shared" si="27"/>
        <v>0</v>
      </c>
      <c r="AP33" s="25">
        <f t="shared" si="28"/>
        <v>0</v>
      </c>
      <c r="AQ33" s="25">
        <f t="shared" si="29"/>
        <v>0</v>
      </c>
      <c r="AR33" s="25">
        <f t="shared" si="30"/>
        <v>0</v>
      </c>
      <c r="AS33" s="25">
        <f t="shared" si="31"/>
        <v>0</v>
      </c>
      <c r="AT33" s="25">
        <f t="shared" si="32"/>
        <v>0</v>
      </c>
      <c r="AU33" s="25">
        <f t="shared" si="33"/>
        <v>0</v>
      </c>
      <c r="AV33" s="25">
        <v>0</v>
      </c>
      <c r="AW33" s="25">
        <v>0</v>
      </c>
      <c r="AX33" s="25">
        <v>0</v>
      </c>
      <c r="AY33" s="34">
        <f t="shared" si="37"/>
        <v>0</v>
      </c>
      <c r="AZ33" s="33">
        <f t="shared" si="38"/>
        <v>1.3724871774939828E-10</v>
      </c>
      <c r="BA33" s="25">
        <f t="shared" si="39"/>
        <v>1.7402778590446581E-14</v>
      </c>
      <c r="BB33" s="25">
        <f t="shared" si="40"/>
        <v>5.1060239999999999E-8</v>
      </c>
      <c r="BC33" s="25">
        <f t="shared" si="41"/>
        <v>1.8147359999999999E-8</v>
      </c>
      <c r="BD33" s="25">
        <f t="shared" si="42"/>
        <v>1.2387794766625191E-9</v>
      </c>
      <c r="BE33" s="25">
        <f t="shared" si="43"/>
        <v>5.6157600345795463E-10</v>
      </c>
      <c r="BF33" s="25">
        <f t="shared" si="44"/>
        <v>1.8003554801204738E-9</v>
      </c>
      <c r="BG33" s="25">
        <v>0</v>
      </c>
      <c r="BH33" s="25">
        <v>0</v>
      </c>
      <c r="BI33" s="25">
        <v>0</v>
      </c>
      <c r="BJ33" s="34">
        <f t="shared" si="48"/>
        <v>0</v>
      </c>
    </row>
    <row r="34" spans="1:62" ht="16" x14ac:dyDescent="0.2">
      <c r="A34" s="69" t="s">
        <v>176</v>
      </c>
      <c r="B34" s="1" t="s">
        <v>171</v>
      </c>
      <c r="C34" s="1">
        <v>0</v>
      </c>
      <c r="D34" s="1">
        <v>581</v>
      </c>
      <c r="E34" s="1">
        <v>1317</v>
      </c>
      <c r="F34" s="1">
        <v>1415</v>
      </c>
      <c r="G34" s="1">
        <v>0</v>
      </c>
      <c r="H34" s="1">
        <v>280</v>
      </c>
      <c r="I34" s="69" t="s">
        <v>176</v>
      </c>
      <c r="J34" s="25">
        <f t="shared" si="1"/>
        <v>820.69999999999993</v>
      </c>
      <c r="K34" s="25">
        <f t="shared" si="2"/>
        <v>410.34999999999997</v>
      </c>
      <c r="L34" s="25">
        <f t="shared" si="3"/>
        <v>482.6</v>
      </c>
      <c r="M34" s="27">
        <f t="shared" si="4"/>
        <v>233.64</v>
      </c>
      <c r="N34" s="37">
        <v>0</v>
      </c>
      <c r="O34" s="36">
        <v>0</v>
      </c>
      <c r="P34" s="25"/>
      <c r="Q34" s="25">
        <v>0</v>
      </c>
      <c r="R34" s="25">
        <f t="shared" si="56"/>
        <v>0</v>
      </c>
      <c r="S34" s="33">
        <f t="shared" si="5"/>
        <v>6.0952393212625094E-7</v>
      </c>
      <c r="T34" s="25">
        <f t="shared" si="6"/>
        <v>7.7286041066988674E-11</v>
      </c>
      <c r="U34" s="25">
        <f t="shared" si="7"/>
        <v>2.2675941E-4</v>
      </c>
      <c r="V34" s="25">
        <f t="shared" si="8"/>
        <v>8.0592740000000001E-5</v>
      </c>
      <c r="W34" s="25">
        <f t="shared" si="9"/>
        <v>5.5014411065851162E-6</v>
      </c>
      <c r="X34" s="25">
        <f t="shared" si="10"/>
        <v>2.4939687556165769E-6</v>
      </c>
      <c r="Y34" s="25">
        <f t="shared" si="11"/>
        <v>7.9954098622016939E-6</v>
      </c>
      <c r="Z34" s="25">
        <v>0</v>
      </c>
      <c r="AA34" s="25">
        <v>0</v>
      </c>
      <c r="AB34" s="25">
        <v>0</v>
      </c>
      <c r="AC34" s="34">
        <f t="shared" si="15"/>
        <v>0</v>
      </c>
      <c r="AD34" s="33">
        <f t="shared" si="16"/>
        <v>3.0476196606312547E-7</v>
      </c>
      <c r="AE34" s="25">
        <f t="shared" si="17"/>
        <v>3.8643020533494337E-11</v>
      </c>
      <c r="AF34" s="25">
        <f t="shared" si="18"/>
        <v>1.13379705E-4</v>
      </c>
      <c r="AG34" s="25">
        <f t="shared" si="19"/>
        <v>4.0296370000000001E-5</v>
      </c>
      <c r="AH34" s="25">
        <f t="shared" si="20"/>
        <v>2.7507205532925581E-6</v>
      </c>
      <c r="AI34" s="25">
        <f t="shared" si="21"/>
        <v>1.2469843778082885E-6</v>
      </c>
      <c r="AJ34" s="25">
        <f t="shared" si="22"/>
        <v>3.997704931100847E-6</v>
      </c>
      <c r="AK34" s="25">
        <v>0</v>
      </c>
      <c r="AL34" s="25">
        <v>0</v>
      </c>
      <c r="AM34" s="25">
        <v>0</v>
      </c>
      <c r="AN34" s="34">
        <f t="shared" si="26"/>
        <v>0</v>
      </c>
      <c r="AO34" s="33">
        <f t="shared" si="27"/>
        <v>3.5842116442564723E-7</v>
      </c>
      <c r="AP34" s="25">
        <f t="shared" si="28"/>
        <v>4.5446866600376189E-11</v>
      </c>
      <c r="AQ34" s="25">
        <f t="shared" si="29"/>
        <v>1.3334238E-4</v>
      </c>
      <c r="AR34" s="25">
        <f t="shared" si="30"/>
        <v>4.7391320000000003E-5</v>
      </c>
      <c r="AS34" s="25">
        <f t="shared" si="31"/>
        <v>3.2350377458730072E-6</v>
      </c>
      <c r="AT34" s="25">
        <f t="shared" si="32"/>
        <v>1.4665399311082734E-6</v>
      </c>
      <c r="AU34" s="25">
        <f t="shared" si="33"/>
        <v>4.7015776769812808E-6</v>
      </c>
      <c r="AV34" s="25">
        <v>0</v>
      </c>
      <c r="AW34" s="25">
        <v>0</v>
      </c>
      <c r="AX34" s="25">
        <v>0</v>
      </c>
      <c r="AY34" s="34">
        <f t="shared" si="37"/>
        <v>0</v>
      </c>
      <c r="AZ34" s="33">
        <f t="shared" si="38"/>
        <v>1.7352159315459639E-7</v>
      </c>
      <c r="BA34" s="25">
        <f t="shared" si="39"/>
        <v>2.2002084360778888E-11</v>
      </c>
      <c r="BB34" s="25">
        <f t="shared" si="40"/>
        <v>6.4554731999999995E-5</v>
      </c>
      <c r="BC34" s="25">
        <f t="shared" si="41"/>
        <v>2.2943447999999999E-5</v>
      </c>
      <c r="BD34" s="25">
        <f t="shared" si="42"/>
        <v>1.5661711954947563E-6</v>
      </c>
      <c r="BE34" s="25">
        <f t="shared" si="43"/>
        <v>7.0999251865755702E-7</v>
      </c>
      <c r="BF34" s="25">
        <f t="shared" si="44"/>
        <v>2.2761637141523132E-6</v>
      </c>
      <c r="BG34" s="25">
        <v>0</v>
      </c>
      <c r="BH34" s="25">
        <v>0</v>
      </c>
      <c r="BI34" s="25">
        <v>0</v>
      </c>
      <c r="BJ34" s="34">
        <f t="shared" si="48"/>
        <v>0</v>
      </c>
    </row>
    <row r="35" spans="1:62" ht="16" x14ac:dyDescent="0.2">
      <c r="A35" s="69" t="s">
        <v>6</v>
      </c>
      <c r="B35" s="1" t="s">
        <v>171</v>
      </c>
      <c r="C35" s="1">
        <v>0</v>
      </c>
      <c r="D35" s="1">
        <v>777</v>
      </c>
      <c r="E35" s="1">
        <v>342</v>
      </c>
      <c r="F35" s="1">
        <v>1221</v>
      </c>
      <c r="G35" s="1">
        <v>0</v>
      </c>
      <c r="H35" s="1">
        <v>0</v>
      </c>
      <c r="I35" s="69" t="s">
        <v>6</v>
      </c>
      <c r="J35" s="25">
        <f t="shared" si="1"/>
        <v>708.18</v>
      </c>
      <c r="K35" s="25">
        <f t="shared" si="2"/>
        <v>354.09</v>
      </c>
      <c r="L35" s="25">
        <f t="shared" si="3"/>
        <v>444</v>
      </c>
      <c r="M35" s="27">
        <f t="shared" si="4"/>
        <v>41.04</v>
      </c>
      <c r="N35" s="37">
        <v>0</v>
      </c>
      <c r="O35" s="25">
        <f>P35*$C$51/$C$49</f>
        <v>6.142480211081794E-4</v>
      </c>
      <c r="P35" s="25">
        <v>3.0000000000000001E-3</v>
      </c>
      <c r="Q35" s="25">
        <v>0</v>
      </c>
      <c r="R35" s="25">
        <f>N35*Q35</f>
        <v>0</v>
      </c>
      <c r="S35" s="33">
        <f t="shared" si="5"/>
        <v>5.2595669337537276E-7</v>
      </c>
      <c r="T35" s="25">
        <f t="shared" si="6"/>
        <v>6.6689933669818495E-11</v>
      </c>
      <c r="U35" s="25">
        <f t="shared" si="7"/>
        <v>1.9567013399999998E-4</v>
      </c>
      <c r="V35" s="25">
        <f t="shared" si="8"/>
        <v>6.954327599999999E-5</v>
      </c>
      <c r="W35" s="25">
        <f t="shared" si="9"/>
        <v>4.7471799230674384E-6</v>
      </c>
      <c r="X35" s="25">
        <f t="shared" si="10"/>
        <v>2.152039470394233E-6</v>
      </c>
      <c r="Y35" s="25">
        <f t="shared" si="11"/>
        <v>6.8992193934616714E-6</v>
      </c>
      <c r="Z35" s="25">
        <v>0</v>
      </c>
      <c r="AA35" s="25">
        <v>0</v>
      </c>
      <c r="AB35" s="25">
        <v>0</v>
      </c>
      <c r="AC35" s="34">
        <f t="shared" si="15"/>
        <v>0</v>
      </c>
      <c r="AD35" s="33">
        <f t="shared" si="16"/>
        <v>2.6297834668768638E-7</v>
      </c>
      <c r="AE35" s="25">
        <f t="shared" si="17"/>
        <v>3.3344966834909247E-11</v>
      </c>
      <c r="AF35" s="25">
        <f t="shared" si="18"/>
        <v>9.7835066999999991E-5</v>
      </c>
      <c r="AG35" s="25">
        <f t="shared" si="19"/>
        <v>3.4771637999999995E-5</v>
      </c>
      <c r="AH35" s="25">
        <f t="shared" si="20"/>
        <v>2.3735899615337192E-6</v>
      </c>
      <c r="AI35" s="25">
        <f t="shared" si="21"/>
        <v>1.0760197351971165E-6</v>
      </c>
      <c r="AJ35" s="25">
        <f t="shared" si="22"/>
        <v>3.4496096967308357E-6</v>
      </c>
      <c r="AK35" s="25">
        <v>0</v>
      </c>
      <c r="AL35" s="25">
        <v>0</v>
      </c>
      <c r="AM35" s="25">
        <v>0</v>
      </c>
      <c r="AN35" s="34">
        <f t="shared" si="26"/>
        <v>0</v>
      </c>
      <c r="AO35" s="33">
        <f t="shared" si="27"/>
        <v>3.2975341277452834E-7</v>
      </c>
      <c r="AP35" s="25">
        <f t="shared" si="28"/>
        <v>4.1811870639384637E-11</v>
      </c>
      <c r="AQ35" s="25">
        <f t="shared" si="29"/>
        <v>1.2267720000000001E-4</v>
      </c>
      <c r="AR35" s="25">
        <f t="shared" si="30"/>
        <v>4.3600800000000004E-5</v>
      </c>
      <c r="AS35" s="25">
        <f t="shared" si="31"/>
        <v>2.9762883530203383E-6</v>
      </c>
      <c r="AT35" s="25">
        <f t="shared" si="32"/>
        <v>1.349241047269112E-6</v>
      </c>
      <c r="AU35" s="25">
        <f t="shared" si="33"/>
        <v>4.3255294002894501E-6</v>
      </c>
      <c r="AV35" s="25">
        <v>0</v>
      </c>
      <c r="AW35" s="25">
        <v>0</v>
      </c>
      <c r="AX35" s="25">
        <v>0</v>
      </c>
      <c r="AY35" s="34">
        <f t="shared" si="37"/>
        <v>0</v>
      </c>
      <c r="AZ35" s="33">
        <f t="shared" si="38"/>
        <v>3.0479910045645596E-8</v>
      </c>
      <c r="BA35" s="25">
        <f t="shared" si="39"/>
        <v>3.8647729077485263E-12</v>
      </c>
      <c r="BB35" s="25">
        <f t="shared" si="40"/>
        <v>1.1339352000000001E-5</v>
      </c>
      <c r="BC35" s="25">
        <f t="shared" si="41"/>
        <v>4.0301279999999997E-6</v>
      </c>
      <c r="BD35" s="25">
        <f t="shared" si="42"/>
        <v>2.75105572089988E-7</v>
      </c>
      <c r="BE35" s="25">
        <f t="shared" si="43"/>
        <v>1.2471363193676656E-7</v>
      </c>
      <c r="BF35" s="25">
        <f t="shared" si="44"/>
        <v>3.9981920402675456E-7</v>
      </c>
      <c r="BG35" s="25">
        <v>0</v>
      </c>
      <c r="BH35" s="25">
        <v>0</v>
      </c>
      <c r="BI35" s="25">
        <v>0</v>
      </c>
      <c r="BJ35" s="34">
        <f t="shared" si="48"/>
        <v>0</v>
      </c>
    </row>
    <row r="36" spans="1:62" ht="16" x14ac:dyDescent="0.2">
      <c r="A36" s="69" t="s">
        <v>175</v>
      </c>
      <c r="B36" s="1" t="s">
        <v>171</v>
      </c>
      <c r="C36" s="1">
        <v>0</v>
      </c>
      <c r="D36" s="1">
        <v>6</v>
      </c>
      <c r="E36" s="1">
        <v>10.6</v>
      </c>
      <c r="F36" s="1">
        <v>23.3</v>
      </c>
      <c r="G36" s="1">
        <v>27.1</v>
      </c>
      <c r="H36" s="1">
        <v>615</v>
      </c>
      <c r="I36" s="69" t="s">
        <v>175</v>
      </c>
      <c r="J36" s="25">
        <f t="shared" si="1"/>
        <v>13.513999999999999</v>
      </c>
      <c r="K36" s="25">
        <f t="shared" si="2"/>
        <v>14.616000000000001</v>
      </c>
      <c r="L36" s="25">
        <f t="shared" si="3"/>
        <v>15.72</v>
      </c>
      <c r="M36" s="27">
        <f t="shared" si="4"/>
        <v>167.322</v>
      </c>
      <c r="N36" s="26">
        <v>0.6</v>
      </c>
      <c r="O36" s="25">
        <v>0</v>
      </c>
      <c r="P36" s="25"/>
      <c r="Q36" s="25">
        <v>1</v>
      </c>
      <c r="R36" s="25">
        <f t="shared" ref="R36:R38" si="57">N36*Q36</f>
        <v>0.6</v>
      </c>
      <c r="S36" s="33">
        <f t="shared" si="5"/>
        <v>1.0036683829358054E-8</v>
      </c>
      <c r="T36" s="25">
        <f t="shared" si="6"/>
        <v>1.2726252698663155E-12</v>
      </c>
      <c r="U36" s="25">
        <f t="shared" si="7"/>
        <v>3.7339181999999999E-6</v>
      </c>
      <c r="V36" s="25">
        <f t="shared" si="8"/>
        <v>1.3270748E-6</v>
      </c>
      <c r="W36" s="25">
        <f t="shared" si="9"/>
        <v>9.0589100907019937E-8</v>
      </c>
      <c r="X36" s="25">
        <f t="shared" si="10"/>
        <v>4.1066764668456707E-8</v>
      </c>
      <c r="Y36" s="25">
        <f t="shared" si="11"/>
        <v>1.3165586557547666E-7</v>
      </c>
      <c r="Z36" s="25">
        <f t="shared" si="12"/>
        <v>1.6727806382263425E-8</v>
      </c>
      <c r="AA36" s="25">
        <v>0</v>
      </c>
      <c r="AB36" s="25">
        <f t="shared" si="14"/>
        <v>2.1942644262579444E-7</v>
      </c>
      <c r="AC36" s="34">
        <f t="shared" si="15"/>
        <v>2.3615424900805787E-7</v>
      </c>
      <c r="AD36" s="33">
        <f t="shared" si="16"/>
        <v>1.0855125858361502E-8</v>
      </c>
      <c r="AE36" s="25">
        <f t="shared" si="17"/>
        <v>1.3764015794262293E-12</v>
      </c>
      <c r="AF36" s="25">
        <f t="shared" si="18"/>
        <v>4.0384008000000005E-6</v>
      </c>
      <c r="AG36" s="25">
        <f t="shared" si="19"/>
        <v>1.4352912000000003E-6</v>
      </c>
      <c r="AH36" s="25">
        <f t="shared" si="20"/>
        <v>9.7976194972399242E-8</v>
      </c>
      <c r="AI36" s="25">
        <f t="shared" si="21"/>
        <v>4.4415556637129146E-8</v>
      </c>
      <c r="AJ36" s="25">
        <f t="shared" si="22"/>
        <v>1.423917516095284E-7</v>
      </c>
      <c r="AK36" s="25">
        <f t="shared" si="23"/>
        <v>1.8091876430602504E-8</v>
      </c>
      <c r="AL36" s="25">
        <v>0</v>
      </c>
      <c r="AM36" s="25">
        <f t="shared" si="25"/>
        <v>2.3731958601588067E-7</v>
      </c>
      <c r="AN36" s="34">
        <f t="shared" si="26"/>
        <v>2.5541146244648318E-7</v>
      </c>
      <c r="AO36" s="33">
        <f t="shared" si="27"/>
        <v>1.1675053263098167E-8</v>
      </c>
      <c r="AP36" s="25">
        <f t="shared" si="28"/>
        <v>1.4803662307457804E-12</v>
      </c>
      <c r="AQ36" s="25">
        <f t="shared" si="29"/>
        <v>4.3434359999999999E-6</v>
      </c>
      <c r="AR36" s="25">
        <f t="shared" si="30"/>
        <v>1.5437040000000003E-6</v>
      </c>
      <c r="AS36" s="25">
        <f t="shared" si="31"/>
        <v>1.0537669574207143E-7</v>
      </c>
      <c r="AT36" s="25">
        <f t="shared" si="32"/>
        <v>4.7770426268176673E-8</v>
      </c>
      <c r="AU36" s="25">
        <f t="shared" si="33"/>
        <v>1.531471220102481E-7</v>
      </c>
      <c r="AV36" s="25">
        <f t="shared" si="34"/>
        <v>1.9458422105163611E-8</v>
      </c>
      <c r="AW36" s="25">
        <v>0</v>
      </c>
      <c r="AX36" s="25">
        <f t="shared" si="36"/>
        <v>2.5524520335041354E-7</v>
      </c>
      <c r="AY36" s="34">
        <f t="shared" si="37"/>
        <v>2.7470362545557716E-7</v>
      </c>
      <c r="AZ36" s="33">
        <f t="shared" si="38"/>
        <v>1.2426801921680097E-7</v>
      </c>
      <c r="BA36" s="25">
        <f t="shared" si="39"/>
        <v>1.575685995297999E-11</v>
      </c>
      <c r="BB36" s="25">
        <f t="shared" si="40"/>
        <v>4.6231068600000001E-5</v>
      </c>
      <c r="BC36" s="25">
        <f t="shared" si="41"/>
        <v>1.64310204E-5</v>
      </c>
      <c r="BD36" s="25">
        <f t="shared" si="42"/>
        <v>1.1216182878470022E-6</v>
      </c>
      <c r="BE36" s="25">
        <f t="shared" si="43"/>
        <v>5.0846331196207747E-7</v>
      </c>
      <c r="BF36" s="25">
        <f t="shared" si="44"/>
        <v>1.6300815998090797E-6</v>
      </c>
      <c r="BG36" s="25">
        <f t="shared" si="45"/>
        <v>2.0711336536133495E-7</v>
      </c>
      <c r="BH36" s="25">
        <v>0</v>
      </c>
      <c r="BI36" s="25">
        <f t="shared" si="47"/>
        <v>2.7168026663484661E-6</v>
      </c>
      <c r="BJ36" s="34">
        <f t="shared" si="48"/>
        <v>2.9239160317098012E-6</v>
      </c>
    </row>
    <row r="37" spans="1:62" ht="16" x14ac:dyDescent="0.2">
      <c r="A37" s="69" t="s">
        <v>174</v>
      </c>
      <c r="B37" s="1" t="s">
        <v>171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69" t="s">
        <v>174</v>
      </c>
      <c r="J37" s="25">
        <f t="shared" si="1"/>
        <v>0</v>
      </c>
      <c r="K37" s="25">
        <f t="shared" si="2"/>
        <v>0</v>
      </c>
      <c r="L37" s="25">
        <f t="shared" si="3"/>
        <v>0</v>
      </c>
      <c r="M37" s="27">
        <f t="shared" si="4"/>
        <v>0</v>
      </c>
      <c r="N37" s="35">
        <v>0</v>
      </c>
      <c r="O37" s="32">
        <v>0</v>
      </c>
      <c r="P37" s="25"/>
      <c r="Q37" s="25">
        <v>1</v>
      </c>
      <c r="R37" s="32">
        <f t="shared" si="57"/>
        <v>0</v>
      </c>
      <c r="S37" s="33">
        <f t="shared" si="5"/>
        <v>0</v>
      </c>
      <c r="T37" s="25">
        <f t="shared" si="6"/>
        <v>0</v>
      </c>
      <c r="U37" s="25">
        <f t="shared" si="7"/>
        <v>0</v>
      </c>
      <c r="V37" s="25">
        <f t="shared" si="8"/>
        <v>0</v>
      </c>
      <c r="W37" s="25">
        <f t="shared" si="9"/>
        <v>0</v>
      </c>
      <c r="X37" s="25">
        <f t="shared" si="10"/>
        <v>0</v>
      </c>
      <c r="Y37" s="25">
        <f t="shared" si="11"/>
        <v>0</v>
      </c>
      <c r="Z37" s="25">
        <v>0</v>
      </c>
      <c r="AA37" s="25">
        <v>0</v>
      </c>
      <c r="AB37" s="25">
        <v>0</v>
      </c>
      <c r="AC37" s="34">
        <f t="shared" si="15"/>
        <v>0</v>
      </c>
      <c r="AD37" s="33">
        <f t="shared" si="16"/>
        <v>0</v>
      </c>
      <c r="AE37" s="25">
        <f t="shared" si="17"/>
        <v>0</v>
      </c>
      <c r="AF37" s="25">
        <f t="shared" si="18"/>
        <v>0</v>
      </c>
      <c r="AG37" s="25">
        <f t="shared" si="19"/>
        <v>0</v>
      </c>
      <c r="AH37" s="25">
        <f t="shared" si="20"/>
        <v>0</v>
      </c>
      <c r="AI37" s="25">
        <f t="shared" si="21"/>
        <v>0</v>
      </c>
      <c r="AJ37" s="25">
        <f t="shared" si="22"/>
        <v>0</v>
      </c>
      <c r="AK37" s="25">
        <v>0</v>
      </c>
      <c r="AL37" s="25">
        <v>0</v>
      </c>
      <c r="AM37" s="25">
        <v>0</v>
      </c>
      <c r="AN37" s="34">
        <f t="shared" si="26"/>
        <v>0</v>
      </c>
      <c r="AO37" s="33">
        <f t="shared" si="27"/>
        <v>0</v>
      </c>
      <c r="AP37" s="25">
        <f t="shared" si="28"/>
        <v>0</v>
      </c>
      <c r="AQ37" s="25">
        <f t="shared" si="29"/>
        <v>0</v>
      </c>
      <c r="AR37" s="25">
        <f t="shared" si="30"/>
        <v>0</v>
      </c>
      <c r="AS37" s="25">
        <f t="shared" si="31"/>
        <v>0</v>
      </c>
      <c r="AT37" s="25">
        <f t="shared" si="32"/>
        <v>0</v>
      </c>
      <c r="AU37" s="25">
        <f t="shared" si="33"/>
        <v>0</v>
      </c>
      <c r="AV37" s="25">
        <v>0</v>
      </c>
      <c r="AW37" s="25">
        <v>0</v>
      </c>
      <c r="AX37" s="25">
        <v>0</v>
      </c>
      <c r="AY37" s="34">
        <f t="shared" si="37"/>
        <v>0</v>
      </c>
      <c r="AZ37" s="33">
        <f t="shared" si="38"/>
        <v>0</v>
      </c>
      <c r="BA37" s="25">
        <f t="shared" si="39"/>
        <v>0</v>
      </c>
      <c r="BB37" s="25">
        <f t="shared" si="40"/>
        <v>0</v>
      </c>
      <c r="BC37" s="25">
        <f t="shared" si="41"/>
        <v>0</v>
      </c>
      <c r="BD37" s="25">
        <f t="shared" si="42"/>
        <v>0</v>
      </c>
      <c r="BE37" s="25">
        <f t="shared" si="43"/>
        <v>0</v>
      </c>
      <c r="BF37" s="25">
        <f t="shared" si="44"/>
        <v>0</v>
      </c>
      <c r="BG37" s="25">
        <v>0</v>
      </c>
      <c r="BH37" s="25">
        <v>0</v>
      </c>
      <c r="BI37" s="25">
        <v>0</v>
      </c>
      <c r="BJ37" s="34">
        <f t="shared" si="48"/>
        <v>0</v>
      </c>
    </row>
    <row r="38" spans="1:62" ht="16" x14ac:dyDescent="0.2">
      <c r="A38" s="69" t="s">
        <v>173</v>
      </c>
      <c r="B38" s="1" t="s">
        <v>171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69" t="s">
        <v>173</v>
      </c>
      <c r="J38" s="25">
        <f t="shared" si="1"/>
        <v>0</v>
      </c>
      <c r="K38" s="25">
        <f t="shared" si="2"/>
        <v>0</v>
      </c>
      <c r="L38" s="25">
        <f t="shared" si="3"/>
        <v>0</v>
      </c>
      <c r="M38" s="27">
        <f t="shared" si="4"/>
        <v>0</v>
      </c>
      <c r="N38" s="35">
        <v>8.0000000000000007E-5</v>
      </c>
      <c r="O38" s="32">
        <v>0</v>
      </c>
      <c r="P38" s="25"/>
      <c r="Q38" s="25">
        <v>1</v>
      </c>
      <c r="R38" s="32">
        <f t="shared" si="57"/>
        <v>8.0000000000000007E-5</v>
      </c>
      <c r="S38" s="33">
        <f t="shared" si="5"/>
        <v>0</v>
      </c>
      <c r="T38" s="25">
        <f t="shared" si="6"/>
        <v>0</v>
      </c>
      <c r="U38" s="25">
        <f t="shared" si="7"/>
        <v>0</v>
      </c>
      <c r="V38" s="25">
        <f t="shared" si="8"/>
        <v>0</v>
      </c>
      <c r="W38" s="25">
        <f t="shared" si="9"/>
        <v>0</v>
      </c>
      <c r="X38" s="25">
        <f t="shared" si="10"/>
        <v>0</v>
      </c>
      <c r="Y38" s="25">
        <f t="shared" si="11"/>
        <v>0</v>
      </c>
      <c r="Z38" s="25">
        <f t="shared" si="12"/>
        <v>0</v>
      </c>
      <c r="AA38" s="25">
        <v>0</v>
      </c>
      <c r="AB38" s="25">
        <f t="shared" si="14"/>
        <v>0</v>
      </c>
      <c r="AC38" s="34">
        <f t="shared" si="15"/>
        <v>0</v>
      </c>
      <c r="AD38" s="33">
        <f t="shared" si="16"/>
        <v>0</v>
      </c>
      <c r="AE38" s="25">
        <f t="shared" si="17"/>
        <v>0</v>
      </c>
      <c r="AF38" s="25">
        <f t="shared" si="18"/>
        <v>0</v>
      </c>
      <c r="AG38" s="25">
        <f t="shared" si="19"/>
        <v>0</v>
      </c>
      <c r="AH38" s="25">
        <f t="shared" si="20"/>
        <v>0</v>
      </c>
      <c r="AI38" s="25">
        <f t="shared" si="21"/>
        <v>0</v>
      </c>
      <c r="AJ38" s="25">
        <f t="shared" si="22"/>
        <v>0</v>
      </c>
      <c r="AK38" s="25">
        <f t="shared" si="23"/>
        <v>0</v>
      </c>
      <c r="AL38" s="25">
        <v>0</v>
      </c>
      <c r="AM38" s="25">
        <f t="shared" si="25"/>
        <v>0</v>
      </c>
      <c r="AN38" s="34">
        <f t="shared" si="26"/>
        <v>0</v>
      </c>
      <c r="AO38" s="33">
        <f t="shared" si="27"/>
        <v>0</v>
      </c>
      <c r="AP38" s="25">
        <f t="shared" si="28"/>
        <v>0</v>
      </c>
      <c r="AQ38" s="25">
        <f t="shared" si="29"/>
        <v>0</v>
      </c>
      <c r="AR38" s="25">
        <f t="shared" si="30"/>
        <v>0</v>
      </c>
      <c r="AS38" s="25">
        <f t="shared" si="31"/>
        <v>0</v>
      </c>
      <c r="AT38" s="25">
        <f t="shared" si="32"/>
        <v>0</v>
      </c>
      <c r="AU38" s="25">
        <f t="shared" si="33"/>
        <v>0</v>
      </c>
      <c r="AV38" s="25">
        <f t="shared" si="34"/>
        <v>0</v>
      </c>
      <c r="AW38" s="25">
        <v>0</v>
      </c>
      <c r="AX38" s="25">
        <f t="shared" si="36"/>
        <v>0</v>
      </c>
      <c r="AY38" s="34">
        <f t="shared" si="37"/>
        <v>0</v>
      </c>
      <c r="AZ38" s="33">
        <f t="shared" si="38"/>
        <v>0</v>
      </c>
      <c r="BA38" s="25">
        <f t="shared" si="39"/>
        <v>0</v>
      </c>
      <c r="BB38" s="25">
        <f t="shared" si="40"/>
        <v>0</v>
      </c>
      <c r="BC38" s="25">
        <f t="shared" si="41"/>
        <v>0</v>
      </c>
      <c r="BD38" s="25">
        <f t="shared" si="42"/>
        <v>0</v>
      </c>
      <c r="BE38" s="25">
        <f t="shared" si="43"/>
        <v>0</v>
      </c>
      <c r="BF38" s="25">
        <f t="shared" si="44"/>
        <v>0</v>
      </c>
      <c r="BG38" s="25">
        <f t="shared" si="45"/>
        <v>0</v>
      </c>
      <c r="BH38" s="25">
        <v>0</v>
      </c>
      <c r="BI38" s="25">
        <f t="shared" si="47"/>
        <v>0</v>
      </c>
      <c r="BJ38" s="34">
        <f t="shared" si="48"/>
        <v>0</v>
      </c>
    </row>
    <row r="39" spans="1:62" ht="16" x14ac:dyDescent="0.2">
      <c r="A39" s="69" t="s">
        <v>172</v>
      </c>
      <c r="B39" s="1" t="s">
        <v>171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69" t="s">
        <v>172</v>
      </c>
      <c r="J39" s="25">
        <f>(0.5*$C$64*1000)/($C$63/1000)</f>
        <v>135000</v>
      </c>
      <c r="K39" s="25">
        <f>(0.35*$C$64*1000)/($C$63/1000)</f>
        <v>94500</v>
      </c>
      <c r="L39" s="25">
        <f>(0.35*$C$65*1000)/($C$63/1000)</f>
        <v>98000</v>
      </c>
      <c r="M39" s="25">
        <v>0</v>
      </c>
      <c r="N39" s="26">
        <v>0.2</v>
      </c>
      <c r="O39" s="25">
        <f>P39*$C$51/$C$49</f>
        <v>0.18427440633245384</v>
      </c>
      <c r="P39" s="25">
        <v>0.9</v>
      </c>
      <c r="Q39" s="25">
        <v>1</v>
      </c>
      <c r="R39" s="25">
        <f>N39*Q39</f>
        <v>0.2</v>
      </c>
      <c r="S39" s="33">
        <f t="shared" si="5"/>
        <v>1.0026286199225524E-4</v>
      </c>
      <c r="T39" s="25">
        <f t="shared" si="6"/>
        <v>1.2713068775488572E-8</v>
      </c>
      <c r="U39" s="25">
        <f t="shared" si="7"/>
        <v>3.73005E-2</v>
      </c>
      <c r="V39" s="25">
        <f t="shared" si="8"/>
        <v>1.3257E-2</v>
      </c>
      <c r="W39" s="25">
        <f t="shared" si="9"/>
        <v>9.0495253976969735E-4</v>
      </c>
      <c r="X39" s="25">
        <f t="shared" si="10"/>
        <v>4.1024221031831106E-4</v>
      </c>
      <c r="Y39" s="25">
        <f t="shared" si="11"/>
        <v>1.3151947500880084E-3</v>
      </c>
      <c r="Z39" s="25">
        <f t="shared" si="12"/>
        <v>5.0131430996127615E-4</v>
      </c>
      <c r="AA39" s="25">
        <f t="shared" si="13"/>
        <v>6.8989877805128416E-8</v>
      </c>
      <c r="AB39" s="25">
        <f t="shared" si="14"/>
        <v>6.5759737504400414E-3</v>
      </c>
      <c r="AC39" s="34">
        <f t="shared" si="15"/>
        <v>7.0773570502791223E-3</v>
      </c>
      <c r="AD39" s="33">
        <f t="shared" si="16"/>
        <v>7.0184003394578676E-5</v>
      </c>
      <c r="AE39" s="25">
        <f t="shared" si="17"/>
        <v>8.8991481428420001E-9</v>
      </c>
      <c r="AF39" s="25">
        <f t="shared" si="18"/>
        <v>2.6110350000000001E-2</v>
      </c>
      <c r="AG39" s="25">
        <f t="shared" si="19"/>
        <v>9.2799000000000006E-3</v>
      </c>
      <c r="AH39" s="25">
        <f t="shared" si="20"/>
        <v>6.3346677783878824E-4</v>
      </c>
      <c r="AI39" s="25">
        <f t="shared" si="21"/>
        <v>2.8716954722281777E-4</v>
      </c>
      <c r="AJ39" s="25">
        <f t="shared" si="22"/>
        <v>9.2063632506160595E-4</v>
      </c>
      <c r="AK39" s="25">
        <f t="shared" si="23"/>
        <v>3.5092001697289337E-4</v>
      </c>
      <c r="AL39" s="25">
        <f t="shared" si="24"/>
        <v>4.8292914463589887E-8</v>
      </c>
      <c r="AM39" s="25">
        <f t="shared" si="25"/>
        <v>4.6031816253080298E-3</v>
      </c>
      <c r="AN39" s="34">
        <f t="shared" si="26"/>
        <v>4.954149935195387E-3</v>
      </c>
      <c r="AO39" s="33">
        <f t="shared" si="27"/>
        <v>7.2783410927711222E-5</v>
      </c>
      <c r="AP39" s="25">
        <f t="shared" si="28"/>
        <v>9.2287462222065201E-9</v>
      </c>
      <c r="AQ39" s="25">
        <f t="shared" si="29"/>
        <v>2.7077399999999998E-2</v>
      </c>
      <c r="AR39" s="25">
        <f t="shared" si="30"/>
        <v>9.6235999999999995E-3</v>
      </c>
      <c r="AS39" s="25">
        <f t="shared" si="31"/>
        <v>6.5692851035133594E-4</v>
      </c>
      <c r="AT39" s="25">
        <f t="shared" si="32"/>
        <v>2.9780545637921832E-4</v>
      </c>
      <c r="AU39" s="25">
        <f t="shared" si="33"/>
        <v>9.5473396673055426E-4</v>
      </c>
      <c r="AV39" s="25">
        <f t="shared" si="34"/>
        <v>3.6391705463855611E-4</v>
      </c>
      <c r="AW39" s="25">
        <f t="shared" si="35"/>
        <v>5.0081540925204338E-8</v>
      </c>
      <c r="AX39" s="25">
        <f t="shared" si="36"/>
        <v>4.7736698336527713E-3</v>
      </c>
      <c r="AY39" s="34">
        <f t="shared" si="37"/>
        <v>5.1376369698322528E-3</v>
      </c>
      <c r="AZ39" s="33">
        <f t="shared" si="38"/>
        <v>0</v>
      </c>
      <c r="BA39" s="25">
        <f t="shared" si="39"/>
        <v>0</v>
      </c>
      <c r="BB39" s="25">
        <f t="shared" si="40"/>
        <v>0</v>
      </c>
      <c r="BC39" s="25">
        <f t="shared" si="41"/>
        <v>0</v>
      </c>
      <c r="BD39" s="25">
        <f t="shared" si="42"/>
        <v>0</v>
      </c>
      <c r="BE39" s="25">
        <f t="shared" si="43"/>
        <v>0</v>
      </c>
      <c r="BF39" s="25">
        <f t="shared" si="44"/>
        <v>0</v>
      </c>
      <c r="BG39" s="25">
        <f t="shared" si="45"/>
        <v>0</v>
      </c>
      <c r="BH39" s="25">
        <f t="shared" si="46"/>
        <v>0</v>
      </c>
      <c r="BI39" s="25">
        <f t="shared" si="47"/>
        <v>0</v>
      </c>
      <c r="BJ39" s="34">
        <f t="shared" si="48"/>
        <v>0</v>
      </c>
    </row>
    <row r="40" spans="1:62" ht="16" x14ac:dyDescent="0.2">
      <c r="A40" s="69" t="s">
        <v>213</v>
      </c>
      <c r="B40" s="1" t="s">
        <v>171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69" t="s">
        <v>213</v>
      </c>
      <c r="J40" s="25">
        <v>0</v>
      </c>
      <c r="K40" s="25">
        <v>0</v>
      </c>
      <c r="L40" s="25">
        <v>0</v>
      </c>
      <c r="M40" s="25">
        <f>(0.01*$C$66*1000)/($C$63/1000)</f>
        <v>5200</v>
      </c>
      <c r="N40" s="26">
        <v>7.5714285714285705E-4</v>
      </c>
      <c r="O40" s="25">
        <f>P40*C51/C49</f>
        <v>1.246571326449882E-3</v>
      </c>
      <c r="P40" s="25">
        <v>6.0882800608828003E-3</v>
      </c>
      <c r="Q40" s="25">
        <v>1</v>
      </c>
      <c r="R40" s="25">
        <f>N40*Q40</f>
        <v>7.5714285714285705E-4</v>
      </c>
      <c r="S40" s="33">
        <f t="shared" si="5"/>
        <v>0</v>
      </c>
      <c r="T40" s="25">
        <f t="shared" si="6"/>
        <v>0</v>
      </c>
      <c r="U40" s="25">
        <f t="shared" si="7"/>
        <v>0</v>
      </c>
      <c r="V40" s="25">
        <f t="shared" si="8"/>
        <v>0</v>
      </c>
      <c r="W40" s="25">
        <f t="shared" si="9"/>
        <v>0</v>
      </c>
      <c r="X40" s="25">
        <f t="shared" si="10"/>
        <v>0</v>
      </c>
      <c r="Y40" s="25">
        <f t="shared" si="11"/>
        <v>0</v>
      </c>
      <c r="Z40" s="25">
        <f t="shared" si="12"/>
        <v>0</v>
      </c>
      <c r="AA40" s="25">
        <v>0</v>
      </c>
      <c r="AB40" s="25">
        <f t="shared" si="14"/>
        <v>0</v>
      </c>
      <c r="AC40" s="34">
        <f t="shared" si="15"/>
        <v>0</v>
      </c>
      <c r="AD40" s="33">
        <f t="shared" si="16"/>
        <v>0</v>
      </c>
      <c r="AE40" s="25">
        <f t="shared" si="17"/>
        <v>0</v>
      </c>
      <c r="AF40" s="25">
        <f t="shared" si="18"/>
        <v>0</v>
      </c>
      <c r="AG40" s="25">
        <f t="shared" si="19"/>
        <v>0</v>
      </c>
      <c r="AH40" s="25">
        <f t="shared" si="20"/>
        <v>0</v>
      </c>
      <c r="AI40" s="25">
        <f t="shared" si="21"/>
        <v>0</v>
      </c>
      <c r="AJ40" s="25">
        <f t="shared" si="22"/>
        <v>0</v>
      </c>
      <c r="AK40" s="25">
        <f t="shared" si="23"/>
        <v>0</v>
      </c>
      <c r="AL40" s="25">
        <v>0</v>
      </c>
      <c r="AM40" s="25">
        <f t="shared" si="25"/>
        <v>0</v>
      </c>
      <c r="AN40" s="34">
        <f t="shared" si="26"/>
        <v>0</v>
      </c>
      <c r="AO40" s="33">
        <f t="shared" si="27"/>
        <v>0</v>
      </c>
      <c r="AP40" s="25">
        <f t="shared" si="28"/>
        <v>0</v>
      </c>
      <c r="AQ40" s="25">
        <f t="shared" si="29"/>
        <v>0</v>
      </c>
      <c r="AR40" s="25">
        <f t="shared" si="30"/>
        <v>0</v>
      </c>
      <c r="AS40" s="25">
        <f t="shared" si="31"/>
        <v>0</v>
      </c>
      <c r="AT40" s="25">
        <f t="shared" si="32"/>
        <v>0</v>
      </c>
      <c r="AU40" s="25">
        <f t="shared" si="33"/>
        <v>0</v>
      </c>
      <c r="AV40" s="25">
        <f t="shared" si="34"/>
        <v>0</v>
      </c>
      <c r="AW40" s="25">
        <v>0</v>
      </c>
      <c r="AX40" s="25">
        <f t="shared" si="36"/>
        <v>0</v>
      </c>
      <c r="AY40" s="34">
        <f t="shared" si="37"/>
        <v>0</v>
      </c>
      <c r="AZ40" s="33">
        <f t="shared" si="38"/>
        <v>3.8619769063683496E-6</v>
      </c>
      <c r="BA40" s="25">
        <f t="shared" si="39"/>
        <v>4.8968857505585615E-10</v>
      </c>
      <c r="BB40" s="25">
        <f t="shared" si="40"/>
        <v>1.43676E-3</v>
      </c>
      <c r="BC40" s="25">
        <f t="shared" si="41"/>
        <v>5.1064000000000003E-4</v>
      </c>
      <c r="BD40" s="25">
        <f t="shared" si="42"/>
        <v>3.485743116149945E-5</v>
      </c>
      <c r="BE40" s="25">
        <f t="shared" si="43"/>
        <v>1.5801922175223834E-5</v>
      </c>
      <c r="BF40" s="25">
        <f t="shared" si="44"/>
        <v>5.0659353336723287E-5</v>
      </c>
      <c r="BG40" s="25">
        <f t="shared" si="45"/>
        <v>5.1007242159581984E-3</v>
      </c>
      <c r="BH40" s="25">
        <v>0</v>
      </c>
      <c r="BI40" s="25">
        <f t="shared" si="47"/>
        <v>6.6908579878691143E-2</v>
      </c>
      <c r="BJ40" s="34">
        <f t="shared" si="48"/>
        <v>7.200930409464934E-2</v>
      </c>
    </row>
    <row r="44" spans="1:62" x14ac:dyDescent="0.2">
      <c r="A44" s="111" t="s">
        <v>170</v>
      </c>
      <c r="B44" s="111"/>
      <c r="C44" s="111"/>
      <c r="D44" s="111"/>
    </row>
    <row r="45" spans="1:62" x14ac:dyDescent="0.2">
      <c r="A45" s="31" t="s">
        <v>169</v>
      </c>
      <c r="B45" s="31" t="s">
        <v>168</v>
      </c>
      <c r="C45" s="31">
        <f>250/365</f>
        <v>0.68493150684931503</v>
      </c>
      <c r="D45" s="31" t="s">
        <v>167</v>
      </c>
    </row>
    <row r="46" spans="1:62" x14ac:dyDescent="0.2">
      <c r="A46" s="31" t="s">
        <v>166</v>
      </c>
      <c r="B46" s="31" t="s">
        <v>165</v>
      </c>
      <c r="C46" s="31">
        <v>25</v>
      </c>
      <c r="D46" s="31" t="s">
        <v>164</v>
      </c>
    </row>
    <row r="47" spans="1:62" x14ac:dyDescent="0.2">
      <c r="A47" s="31" t="s">
        <v>163</v>
      </c>
      <c r="B47" s="31" t="s">
        <v>162</v>
      </c>
      <c r="C47" s="31">
        <v>8</v>
      </c>
      <c r="D47" s="31" t="s">
        <v>161</v>
      </c>
    </row>
    <row r="48" spans="1:62" x14ac:dyDescent="0.2">
      <c r="A48" s="31" t="s">
        <v>160</v>
      </c>
      <c r="B48" s="31" t="s">
        <v>159</v>
      </c>
      <c r="C48" s="31">
        <v>0.03</v>
      </c>
      <c r="D48" s="31" t="s">
        <v>158</v>
      </c>
    </row>
    <row r="49" spans="1:4" ht="16" x14ac:dyDescent="0.2">
      <c r="A49" s="29" t="s">
        <v>157</v>
      </c>
      <c r="B49" s="31" t="s">
        <v>156</v>
      </c>
      <c r="C49" s="31">
        <v>75.8</v>
      </c>
      <c r="D49" s="31" t="s">
        <v>155</v>
      </c>
    </row>
    <row r="50" spans="1:4" ht="32" x14ac:dyDescent="0.2">
      <c r="A50" s="29" t="s">
        <v>154</v>
      </c>
      <c r="B50" s="31" t="s">
        <v>153</v>
      </c>
      <c r="C50" s="31">
        <f>C46*365</f>
        <v>9125</v>
      </c>
      <c r="D50" s="31" t="s">
        <v>128</v>
      </c>
    </row>
    <row r="51" spans="1:4" x14ac:dyDescent="0.2">
      <c r="A51" s="25" t="s">
        <v>152</v>
      </c>
      <c r="B51" s="25" t="s">
        <v>151</v>
      </c>
      <c r="C51" s="25">
        <f>C52*24</f>
        <v>15.52</v>
      </c>
      <c r="D51" s="25" t="s">
        <v>150</v>
      </c>
    </row>
    <row r="52" spans="1:4" ht="16" x14ac:dyDescent="0.2">
      <c r="A52" s="29" t="s">
        <v>149</v>
      </c>
      <c r="B52" s="31" t="s">
        <v>148</v>
      </c>
      <c r="C52" s="31">
        <f>15.52/24</f>
        <v>0.64666666666666661</v>
      </c>
      <c r="D52" s="31" t="s">
        <v>147</v>
      </c>
    </row>
    <row r="53" spans="1:4" ht="32" x14ac:dyDescent="0.2">
      <c r="A53" s="29" t="s">
        <v>146</v>
      </c>
      <c r="B53" s="31" t="s">
        <v>145</v>
      </c>
      <c r="C53" s="31">
        <v>1360000000</v>
      </c>
      <c r="D53" s="31" t="s">
        <v>144</v>
      </c>
    </row>
    <row r="54" spans="1:4" ht="16" x14ac:dyDescent="0.2">
      <c r="A54" s="29" t="s">
        <v>143</v>
      </c>
      <c r="B54" s="31" t="s">
        <v>142</v>
      </c>
      <c r="C54" s="31">
        <f>0.000001</f>
        <v>9.9999999999999995E-7</v>
      </c>
      <c r="D54" s="31" t="s">
        <v>141</v>
      </c>
    </row>
    <row r="55" spans="1:4" ht="32" x14ac:dyDescent="0.2">
      <c r="A55" s="29" t="s">
        <v>140</v>
      </c>
      <c r="B55" s="31" t="s">
        <v>139</v>
      </c>
      <c r="C55" s="31">
        <v>980</v>
      </c>
      <c r="D55" s="31" t="s">
        <v>136</v>
      </c>
    </row>
    <row r="56" spans="1:4" ht="32" x14ac:dyDescent="0.2">
      <c r="A56" s="29" t="s">
        <v>138</v>
      </c>
      <c r="B56" s="31" t="s">
        <v>137</v>
      </c>
      <c r="C56" s="31">
        <v>1250</v>
      </c>
      <c r="D56" s="31" t="s">
        <v>136</v>
      </c>
    </row>
    <row r="57" spans="1:4" ht="32" x14ac:dyDescent="0.2">
      <c r="A57" s="29" t="s">
        <v>135</v>
      </c>
      <c r="B57" s="31" t="s">
        <v>134</v>
      </c>
      <c r="C57" s="31">
        <f>0.2763/1000</f>
        <v>2.7629999999999999E-4</v>
      </c>
      <c r="D57" s="31" t="s">
        <v>131</v>
      </c>
    </row>
    <row r="58" spans="1:4" ht="32" x14ac:dyDescent="0.2">
      <c r="A58" s="29" t="s">
        <v>133</v>
      </c>
      <c r="B58" s="31" t="s">
        <v>132</v>
      </c>
      <c r="C58" s="31">
        <f>0.0982/1000</f>
        <v>9.8200000000000002E-5</v>
      </c>
      <c r="D58" s="31" t="s">
        <v>131</v>
      </c>
    </row>
    <row r="59" spans="1:4" ht="48" x14ac:dyDescent="0.2">
      <c r="A59" s="29" t="s">
        <v>130</v>
      </c>
      <c r="B59" s="31" t="s">
        <v>129</v>
      </c>
      <c r="C59" s="31">
        <f>70*365</f>
        <v>25550</v>
      </c>
      <c r="D59" s="31" t="s">
        <v>128</v>
      </c>
    </row>
    <row r="60" spans="1:4" ht="16" x14ac:dyDescent="0.2">
      <c r="A60" s="29" t="s">
        <v>127</v>
      </c>
      <c r="B60" s="31" t="s">
        <v>126</v>
      </c>
      <c r="C60" s="31">
        <v>10</v>
      </c>
      <c r="D60" s="31" t="s">
        <v>125</v>
      </c>
    </row>
    <row r="61" spans="1:4" ht="23" x14ac:dyDescent="0.2">
      <c r="A61" s="29" t="s">
        <v>124</v>
      </c>
      <c r="B61" s="29" t="s">
        <v>123</v>
      </c>
      <c r="C61" s="30"/>
      <c r="D61" s="29" t="s">
        <v>122</v>
      </c>
    </row>
    <row r="62" spans="1:4" ht="16" x14ac:dyDescent="0.2">
      <c r="A62" s="29" t="s">
        <v>121</v>
      </c>
      <c r="B62" s="29"/>
      <c r="C62" s="29">
        <v>1250</v>
      </c>
      <c r="D62" s="29" t="s">
        <v>120</v>
      </c>
    </row>
    <row r="63" spans="1:4" x14ac:dyDescent="0.2">
      <c r="A63" s="25" t="s">
        <v>119</v>
      </c>
      <c r="B63" s="25" t="s">
        <v>118</v>
      </c>
      <c r="C63" s="25">
        <f>1000</f>
        <v>1000</v>
      </c>
      <c r="D63" s="25" t="s">
        <v>111</v>
      </c>
    </row>
    <row r="64" spans="1:4" x14ac:dyDescent="0.2">
      <c r="A64" s="25" t="s">
        <v>117</v>
      </c>
      <c r="B64" s="25" t="s">
        <v>116</v>
      </c>
      <c r="C64" s="28">
        <f>0.27*C63</f>
        <v>270</v>
      </c>
      <c r="D64" s="25" t="s">
        <v>111</v>
      </c>
    </row>
    <row r="65" spans="1:4" x14ac:dyDescent="0.2">
      <c r="A65" s="25" t="s">
        <v>115</v>
      </c>
      <c r="B65" s="25" t="s">
        <v>114</v>
      </c>
      <c r="C65" s="25">
        <f>0.28*C63</f>
        <v>280</v>
      </c>
      <c r="D65" s="25" t="s">
        <v>111</v>
      </c>
    </row>
    <row r="66" spans="1:4" x14ac:dyDescent="0.2">
      <c r="A66" s="25" t="s">
        <v>113</v>
      </c>
      <c r="B66" s="25" t="s">
        <v>112</v>
      </c>
      <c r="C66" s="25">
        <f>0.52*C63</f>
        <v>520</v>
      </c>
      <c r="D66" s="25" t="s">
        <v>111</v>
      </c>
    </row>
  </sheetData>
  <mergeCells count="6">
    <mergeCell ref="AZ1:BJ1"/>
    <mergeCell ref="C1:H1"/>
    <mergeCell ref="A44:D44"/>
    <mergeCell ref="S1:AC1"/>
    <mergeCell ref="AD1:AN1"/>
    <mergeCell ref="AO1:AY1"/>
  </mergeCells>
  <conditionalFormatting sqref="Z4:AC40">
    <cfRule type="cellIs" dxfId="49" priority="12" operator="greaterThan">
      <formula>1</formula>
    </cfRule>
    <cfRule type="cellIs" dxfId="48" priority="11" operator="lessThan">
      <formula>1</formula>
    </cfRule>
  </conditionalFormatting>
  <conditionalFormatting sqref="AC4:AC40">
    <cfRule type="cellIs" dxfId="47" priority="10" operator="equal">
      <formula>0</formula>
    </cfRule>
  </conditionalFormatting>
  <conditionalFormatting sqref="AK4:AN40">
    <cfRule type="cellIs" dxfId="46" priority="9" operator="greaterThan">
      <formula>1</formula>
    </cfRule>
    <cfRule type="cellIs" dxfId="45" priority="8" operator="lessThan">
      <formula>1</formula>
    </cfRule>
  </conditionalFormatting>
  <conditionalFormatting sqref="AN4:AN40">
    <cfRule type="cellIs" dxfId="44" priority="7" operator="equal">
      <formula>0</formula>
    </cfRule>
  </conditionalFormatting>
  <conditionalFormatting sqref="AV4:AY40">
    <cfRule type="cellIs" dxfId="43" priority="6" operator="greaterThan">
      <formula>1</formula>
    </cfRule>
    <cfRule type="cellIs" dxfId="42" priority="5" operator="lessThan">
      <formula>1</formula>
    </cfRule>
  </conditionalFormatting>
  <conditionalFormatting sqref="AY4:AY40">
    <cfRule type="cellIs" dxfId="41" priority="4" operator="equal">
      <formula>0</formula>
    </cfRule>
  </conditionalFormatting>
  <conditionalFormatting sqref="BG4:BJ40">
    <cfRule type="cellIs" dxfId="40" priority="3" operator="greaterThan">
      <formula>1</formula>
    </cfRule>
    <cfRule type="cellIs" dxfId="39" priority="2" operator="lessThan">
      <formula>1</formula>
    </cfRule>
  </conditionalFormatting>
  <conditionalFormatting sqref="BJ4:BJ40">
    <cfRule type="cellIs" dxfId="38" priority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8FE3D-ACC2-BB4B-B043-CE8304C2F5FA}">
  <dimension ref="A1:BA66"/>
  <sheetViews>
    <sheetView tabSelected="1" topLeftCell="C2" workbookViewId="0">
      <selection activeCell="N7" sqref="N7"/>
    </sheetView>
  </sheetViews>
  <sheetFormatPr baseColWidth="10" defaultRowHeight="15" x14ac:dyDescent="0.2"/>
  <cols>
    <col min="1" max="1" width="15.83203125" style="1" bestFit="1" customWidth="1"/>
    <col min="2" max="5" width="10.83203125" style="1"/>
    <col min="6" max="6" width="12.1640625" style="1" bestFit="1" customWidth="1"/>
    <col min="7" max="8" width="10.83203125" style="1"/>
    <col min="9" max="9" width="13.6640625" style="1" bestFit="1" customWidth="1"/>
    <col min="10" max="13" width="10.83203125" style="1"/>
    <col min="18" max="44" width="0" hidden="1" customWidth="1"/>
  </cols>
  <sheetData>
    <row r="1" spans="1:53" ht="17" thickBot="1" x14ac:dyDescent="0.25">
      <c r="A1" s="25"/>
      <c r="B1" s="25"/>
      <c r="C1" s="110" t="s">
        <v>206</v>
      </c>
      <c r="D1" s="110"/>
      <c r="E1" s="110"/>
      <c r="F1" s="110"/>
      <c r="G1" s="110"/>
      <c r="H1" s="110"/>
      <c r="J1" s="24"/>
      <c r="K1" s="13"/>
      <c r="L1" s="13"/>
      <c r="M1" s="13"/>
      <c r="N1" s="87"/>
      <c r="O1" s="87"/>
      <c r="P1" s="87"/>
      <c r="Q1" s="88"/>
      <c r="R1" s="112" t="s">
        <v>275</v>
      </c>
      <c r="S1" s="113"/>
      <c r="T1" s="113"/>
      <c r="U1" s="113"/>
      <c r="V1" s="113"/>
      <c r="W1" s="113"/>
      <c r="X1" s="113"/>
      <c r="Y1" s="113"/>
      <c r="Z1" s="114"/>
      <c r="AA1" s="115" t="s">
        <v>276</v>
      </c>
      <c r="AB1" s="116"/>
      <c r="AC1" s="116"/>
      <c r="AD1" s="116"/>
      <c r="AE1" s="116"/>
      <c r="AF1" s="116"/>
      <c r="AG1" s="116"/>
      <c r="AH1" s="116"/>
      <c r="AI1" s="117"/>
      <c r="AJ1" s="118" t="s">
        <v>277</v>
      </c>
      <c r="AK1" s="119"/>
      <c r="AL1" s="119"/>
      <c r="AM1" s="119"/>
      <c r="AN1" s="119"/>
      <c r="AO1" s="119"/>
      <c r="AP1" s="119"/>
      <c r="AQ1" s="119"/>
      <c r="AR1" s="120"/>
      <c r="AS1" s="121" t="s">
        <v>278</v>
      </c>
      <c r="AT1" s="122"/>
      <c r="AU1" s="122"/>
      <c r="AV1" s="122"/>
      <c r="AW1" s="122"/>
      <c r="AX1" s="122"/>
      <c r="AY1" s="122"/>
      <c r="AZ1" s="122"/>
      <c r="BA1" s="123"/>
    </row>
    <row r="2" spans="1:53" ht="16" x14ac:dyDescent="0.2">
      <c r="A2" s="40" t="s">
        <v>205</v>
      </c>
      <c r="B2" s="40" t="s">
        <v>204</v>
      </c>
      <c r="C2" s="40" t="s">
        <v>105</v>
      </c>
      <c r="D2" s="40" t="s">
        <v>203</v>
      </c>
      <c r="E2" s="40" t="s">
        <v>202</v>
      </c>
      <c r="F2" s="40" t="s">
        <v>94</v>
      </c>
      <c r="G2" s="40" t="s">
        <v>90</v>
      </c>
      <c r="H2" s="40" t="s">
        <v>201</v>
      </c>
      <c r="I2" s="86" t="s">
        <v>205</v>
      </c>
      <c r="J2" s="89" t="s">
        <v>208</v>
      </c>
      <c r="K2" s="126" t="s">
        <v>209</v>
      </c>
      <c r="L2" s="126" t="s">
        <v>210</v>
      </c>
      <c r="M2" s="127" t="s">
        <v>211</v>
      </c>
      <c r="N2" s="128" t="s">
        <v>265</v>
      </c>
      <c r="O2" s="128" t="s">
        <v>274</v>
      </c>
      <c r="P2" s="129" t="s">
        <v>197</v>
      </c>
      <c r="Q2" s="90" t="s">
        <v>263</v>
      </c>
      <c r="R2" s="71" t="s">
        <v>191</v>
      </c>
      <c r="S2" s="72" t="s">
        <v>190</v>
      </c>
      <c r="T2" s="72" t="s">
        <v>187</v>
      </c>
      <c r="U2" s="72" t="s">
        <v>186</v>
      </c>
      <c r="V2" s="72" t="s">
        <v>185</v>
      </c>
      <c r="W2" s="73" t="s">
        <v>273</v>
      </c>
      <c r="X2" s="73" t="s">
        <v>272</v>
      </c>
      <c r="Y2" s="73" t="s">
        <v>271</v>
      </c>
      <c r="Z2" s="74" t="s">
        <v>270</v>
      </c>
      <c r="AA2" s="83" t="s">
        <v>191</v>
      </c>
      <c r="AB2" s="70" t="s">
        <v>190</v>
      </c>
      <c r="AC2" s="70" t="s">
        <v>187</v>
      </c>
      <c r="AD2" s="70" t="s">
        <v>186</v>
      </c>
      <c r="AE2" s="70" t="s">
        <v>185</v>
      </c>
      <c r="AF2" s="84" t="s">
        <v>273</v>
      </c>
      <c r="AG2" s="84" t="s">
        <v>272</v>
      </c>
      <c r="AH2" s="84" t="s">
        <v>271</v>
      </c>
      <c r="AI2" s="85" t="s">
        <v>270</v>
      </c>
      <c r="AJ2" s="92" t="s">
        <v>191</v>
      </c>
      <c r="AK2" s="93" t="s">
        <v>190</v>
      </c>
      <c r="AL2" s="93" t="s">
        <v>187</v>
      </c>
      <c r="AM2" s="93" t="s">
        <v>186</v>
      </c>
      <c r="AN2" s="93" t="s">
        <v>185</v>
      </c>
      <c r="AO2" s="94" t="s">
        <v>273</v>
      </c>
      <c r="AP2" s="94" t="s">
        <v>272</v>
      </c>
      <c r="AQ2" s="94" t="s">
        <v>271</v>
      </c>
      <c r="AR2" s="95" t="s">
        <v>270</v>
      </c>
      <c r="AS2" s="96" t="s">
        <v>191</v>
      </c>
      <c r="AT2" s="97" t="s">
        <v>190</v>
      </c>
      <c r="AU2" s="97" t="s">
        <v>187</v>
      </c>
      <c r="AV2" s="97" t="s">
        <v>186</v>
      </c>
      <c r="AW2" s="97" t="s">
        <v>185</v>
      </c>
      <c r="AX2" s="98" t="s">
        <v>273</v>
      </c>
      <c r="AY2" s="98" t="s">
        <v>272</v>
      </c>
      <c r="AZ2" s="98" t="s">
        <v>271</v>
      </c>
      <c r="BA2" s="99" t="s">
        <v>270</v>
      </c>
    </row>
    <row r="3" spans="1:53" ht="16" x14ac:dyDescent="0.2">
      <c r="A3" s="40"/>
      <c r="B3" s="40"/>
      <c r="C3" s="40" t="s">
        <v>106</v>
      </c>
      <c r="D3" s="40" t="s">
        <v>184</v>
      </c>
      <c r="E3" s="40" t="s">
        <v>99</v>
      </c>
      <c r="F3" s="40" t="s">
        <v>183</v>
      </c>
      <c r="G3" s="40" t="s">
        <v>182</v>
      </c>
      <c r="H3" s="40" t="s">
        <v>207</v>
      </c>
      <c r="I3" s="86"/>
      <c r="J3" s="41"/>
      <c r="K3" s="130"/>
      <c r="L3" s="130"/>
      <c r="M3" s="127"/>
      <c r="N3" s="128" t="s">
        <v>269</v>
      </c>
      <c r="O3" s="128" t="s">
        <v>269</v>
      </c>
      <c r="P3" s="129" t="s">
        <v>180</v>
      </c>
      <c r="Q3" s="90" t="s">
        <v>269</v>
      </c>
      <c r="R3" s="47" t="s">
        <v>122</v>
      </c>
      <c r="S3" s="48" t="s">
        <v>122</v>
      </c>
      <c r="T3" s="48" t="s">
        <v>179</v>
      </c>
      <c r="U3" s="48" t="s">
        <v>179</v>
      </c>
      <c r="V3" s="48" t="s">
        <v>122</v>
      </c>
      <c r="W3" s="48"/>
      <c r="X3" s="48"/>
      <c r="Y3" s="48"/>
      <c r="Z3" s="49"/>
      <c r="AA3" s="50" t="s">
        <v>122</v>
      </c>
      <c r="AB3" s="51" t="s">
        <v>122</v>
      </c>
      <c r="AC3" s="51" t="s">
        <v>179</v>
      </c>
      <c r="AD3" s="51" t="s">
        <v>179</v>
      </c>
      <c r="AE3" s="51" t="s">
        <v>122</v>
      </c>
      <c r="AF3" s="51"/>
      <c r="AG3" s="51"/>
      <c r="AH3" s="51"/>
      <c r="AI3" s="52"/>
      <c r="AJ3" s="53" t="s">
        <v>122</v>
      </c>
      <c r="AK3" s="54" t="s">
        <v>122</v>
      </c>
      <c r="AL3" s="54" t="s">
        <v>179</v>
      </c>
      <c r="AM3" s="54" t="s">
        <v>179</v>
      </c>
      <c r="AN3" s="54" t="s">
        <v>122</v>
      </c>
      <c r="AO3" s="54"/>
      <c r="AP3" s="54"/>
      <c r="AQ3" s="54"/>
      <c r="AR3" s="55"/>
      <c r="AS3" s="56" t="s">
        <v>122</v>
      </c>
      <c r="AT3" s="57" t="s">
        <v>122</v>
      </c>
      <c r="AU3" s="57" t="s">
        <v>179</v>
      </c>
      <c r="AV3" s="57" t="s">
        <v>179</v>
      </c>
      <c r="AW3" s="57" t="s">
        <v>122</v>
      </c>
      <c r="AX3" s="57"/>
      <c r="AY3" s="57"/>
      <c r="AZ3" s="57"/>
      <c r="BA3" s="58"/>
    </row>
    <row r="4" spans="1:53" ht="16" x14ac:dyDescent="0.2">
      <c r="A4" s="69" t="s">
        <v>49</v>
      </c>
      <c r="B4" s="1" t="s">
        <v>171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69" t="s">
        <v>49</v>
      </c>
      <c r="J4" s="33">
        <f>C4*0.12+0.58*(F4)</f>
        <v>0</v>
      </c>
      <c r="K4" s="131">
        <f>0.12*C4+0.58*(0.5*F4+0.5*G4)</f>
        <v>0</v>
      </c>
      <c r="L4" s="131">
        <f>0.1*D4+0.6*(0.5*F4+0.5*G4)</f>
        <v>0</v>
      </c>
      <c r="M4" s="131">
        <f>0.12*E4+0.27*H4</f>
        <v>0</v>
      </c>
      <c r="N4" s="132">
        <v>0</v>
      </c>
      <c r="O4" s="132">
        <v>0</v>
      </c>
      <c r="P4" s="131">
        <v>7.0000000000000007E-2</v>
      </c>
      <c r="Q4" s="67">
        <v>0</v>
      </c>
      <c r="R4" s="68">
        <f t="shared" ref="R4:R40" si="0">(J4/1000*$C$48*$C$45*$C$46)/($C$49*$C$59)</f>
        <v>0</v>
      </c>
      <c r="S4" s="59">
        <f t="shared" ref="S4:S40" si="1">(J4*$C$52*$C$45*$C$46*$C$47)/($C$49*$C$59*$C$53)</f>
        <v>0</v>
      </c>
      <c r="T4" s="59">
        <f t="shared" ref="T4:T40" si="2">((J4/1000*$C$57)*$C$55*$C$45*$C$46)/($C$49*$C$59)</f>
        <v>0</v>
      </c>
      <c r="U4" s="59">
        <f t="shared" ref="U4:U40" si="3">((J4/1000*$C$58)*$C$56*$C$45*$C$46)/($C$49*$C$59)</f>
        <v>0</v>
      </c>
      <c r="V4" s="59">
        <f>T4+U4</f>
        <v>0</v>
      </c>
      <c r="W4" s="59">
        <f>R4*N4</f>
        <v>0</v>
      </c>
      <c r="X4" s="59">
        <f>S4*O4</f>
        <v>0</v>
      </c>
      <c r="Y4" s="59">
        <f>U4*Q4</f>
        <v>0</v>
      </c>
      <c r="Z4" s="67">
        <f>SUM(W4:Y4)</f>
        <v>0</v>
      </c>
      <c r="AA4" s="68">
        <f>(K4/1000*$C$48*$C$45*$C$46)/($C$49*$C$59)</f>
        <v>0</v>
      </c>
      <c r="AB4" s="59">
        <f>(K4*$C$52*$C$45*$C$46*$C$47)/($C$49*$C$59*$C$53)</f>
        <v>0</v>
      </c>
      <c r="AC4" s="59">
        <f>((K4/1000*$C$57)*$C$55*$C$45*$C$46)/($C$49*$C$59)</f>
        <v>0</v>
      </c>
      <c r="AD4" s="59">
        <f>((K4/1000*$C$58)*$C$56*$C$45*$C$46)/($C$49*$C$59)</f>
        <v>0</v>
      </c>
      <c r="AE4" s="59">
        <f>AC4+AD4</f>
        <v>0</v>
      </c>
      <c r="AF4" s="59">
        <f>AA4*N4</f>
        <v>0</v>
      </c>
      <c r="AG4" s="59">
        <f>AB4*O4</f>
        <v>0</v>
      </c>
      <c r="AH4" s="59">
        <f>AD4*Q4</f>
        <v>0</v>
      </c>
      <c r="AI4" s="67">
        <f>SUM(AF4:AH4)</f>
        <v>0</v>
      </c>
      <c r="AJ4" s="68">
        <f>(L4/1000*$C$48*$C$45*$C$46)/($C$49*$C$59)</f>
        <v>0</v>
      </c>
      <c r="AK4" s="59">
        <f>(L4*$C$52*$C$45*$C$46*$C$47)/($C$49*$C$59*$C$53)</f>
        <v>0</v>
      </c>
      <c r="AL4" s="59">
        <f>((L4/1000*$C$57)*$C$55*$C$45*$C$46)/($C$49*$C$59)</f>
        <v>0</v>
      </c>
      <c r="AM4" s="59">
        <f>((L4/1000*$C$58)*$C$56*$C$45*$C$46)/($C$49*$C$59)</f>
        <v>0</v>
      </c>
      <c r="AN4" s="59">
        <f>AL4+AM4</f>
        <v>0</v>
      </c>
      <c r="AO4" s="59">
        <f>AJ4*N4</f>
        <v>0</v>
      </c>
      <c r="AP4" s="59">
        <f>AK4*O4</f>
        <v>0</v>
      </c>
      <c r="AQ4" s="59">
        <f>AM4*Q4</f>
        <v>0</v>
      </c>
      <c r="AR4" s="67">
        <f>SUM(AO4:AQ4)</f>
        <v>0</v>
      </c>
      <c r="AS4" s="68">
        <f>(M4/1000*$C$48*$C$45*$C$46)/($C$49*$C$59)</f>
        <v>0</v>
      </c>
      <c r="AT4" s="59">
        <f>(M4*$C$52*$C$45*$C$46*$C$47)/($C$49*$C$59*$C$53)</f>
        <v>0</v>
      </c>
      <c r="AU4" s="59">
        <f>((M4/1000*$C$57)*$C$55*$C$45*$C$46)/($C$49*$C$59)</f>
        <v>0</v>
      </c>
      <c r="AV4" s="59">
        <f>((M4/1000*$C$58)*$C$56*$C$45*$C$46)/($C$49*$C$59)</f>
        <v>0</v>
      </c>
      <c r="AW4" s="59">
        <f>AU4+AV4</f>
        <v>0</v>
      </c>
      <c r="AX4" s="59">
        <f>AS4*N4</f>
        <v>0</v>
      </c>
      <c r="AY4" s="59">
        <f>AT4*O4</f>
        <v>0</v>
      </c>
      <c r="AZ4" s="59">
        <f>AV4*Q4</f>
        <v>0</v>
      </c>
      <c r="BA4" s="67">
        <f>SUM(AX4:AZ4)</f>
        <v>0</v>
      </c>
    </row>
    <row r="5" spans="1:53" ht="16" x14ac:dyDescent="0.2">
      <c r="A5" s="69" t="s">
        <v>88</v>
      </c>
      <c r="B5" s="1" t="s">
        <v>171</v>
      </c>
      <c r="C5" s="1">
        <v>0</v>
      </c>
      <c r="D5" s="1">
        <v>3.12</v>
      </c>
      <c r="E5" s="1">
        <v>410</v>
      </c>
      <c r="F5" s="1">
        <v>318</v>
      </c>
      <c r="G5" s="1">
        <v>13.4</v>
      </c>
      <c r="H5" s="1">
        <v>2.78</v>
      </c>
      <c r="I5" s="69" t="s">
        <v>88</v>
      </c>
      <c r="J5" s="33">
        <f t="shared" ref="J5:J38" si="4">C5*0.12+0.58*(F5)</f>
        <v>184.44</v>
      </c>
      <c r="K5" s="131">
        <f t="shared" ref="K5:K38" si="5">0.12*C5+0.58*(0.5*F5+0.5*G5)</f>
        <v>96.10599999999998</v>
      </c>
      <c r="L5" s="131">
        <f t="shared" ref="L5:L38" si="6">0.1*D5+0.6*(0.5*F5+0.5*G5)</f>
        <v>99.731999999999985</v>
      </c>
      <c r="M5" s="131">
        <f t="shared" ref="M5:M38" si="7">0.12*E5+0.27*H5</f>
        <v>49.950599999999994</v>
      </c>
      <c r="N5" s="132">
        <v>0</v>
      </c>
      <c r="O5" s="132">
        <v>0</v>
      </c>
      <c r="P5" s="131">
        <v>1</v>
      </c>
      <c r="Q5" s="67">
        <v>0</v>
      </c>
      <c r="R5" s="68">
        <f t="shared" si="0"/>
        <v>4.8921910756221047E-8</v>
      </c>
      <c r="S5" s="59">
        <f t="shared" si="1"/>
        <v>6.2031703834685514E-12</v>
      </c>
      <c r="T5" s="59">
        <f t="shared" si="2"/>
        <v>4.4155938210349993E-7</v>
      </c>
      <c r="U5" s="59">
        <f t="shared" si="3"/>
        <v>2.0017215151087116E-7</v>
      </c>
      <c r="V5" s="59">
        <f t="shared" ref="V5:V40" si="8">T5+U5</f>
        <v>6.4173153361437107E-7</v>
      </c>
      <c r="W5" s="59">
        <f t="shared" ref="W5:W40" si="9">R5*N5</f>
        <v>0</v>
      </c>
      <c r="X5" s="59">
        <f t="shared" ref="X5:X40" si="10">S5*O5</f>
        <v>0</v>
      </c>
      <c r="Y5" s="59">
        <f t="shared" ref="Y5:Y40" si="11">U5*Q5</f>
        <v>0</v>
      </c>
      <c r="Z5" s="67">
        <f t="shared" ref="Z5:Z40" si="12">SUM(W5:Y5)</f>
        <v>0</v>
      </c>
      <c r="AA5" s="68">
        <f t="shared" ref="AA5:AA40" si="13">(K5/1000*$C$48*$C$45*$C$46)/($C$49*$C$59)</f>
        <v>2.5491700038697568E-8</v>
      </c>
      <c r="AB5" s="59">
        <f t="shared" ref="AB5:AB40" si="14">(K5*$C$52*$C$45*$C$46*$C$47)/($C$49*$C$59*$C$53)</f>
        <v>3.2322809199394295E-12</v>
      </c>
      <c r="AC5" s="59">
        <f t="shared" ref="AC5:AC40" si="15">((K5/1000*$C$57)*$C$55*$C$45*$C$46)/($C$49*$C$59)</f>
        <v>2.3008298620927652E-7</v>
      </c>
      <c r="AD5" s="59">
        <f t="shared" ref="AD5:AD40" si="16">((K5/1000*$C$58)*$C$56*$C$45*$C$46)/($C$49*$C$59)</f>
        <v>1.0430353932500421E-7</v>
      </c>
      <c r="AE5" s="59">
        <f t="shared" ref="AE5:AE40" si="17">AC5+AD5</f>
        <v>3.3438652553428071E-7</v>
      </c>
      <c r="AF5" s="59">
        <f t="shared" ref="AF5:AF40" si="18">AA5*N5</f>
        <v>0</v>
      </c>
      <c r="AG5" s="59">
        <f t="shared" ref="AG5:AG40" si="19">AB5*O5</f>
        <v>0</v>
      </c>
      <c r="AH5" s="59">
        <f t="shared" ref="AH5:AH40" si="20">AD5*Q5</f>
        <v>0</v>
      </c>
      <c r="AI5" s="67">
        <f t="shared" ref="AI5:AI40" si="21">SUM(AF5:AH5)</f>
        <v>0</v>
      </c>
      <c r="AJ5" s="68">
        <f t="shared" ref="AJ5:AJ40" si="22">(L5/1000*$C$48*$C$45*$C$46)/($C$49*$C$59)</f>
        <v>2.6453480825956613E-8</v>
      </c>
      <c r="AK5" s="59">
        <f t="shared" ref="AK5:AK40" si="23">(L5*$C$52*$C$45*$C$46*$C$47)/($C$49*$C$59*$C$53)</f>
        <v>3.3542322093043016E-12</v>
      </c>
      <c r="AL5" s="59">
        <f t="shared" ref="AL5:AL40" si="24">((L5/1000*$C$57)*$C$55*$C$45*$C$46)/($C$49*$C$59)</f>
        <v>2.3876382723891921E-7</v>
      </c>
      <c r="AM5" s="59">
        <f t="shared" ref="AM5:AM40" si="25">((L5/1000*$C$58)*$C$56*$C$45*$C$46)/($C$49*$C$59)</f>
        <v>1.0823882571287247E-7</v>
      </c>
      <c r="AN5" s="59">
        <f t="shared" ref="AN5:AN40" si="26">AL5+AM5</f>
        <v>3.4700265295179166E-7</v>
      </c>
      <c r="AO5" s="59">
        <f t="shared" ref="AO5:AO40" si="27">AJ5*N5</f>
        <v>0</v>
      </c>
      <c r="AP5" s="59">
        <f t="shared" ref="AP5:AP40" si="28">AK5*O5</f>
        <v>0</v>
      </c>
      <c r="AQ5" s="59">
        <f t="shared" ref="AQ5:AQ40" si="29">AM5*Q5</f>
        <v>0</v>
      </c>
      <c r="AR5" s="67">
        <f t="shared" ref="AR5:AR40" si="30">SUM(AO5:AQ5)</f>
        <v>0</v>
      </c>
      <c r="AS5" s="68">
        <f t="shared" ref="AS5:AS39" si="31">(M5/1000*$C$48*$C$45*$C$46)/($C$49*$C$59)</f>
        <v>1.3249180196376575E-8</v>
      </c>
      <c r="AT5" s="59">
        <f t="shared" ref="AT5:AT40" si="32">(M5*$C$52*$C$45*$C$46*$C$47)/($C$49*$C$59*$C$53)</f>
        <v>1.6799614105209508E-12</v>
      </c>
      <c r="AU5" s="59">
        <f t="shared" ref="AU5:AU39" si="33">((M5/1000*$C$57)*$C$55*$C$45*$C$46)/($C$49*$C$59)</f>
        <v>1.1958445061645569E-7</v>
      </c>
      <c r="AV5" s="59">
        <f t="shared" ref="AV5:AV40" si="34">((M5/1000*$C$58)*$C$56*$C$45*$C$46)/($C$49*$C$59)</f>
        <v>5.4211228970174142E-8</v>
      </c>
      <c r="AW5" s="59">
        <f t="shared" ref="AW5:AW40" si="35">AU5+AV5</f>
        <v>1.7379567958662982E-7</v>
      </c>
      <c r="AX5" s="59">
        <f t="shared" ref="AX5:AX39" si="36">AS5*N5</f>
        <v>0</v>
      </c>
      <c r="AY5" s="59">
        <f t="shared" ref="AY5:AY40" si="37">AT5*O5</f>
        <v>0</v>
      </c>
      <c r="AZ5" s="59">
        <f t="shared" ref="AZ5:AZ39" si="38">AV5*Q5</f>
        <v>0</v>
      </c>
      <c r="BA5" s="67">
        <f t="shared" ref="BA5:BA40" si="39">SUM(AX5:AZ5)</f>
        <v>0</v>
      </c>
    </row>
    <row r="6" spans="1:53" ht="16" x14ac:dyDescent="0.2">
      <c r="A6" s="69" t="s">
        <v>96</v>
      </c>
      <c r="B6" s="1" t="s">
        <v>171</v>
      </c>
      <c r="C6" s="1">
        <v>0</v>
      </c>
      <c r="D6" s="1">
        <v>4.1900000000000004</v>
      </c>
      <c r="E6" s="1">
        <v>15.6</v>
      </c>
      <c r="F6" s="1">
        <v>10.92</v>
      </c>
      <c r="G6" s="1">
        <v>0.6</v>
      </c>
      <c r="H6" s="1">
        <v>58.65</v>
      </c>
      <c r="I6" s="69" t="s">
        <v>96</v>
      </c>
      <c r="J6" s="33">
        <f t="shared" si="4"/>
        <v>6.3335999999999997</v>
      </c>
      <c r="K6" s="131">
        <f t="shared" si="5"/>
        <v>3.3407999999999998</v>
      </c>
      <c r="L6" s="131">
        <f t="shared" si="6"/>
        <v>3.875</v>
      </c>
      <c r="M6" s="131">
        <f t="shared" si="7"/>
        <v>17.707500000000003</v>
      </c>
      <c r="N6" s="132">
        <v>0</v>
      </c>
      <c r="O6" s="132">
        <v>0</v>
      </c>
      <c r="P6" s="131">
        <v>7.0000000000000007E-2</v>
      </c>
      <c r="Q6" s="67">
        <v>0</v>
      </c>
      <c r="R6" s="68">
        <f t="shared" si="0"/>
        <v>1.6799599542702323E-9</v>
      </c>
      <c r="S6" s="59">
        <f t="shared" si="1"/>
        <v>2.1301453014929739E-13</v>
      </c>
      <c r="T6" s="59">
        <f t="shared" si="2"/>
        <v>1.5162982555252264E-8</v>
      </c>
      <c r="U6" s="59">
        <f t="shared" si="3"/>
        <v>6.8738361462223678E-9</v>
      </c>
      <c r="V6" s="59">
        <f t="shared" si="8"/>
        <v>2.2036818701474632E-8</v>
      </c>
      <c r="W6" s="59">
        <f t="shared" si="9"/>
        <v>0</v>
      </c>
      <c r="X6" s="59">
        <f t="shared" si="10"/>
        <v>0</v>
      </c>
      <c r="Y6" s="59">
        <f t="shared" si="11"/>
        <v>0</v>
      </c>
      <c r="Z6" s="67">
        <f t="shared" si="12"/>
        <v>0</v>
      </c>
      <c r="AA6" s="68">
        <f t="shared" si="13"/>
        <v>8.8613272313155095E-10</v>
      </c>
      <c r="AB6" s="59">
        <f t="shared" si="14"/>
        <v>1.123593126062228E-13</v>
      </c>
      <c r="AC6" s="59">
        <f t="shared" si="15"/>
        <v>7.9980567324407528E-9</v>
      </c>
      <c r="AD6" s="59">
        <f t="shared" si="16"/>
        <v>3.6257597254799298E-9</v>
      </c>
      <c r="AE6" s="59">
        <f t="shared" si="17"/>
        <v>1.1623816457920682E-8</v>
      </c>
      <c r="AF6" s="59">
        <f t="shared" si="18"/>
        <v>0</v>
      </c>
      <c r="AG6" s="59">
        <f t="shared" si="19"/>
        <v>0</v>
      </c>
      <c r="AH6" s="59">
        <f t="shared" si="20"/>
        <v>0</v>
      </c>
      <c r="AI6" s="67">
        <f t="shared" si="21"/>
        <v>0</v>
      </c>
      <c r="AJ6" s="68">
        <f t="shared" si="22"/>
        <v>1.0278269582539392E-9</v>
      </c>
      <c r="AK6" s="59">
        <f t="shared" si="23"/>
        <v>1.3032577117729685E-13</v>
      </c>
      <c r="AL6" s="59">
        <f t="shared" si="24"/>
        <v>9.2769605598084041E-9</v>
      </c>
      <c r="AM6" s="59">
        <f t="shared" si="25"/>
        <v>4.2055253041890352E-9</v>
      </c>
      <c r="AN6" s="59">
        <f t="shared" si="26"/>
        <v>1.3482485863997439E-8</v>
      </c>
      <c r="AO6" s="59">
        <f t="shared" si="27"/>
        <v>0</v>
      </c>
      <c r="AP6" s="59">
        <f t="shared" si="28"/>
        <v>0</v>
      </c>
      <c r="AQ6" s="59">
        <f t="shared" si="29"/>
        <v>0</v>
      </c>
      <c r="AR6" s="67">
        <f t="shared" si="30"/>
        <v>0</v>
      </c>
      <c r="AS6" s="68">
        <f t="shared" si="31"/>
        <v>4.696837642137196E-9</v>
      </c>
      <c r="AT6" s="59">
        <f t="shared" si="32"/>
        <v>5.9554673370889924E-13</v>
      </c>
      <c r="AU6" s="59">
        <f t="shared" si="33"/>
        <v>4.2392717190401909E-8</v>
      </c>
      <c r="AV6" s="59">
        <f t="shared" si="34"/>
        <v>1.9217894019078031E-8</v>
      </c>
      <c r="AW6" s="59">
        <f t="shared" si="35"/>
        <v>6.1610611209479943E-8</v>
      </c>
      <c r="AX6" s="59">
        <f t="shared" si="36"/>
        <v>0</v>
      </c>
      <c r="AY6" s="59">
        <f t="shared" si="37"/>
        <v>0</v>
      </c>
      <c r="AZ6" s="59">
        <f t="shared" si="38"/>
        <v>0</v>
      </c>
      <c r="BA6" s="67">
        <f t="shared" si="39"/>
        <v>0</v>
      </c>
    </row>
    <row r="7" spans="1:53" ht="16" x14ac:dyDescent="0.2">
      <c r="A7" s="69" t="s">
        <v>100</v>
      </c>
      <c r="B7" s="1" t="s">
        <v>171</v>
      </c>
      <c r="C7" s="1">
        <v>0</v>
      </c>
      <c r="D7" s="1">
        <v>0</v>
      </c>
      <c r="E7" s="1">
        <v>2.0199999999999999E-2</v>
      </c>
      <c r="F7" s="1">
        <v>2.9399999999999999E-2</v>
      </c>
      <c r="G7" s="1">
        <v>0</v>
      </c>
      <c r="H7" s="1">
        <v>0</v>
      </c>
      <c r="I7" s="69" t="s">
        <v>100</v>
      </c>
      <c r="J7" s="75">
        <f t="shared" si="4"/>
        <v>1.7051999999999998E-2</v>
      </c>
      <c r="K7" s="133">
        <f t="shared" si="5"/>
        <v>8.5259999999999989E-3</v>
      </c>
      <c r="L7" s="133">
        <f t="shared" si="6"/>
        <v>8.8199999999999997E-3</v>
      </c>
      <c r="M7" s="133">
        <f t="shared" si="7"/>
        <v>2.4239999999999999E-3</v>
      </c>
      <c r="N7" s="133">
        <v>0.17</v>
      </c>
      <c r="O7" s="59">
        <v>0</v>
      </c>
      <c r="P7" s="133">
        <v>7.0000000000000001E-3</v>
      </c>
      <c r="Q7" s="77">
        <f>N7/P7</f>
        <v>24.285714285714288</v>
      </c>
      <c r="R7" s="75">
        <f t="shared" si="0"/>
        <v>4.5229691076506249E-12</v>
      </c>
      <c r="S7" s="76">
        <f t="shared" si="1"/>
        <v>5.7350065809426216E-16</v>
      </c>
      <c r="T7" s="76">
        <f t="shared" si="2"/>
        <v>4.0823414571833008E-11</v>
      </c>
      <c r="U7" s="76">
        <f t="shared" si="3"/>
        <v>1.8506481932137141E-11</v>
      </c>
      <c r="V7" s="76">
        <f t="shared" si="8"/>
        <v>5.9329896503970149E-11</v>
      </c>
      <c r="W7" s="59">
        <f t="shared" si="9"/>
        <v>7.689047483006063E-13</v>
      </c>
      <c r="X7" s="59">
        <f t="shared" si="10"/>
        <v>0</v>
      </c>
      <c r="Y7" s="59">
        <f t="shared" si="11"/>
        <v>4.4944313263761633E-10</v>
      </c>
      <c r="Z7" s="67">
        <f t="shared" si="12"/>
        <v>4.5021203738591692E-10</v>
      </c>
      <c r="AA7" s="75">
        <f t="shared" si="13"/>
        <v>2.2614845538253125E-12</v>
      </c>
      <c r="AB7" s="76">
        <f t="shared" si="14"/>
        <v>2.8675032904713108E-16</v>
      </c>
      <c r="AC7" s="76">
        <f t="shared" si="15"/>
        <v>2.0411707285916504E-11</v>
      </c>
      <c r="AD7" s="76">
        <f t="shared" si="16"/>
        <v>9.2532409660685703E-12</v>
      </c>
      <c r="AE7" s="76">
        <f t="shared" si="17"/>
        <v>2.9664948251985074E-11</v>
      </c>
      <c r="AF7" s="59">
        <f t="shared" si="18"/>
        <v>3.8445237415030315E-13</v>
      </c>
      <c r="AG7" s="59">
        <f t="shared" si="19"/>
        <v>0</v>
      </c>
      <c r="AH7" s="59">
        <f t="shared" si="20"/>
        <v>2.2472156631880816E-10</v>
      </c>
      <c r="AI7" s="67">
        <f t="shared" si="21"/>
        <v>2.2510601869295846E-10</v>
      </c>
      <c r="AJ7" s="75">
        <f t="shared" si="22"/>
        <v>2.3394667798192888E-12</v>
      </c>
      <c r="AK7" s="76">
        <f t="shared" si="23"/>
        <v>2.9663827142806665E-16</v>
      </c>
      <c r="AL7" s="76">
        <f t="shared" si="24"/>
        <v>2.1115559261292939E-11</v>
      </c>
      <c r="AM7" s="76">
        <f t="shared" si="25"/>
        <v>9.5723182407605924E-12</v>
      </c>
      <c r="AN7" s="76">
        <f t="shared" si="26"/>
        <v>3.0687877502053533E-11</v>
      </c>
      <c r="AO7" s="59">
        <f t="shared" si="27"/>
        <v>3.9770935256927913E-13</v>
      </c>
      <c r="AP7" s="59">
        <f t="shared" si="28"/>
        <v>0</v>
      </c>
      <c r="AQ7" s="59">
        <f t="shared" si="29"/>
        <v>2.3247058584704297E-10</v>
      </c>
      <c r="AR7" s="67">
        <f t="shared" si="30"/>
        <v>2.3286829519961228E-10</v>
      </c>
      <c r="AS7" s="68">
        <f t="shared" si="31"/>
        <v>6.4295549595033511E-13</v>
      </c>
      <c r="AT7" s="59">
        <f t="shared" si="32"/>
        <v>8.1525075957101322E-17</v>
      </c>
      <c r="AU7" s="59">
        <f t="shared" si="33"/>
        <v>5.8031877153485353E-12</v>
      </c>
      <c r="AV7" s="59">
        <f t="shared" si="34"/>
        <v>2.6307595709301217E-12</v>
      </c>
      <c r="AW7" s="59">
        <f t="shared" si="35"/>
        <v>8.4339472862786578E-12</v>
      </c>
      <c r="AX7" s="59">
        <f t="shared" si="36"/>
        <v>1.0930243431155698E-13</v>
      </c>
      <c r="AY7" s="59">
        <f t="shared" si="37"/>
        <v>0</v>
      </c>
      <c r="AZ7" s="59">
        <f t="shared" si="38"/>
        <v>6.3889875294017249E-11</v>
      </c>
      <c r="BA7" s="67">
        <f t="shared" si="39"/>
        <v>6.3999177728328802E-11</v>
      </c>
    </row>
    <row r="8" spans="1:53" ht="16" x14ac:dyDescent="0.2">
      <c r="A8" s="69" t="s">
        <v>52</v>
      </c>
      <c r="B8" s="1" t="s">
        <v>171</v>
      </c>
      <c r="C8" s="1">
        <v>0</v>
      </c>
      <c r="D8" s="1">
        <v>1.52</v>
      </c>
      <c r="E8" s="1">
        <v>1.56</v>
      </c>
      <c r="F8" s="1">
        <v>7.8</v>
      </c>
      <c r="G8" s="1">
        <v>0</v>
      </c>
      <c r="H8" s="1">
        <v>0</v>
      </c>
      <c r="I8" s="69" t="s">
        <v>52</v>
      </c>
      <c r="J8" s="33">
        <f t="shared" si="4"/>
        <v>4.524</v>
      </c>
      <c r="K8" s="131">
        <f t="shared" si="5"/>
        <v>2.262</v>
      </c>
      <c r="L8" s="131">
        <f t="shared" si="6"/>
        <v>2.492</v>
      </c>
      <c r="M8" s="131">
        <f t="shared" si="7"/>
        <v>0.18720000000000001</v>
      </c>
      <c r="N8" s="132">
        <v>0</v>
      </c>
      <c r="O8" s="132">
        <v>0</v>
      </c>
      <c r="P8" s="131">
        <v>1</v>
      </c>
      <c r="Q8" s="67">
        <v>0</v>
      </c>
      <c r="R8" s="68">
        <f t="shared" si="0"/>
        <v>1.199971395907309E-9</v>
      </c>
      <c r="S8" s="59">
        <f t="shared" si="1"/>
        <v>1.5215323582092674E-13</v>
      </c>
      <c r="T8" s="59">
        <f t="shared" si="2"/>
        <v>1.0830701825180189E-8</v>
      </c>
      <c r="U8" s="59">
        <f t="shared" si="3"/>
        <v>4.9098829615874046E-9</v>
      </c>
      <c r="V8" s="59">
        <f t="shared" si="8"/>
        <v>1.5740584786767594E-8</v>
      </c>
      <c r="W8" s="59">
        <f t="shared" si="9"/>
        <v>0</v>
      </c>
      <c r="X8" s="59">
        <f t="shared" si="10"/>
        <v>0</v>
      </c>
      <c r="Y8" s="59">
        <f t="shared" si="11"/>
        <v>0</v>
      </c>
      <c r="Z8" s="67">
        <f t="shared" si="12"/>
        <v>0</v>
      </c>
      <c r="AA8" s="68">
        <f t="shared" si="13"/>
        <v>5.9998569795365452E-10</v>
      </c>
      <c r="AB8" s="59">
        <f t="shared" si="14"/>
        <v>7.6076617910463371E-14</v>
      </c>
      <c r="AC8" s="59">
        <f t="shared" si="15"/>
        <v>5.4153509125900944E-9</v>
      </c>
      <c r="AD8" s="59">
        <f t="shared" si="16"/>
        <v>2.4549414807937023E-9</v>
      </c>
      <c r="AE8" s="59">
        <f t="shared" si="17"/>
        <v>7.8702923933837968E-9</v>
      </c>
      <c r="AF8" s="59">
        <f t="shared" si="18"/>
        <v>0</v>
      </c>
      <c r="AG8" s="59">
        <f t="shared" si="19"/>
        <v>0</v>
      </c>
      <c r="AH8" s="59">
        <f t="shared" si="20"/>
        <v>0</v>
      </c>
      <c r="AI8" s="67">
        <f t="shared" si="21"/>
        <v>0</v>
      </c>
      <c r="AJ8" s="68">
        <f t="shared" si="22"/>
        <v>6.6099220128227521E-10</v>
      </c>
      <c r="AK8" s="59">
        <f t="shared" si="23"/>
        <v>8.3812083038406149E-14</v>
      </c>
      <c r="AL8" s="59">
        <f t="shared" si="24"/>
        <v>5.9659834103335595E-9</v>
      </c>
      <c r="AM8" s="59">
        <f t="shared" si="25"/>
        <v>2.70455975691331E-9</v>
      </c>
      <c r="AN8" s="59">
        <f t="shared" si="26"/>
        <v>8.6705431672468691E-9</v>
      </c>
      <c r="AO8" s="59">
        <f t="shared" si="27"/>
        <v>0</v>
      </c>
      <c r="AP8" s="59">
        <f t="shared" si="28"/>
        <v>0</v>
      </c>
      <c r="AQ8" s="59">
        <f t="shared" si="29"/>
        <v>0</v>
      </c>
      <c r="AR8" s="67">
        <f t="shared" si="30"/>
        <v>0</v>
      </c>
      <c r="AS8" s="68">
        <f t="shared" si="31"/>
        <v>4.9653988796164499E-11</v>
      </c>
      <c r="AT8" s="59">
        <f t="shared" si="32"/>
        <v>6.2959959650038651E-15</v>
      </c>
      <c r="AU8" s="59">
        <f t="shared" si="33"/>
        <v>4.4816697207642146E-10</v>
      </c>
      <c r="AV8" s="59">
        <f t="shared" si="34"/>
        <v>2.0316757082430638E-10</v>
      </c>
      <c r="AW8" s="59">
        <f t="shared" si="35"/>
        <v>6.5133454290072784E-10</v>
      </c>
      <c r="AX8" s="59">
        <f t="shared" si="36"/>
        <v>0</v>
      </c>
      <c r="AY8" s="59">
        <f t="shared" si="37"/>
        <v>0</v>
      </c>
      <c r="AZ8" s="59">
        <f t="shared" si="38"/>
        <v>0</v>
      </c>
      <c r="BA8" s="67">
        <f t="shared" si="39"/>
        <v>0</v>
      </c>
    </row>
    <row r="9" spans="1:53" ht="16" x14ac:dyDescent="0.2">
      <c r="A9" s="69" t="s">
        <v>40</v>
      </c>
      <c r="B9" s="1" t="s">
        <v>171</v>
      </c>
      <c r="C9" s="1">
        <v>0</v>
      </c>
      <c r="D9" s="1">
        <v>698</v>
      </c>
      <c r="E9" s="1">
        <v>3149</v>
      </c>
      <c r="F9" s="1">
        <v>7358</v>
      </c>
      <c r="G9" s="1">
        <v>173827</v>
      </c>
      <c r="H9" s="1">
        <v>181331</v>
      </c>
      <c r="I9" s="69" t="s">
        <v>40</v>
      </c>
      <c r="J9" s="33">
        <f t="shared" si="4"/>
        <v>4267.6399999999994</v>
      </c>
      <c r="K9" s="131">
        <f t="shared" si="5"/>
        <v>52543.649999999994</v>
      </c>
      <c r="L9" s="131">
        <f t="shared" si="6"/>
        <v>54425.3</v>
      </c>
      <c r="M9" s="131">
        <f t="shared" si="7"/>
        <v>49337.25</v>
      </c>
      <c r="N9" s="132">
        <v>0</v>
      </c>
      <c r="O9" s="132">
        <v>0</v>
      </c>
      <c r="P9" s="131">
        <v>1</v>
      </c>
      <c r="Q9" s="67">
        <v>0</v>
      </c>
      <c r="R9" s="68">
        <f t="shared" si="0"/>
        <v>1.1319730168058945E-6</v>
      </c>
      <c r="S9" s="59">
        <f t="shared" si="1"/>
        <v>1.4353121912440753E-10</v>
      </c>
      <c r="T9" s="59">
        <f t="shared" si="2"/>
        <v>1.021696205508664E-5</v>
      </c>
      <c r="U9" s="59">
        <f t="shared" si="3"/>
        <v>4.6316562604307851E-6</v>
      </c>
      <c r="V9" s="59">
        <f t="shared" si="8"/>
        <v>1.4848618315517426E-5</v>
      </c>
      <c r="W9" s="59">
        <f t="shared" si="9"/>
        <v>0</v>
      </c>
      <c r="X9" s="59">
        <f t="shared" si="10"/>
        <v>0</v>
      </c>
      <c r="Y9" s="59">
        <f t="shared" si="11"/>
        <v>0</v>
      </c>
      <c r="Z9" s="67">
        <f t="shared" si="12"/>
        <v>0</v>
      </c>
      <c r="AA9" s="68">
        <f t="shared" si="13"/>
        <v>1.3936975472273444E-5</v>
      </c>
      <c r="AB9" s="59">
        <f t="shared" si="14"/>
        <v>1.7671720533470902E-9</v>
      </c>
      <c r="AC9" s="59">
        <f t="shared" si="15"/>
        <v>1.2579235321764565E-4</v>
      </c>
      <c r="AD9" s="59">
        <f t="shared" si="16"/>
        <v>5.7025457974052172E-5</v>
      </c>
      <c r="AE9" s="59">
        <f t="shared" si="17"/>
        <v>1.8281781119169782E-4</v>
      </c>
      <c r="AF9" s="59">
        <f t="shared" si="18"/>
        <v>0</v>
      </c>
      <c r="AG9" s="59">
        <f t="shared" si="19"/>
        <v>0</v>
      </c>
      <c r="AH9" s="59">
        <f t="shared" si="20"/>
        <v>0</v>
      </c>
      <c r="AI9" s="67">
        <f t="shared" si="21"/>
        <v>0</v>
      </c>
      <c r="AJ9" s="68">
        <f t="shared" si="22"/>
        <v>1.4436074980918225E-5</v>
      </c>
      <c r="AK9" s="59">
        <f t="shared" si="23"/>
        <v>1.8304565662079319E-9</v>
      </c>
      <c r="AL9" s="59">
        <f t="shared" si="24"/>
        <v>1.3029712556277172E-4</v>
      </c>
      <c r="AM9" s="59">
        <f t="shared" si="25"/>
        <v>5.9067606796923745E-5</v>
      </c>
      <c r="AN9" s="59">
        <f t="shared" si="26"/>
        <v>1.8936473235969546E-4</v>
      </c>
      <c r="AO9" s="59">
        <f t="shared" si="27"/>
        <v>0</v>
      </c>
      <c r="AP9" s="59">
        <f t="shared" si="28"/>
        <v>0</v>
      </c>
      <c r="AQ9" s="59">
        <f t="shared" si="29"/>
        <v>0</v>
      </c>
      <c r="AR9" s="67">
        <f t="shared" si="30"/>
        <v>0</v>
      </c>
      <c r="AS9" s="68">
        <f t="shared" si="31"/>
        <v>1.308649176673914E-5</v>
      </c>
      <c r="AT9" s="59">
        <f t="shared" si="32"/>
        <v>1.6593329429721521E-9</v>
      </c>
      <c r="AU9" s="59">
        <f t="shared" si="33"/>
        <v>1.1811605738823412E-4</v>
      </c>
      <c r="AV9" s="59">
        <f t="shared" si="34"/>
        <v>5.3545562145574308E-5</v>
      </c>
      <c r="AW9" s="59">
        <f t="shared" si="35"/>
        <v>1.7166161953380843E-4</v>
      </c>
      <c r="AX9" s="59">
        <f t="shared" si="36"/>
        <v>0</v>
      </c>
      <c r="AY9" s="59">
        <f t="shared" si="37"/>
        <v>0</v>
      </c>
      <c r="AZ9" s="59">
        <f t="shared" si="38"/>
        <v>0</v>
      </c>
      <c r="BA9" s="67">
        <f t="shared" si="39"/>
        <v>0</v>
      </c>
    </row>
    <row r="10" spans="1:53" ht="16" x14ac:dyDescent="0.2">
      <c r="A10" s="69" t="s">
        <v>92</v>
      </c>
      <c r="B10" s="1" t="s">
        <v>171</v>
      </c>
      <c r="C10" s="1">
        <v>0</v>
      </c>
      <c r="D10" s="1">
        <v>0</v>
      </c>
      <c r="E10" s="1">
        <v>0.247</v>
      </c>
      <c r="F10" s="1">
        <v>0.27200000000000002</v>
      </c>
      <c r="G10" s="1">
        <v>0</v>
      </c>
      <c r="H10" s="1">
        <v>0</v>
      </c>
      <c r="I10" s="69" t="s">
        <v>92</v>
      </c>
      <c r="J10" s="75">
        <f t="shared" si="4"/>
        <v>0.15776000000000001</v>
      </c>
      <c r="K10" s="133">
        <f t="shared" si="5"/>
        <v>7.8880000000000006E-2</v>
      </c>
      <c r="L10" s="133">
        <f t="shared" si="6"/>
        <v>8.1600000000000006E-2</v>
      </c>
      <c r="M10" s="133">
        <f t="shared" si="7"/>
        <v>2.964E-2</v>
      </c>
      <c r="N10" s="59">
        <v>0</v>
      </c>
      <c r="O10" s="133">
        <v>27</v>
      </c>
      <c r="P10" s="133">
        <v>1</v>
      </c>
      <c r="Q10" s="77">
        <v>0</v>
      </c>
      <c r="R10" s="75">
        <f t="shared" si="0"/>
        <v>4.1845156370101019E-11</v>
      </c>
      <c r="S10" s="76">
        <f t="shared" si="1"/>
        <v>5.3058564286271892E-15</v>
      </c>
      <c r="T10" s="76">
        <f t="shared" si="2"/>
        <v>3.7768601236525785E-10</v>
      </c>
      <c r="U10" s="76">
        <f t="shared" si="3"/>
        <v>1.7121643148099668E-10</v>
      </c>
      <c r="V10" s="76">
        <f t="shared" si="8"/>
        <v>5.4890244384625455E-10</v>
      </c>
      <c r="W10" s="59">
        <f t="shared" si="9"/>
        <v>0</v>
      </c>
      <c r="X10" s="59">
        <f t="shared" si="10"/>
        <v>1.432581235729341E-13</v>
      </c>
      <c r="Y10" s="59">
        <f t="shared" si="11"/>
        <v>0</v>
      </c>
      <c r="Z10" s="67">
        <f t="shared" si="12"/>
        <v>1.432581235729341E-13</v>
      </c>
      <c r="AA10" s="75">
        <f t="shared" si="13"/>
        <v>2.0922578185050509E-11</v>
      </c>
      <c r="AB10" s="76">
        <f t="shared" si="14"/>
        <v>2.6529282143135946E-15</v>
      </c>
      <c r="AC10" s="76">
        <f t="shared" si="15"/>
        <v>1.8884300618262892E-10</v>
      </c>
      <c r="AD10" s="76">
        <f t="shared" si="16"/>
        <v>8.5608215740498339E-11</v>
      </c>
      <c r="AE10" s="76">
        <f t="shared" si="17"/>
        <v>2.7445122192312728E-10</v>
      </c>
      <c r="AF10" s="59">
        <f t="shared" si="18"/>
        <v>0</v>
      </c>
      <c r="AG10" s="59">
        <f t="shared" si="19"/>
        <v>7.1629061786467052E-14</v>
      </c>
      <c r="AH10" s="59">
        <f t="shared" si="20"/>
        <v>0</v>
      </c>
      <c r="AI10" s="67">
        <f t="shared" si="21"/>
        <v>7.1629061786467052E-14</v>
      </c>
      <c r="AJ10" s="75">
        <f t="shared" si="22"/>
        <v>2.1644046398328115E-11</v>
      </c>
      <c r="AK10" s="76">
        <f t="shared" si="23"/>
        <v>2.7444084975657873E-15</v>
      </c>
      <c r="AL10" s="76">
        <f t="shared" si="24"/>
        <v>1.953548339820299E-10</v>
      </c>
      <c r="AM10" s="76">
        <f t="shared" si="25"/>
        <v>8.8560223179825881E-11</v>
      </c>
      <c r="AN10" s="76">
        <f t="shared" si="26"/>
        <v>2.839150571618558E-10</v>
      </c>
      <c r="AO10" s="59">
        <f t="shared" si="27"/>
        <v>0</v>
      </c>
      <c r="AP10" s="59">
        <f t="shared" si="28"/>
        <v>7.4099029434276258E-14</v>
      </c>
      <c r="AQ10" s="59">
        <f t="shared" si="29"/>
        <v>0</v>
      </c>
      <c r="AR10" s="67">
        <f t="shared" si="30"/>
        <v>7.4099029434276258E-14</v>
      </c>
      <c r="AS10" s="68">
        <f t="shared" si="31"/>
        <v>7.8618815593927115E-12</v>
      </c>
      <c r="AT10" s="59">
        <f t="shared" si="32"/>
        <v>9.9686602779227858E-16</v>
      </c>
      <c r="AU10" s="59">
        <f t="shared" si="33"/>
        <v>7.0959770578766761E-11</v>
      </c>
      <c r="AV10" s="59">
        <f t="shared" si="34"/>
        <v>3.2168198713848517E-11</v>
      </c>
      <c r="AW10" s="59">
        <f t="shared" si="35"/>
        <v>1.0312796929261528E-10</v>
      </c>
      <c r="AX10" s="59">
        <f t="shared" si="36"/>
        <v>0</v>
      </c>
      <c r="AY10" s="59">
        <f t="shared" si="37"/>
        <v>2.6915382750391521E-14</v>
      </c>
      <c r="AZ10" s="59">
        <f t="shared" si="38"/>
        <v>0</v>
      </c>
      <c r="BA10" s="67">
        <f t="shared" si="39"/>
        <v>2.6915382750391521E-14</v>
      </c>
    </row>
    <row r="11" spans="1:53" ht="16" x14ac:dyDescent="0.2">
      <c r="A11" s="69" t="s">
        <v>82</v>
      </c>
      <c r="B11" s="1" t="s">
        <v>171</v>
      </c>
      <c r="C11" s="1">
        <v>0</v>
      </c>
      <c r="D11" s="1">
        <v>0</v>
      </c>
      <c r="E11" s="1">
        <v>35.700000000000003</v>
      </c>
      <c r="F11" s="1">
        <v>0</v>
      </c>
      <c r="G11" s="1">
        <v>0</v>
      </c>
      <c r="H11" s="1">
        <v>0</v>
      </c>
      <c r="I11" s="69" t="s">
        <v>82</v>
      </c>
      <c r="J11" s="33">
        <f t="shared" si="4"/>
        <v>0</v>
      </c>
      <c r="K11" s="131">
        <f t="shared" si="5"/>
        <v>0</v>
      </c>
      <c r="L11" s="131">
        <f t="shared" si="6"/>
        <v>0</v>
      </c>
      <c r="M11" s="131">
        <f t="shared" si="7"/>
        <v>4.2839999999999998</v>
      </c>
      <c r="N11" s="132">
        <v>0</v>
      </c>
      <c r="O11" s="132">
        <v>0</v>
      </c>
      <c r="P11" s="131">
        <v>0.3</v>
      </c>
      <c r="Q11" s="67">
        <v>0</v>
      </c>
      <c r="R11" s="68">
        <f t="shared" si="0"/>
        <v>0</v>
      </c>
      <c r="S11" s="59">
        <f t="shared" si="1"/>
        <v>0</v>
      </c>
      <c r="T11" s="59">
        <f t="shared" si="2"/>
        <v>0</v>
      </c>
      <c r="U11" s="59">
        <f t="shared" si="3"/>
        <v>0</v>
      </c>
      <c r="V11" s="59">
        <f t="shared" si="8"/>
        <v>0</v>
      </c>
      <c r="W11" s="59">
        <f t="shared" si="9"/>
        <v>0</v>
      </c>
      <c r="X11" s="59">
        <f t="shared" si="10"/>
        <v>0</v>
      </c>
      <c r="Y11" s="59">
        <f t="shared" si="11"/>
        <v>0</v>
      </c>
      <c r="Z11" s="67">
        <f t="shared" si="12"/>
        <v>0</v>
      </c>
      <c r="AA11" s="68">
        <f t="shared" si="13"/>
        <v>0</v>
      </c>
      <c r="AB11" s="59">
        <f t="shared" si="14"/>
        <v>0</v>
      </c>
      <c r="AC11" s="59">
        <f t="shared" si="15"/>
        <v>0</v>
      </c>
      <c r="AD11" s="59">
        <f t="shared" si="16"/>
        <v>0</v>
      </c>
      <c r="AE11" s="59">
        <f t="shared" si="17"/>
        <v>0</v>
      </c>
      <c r="AF11" s="59">
        <f t="shared" si="18"/>
        <v>0</v>
      </c>
      <c r="AG11" s="59">
        <f t="shared" si="19"/>
        <v>0</v>
      </c>
      <c r="AH11" s="59">
        <f t="shared" si="20"/>
        <v>0</v>
      </c>
      <c r="AI11" s="67">
        <f t="shared" si="21"/>
        <v>0</v>
      </c>
      <c r="AJ11" s="68">
        <f t="shared" si="22"/>
        <v>0</v>
      </c>
      <c r="AK11" s="59">
        <f t="shared" si="23"/>
        <v>0</v>
      </c>
      <c r="AL11" s="59">
        <f t="shared" si="24"/>
        <v>0</v>
      </c>
      <c r="AM11" s="59">
        <f t="shared" si="25"/>
        <v>0</v>
      </c>
      <c r="AN11" s="59">
        <f t="shared" si="26"/>
        <v>0</v>
      </c>
      <c r="AO11" s="59">
        <f t="shared" si="27"/>
        <v>0</v>
      </c>
      <c r="AP11" s="59">
        <f t="shared" si="28"/>
        <v>0</v>
      </c>
      <c r="AQ11" s="59">
        <f t="shared" si="29"/>
        <v>0</v>
      </c>
      <c r="AR11" s="67">
        <f t="shared" si="30"/>
        <v>0</v>
      </c>
      <c r="AS11" s="68">
        <f t="shared" si="31"/>
        <v>1.1363124359122261E-9</v>
      </c>
      <c r="AT11" s="59">
        <f t="shared" si="32"/>
        <v>1.440814461222038E-13</v>
      </c>
      <c r="AU11" s="59">
        <f t="shared" si="33"/>
        <v>1.0256128784056568E-8</v>
      </c>
      <c r="AV11" s="59">
        <f t="shared" si="34"/>
        <v>4.649411716940858E-9</v>
      </c>
      <c r="AW11" s="59">
        <f t="shared" si="35"/>
        <v>1.4905540500997426E-8</v>
      </c>
      <c r="AX11" s="59">
        <f t="shared" si="36"/>
        <v>0</v>
      </c>
      <c r="AY11" s="59">
        <f t="shared" si="37"/>
        <v>0</v>
      </c>
      <c r="AZ11" s="59">
        <f t="shared" si="38"/>
        <v>0</v>
      </c>
      <c r="BA11" s="67">
        <f t="shared" si="39"/>
        <v>0</v>
      </c>
    </row>
    <row r="12" spans="1:53" ht="16" x14ac:dyDescent="0.2">
      <c r="A12" s="69" t="s">
        <v>43</v>
      </c>
      <c r="B12" s="1" t="s">
        <v>171</v>
      </c>
      <c r="C12" s="1">
        <v>0</v>
      </c>
      <c r="D12" s="1">
        <v>13.9</v>
      </c>
      <c r="E12" s="1">
        <v>1353</v>
      </c>
      <c r="F12" s="1">
        <v>636</v>
      </c>
      <c r="G12" s="1">
        <v>0</v>
      </c>
      <c r="H12" s="1">
        <v>0</v>
      </c>
      <c r="I12" s="69" t="s">
        <v>43</v>
      </c>
      <c r="J12" s="33">
        <f t="shared" si="4"/>
        <v>368.88</v>
      </c>
      <c r="K12" s="131">
        <f t="shared" si="5"/>
        <v>184.44</v>
      </c>
      <c r="L12" s="131">
        <f t="shared" si="6"/>
        <v>192.18999999999997</v>
      </c>
      <c r="M12" s="131">
        <f t="shared" si="7"/>
        <v>162.35999999999999</v>
      </c>
      <c r="N12" s="132">
        <v>0</v>
      </c>
      <c r="O12" s="132">
        <v>0</v>
      </c>
      <c r="P12" s="131">
        <v>0</v>
      </c>
      <c r="Q12" s="67">
        <v>0</v>
      </c>
      <c r="R12" s="68">
        <f t="shared" si="0"/>
        <v>9.7843821512442094E-8</v>
      </c>
      <c r="S12" s="59">
        <f t="shared" si="1"/>
        <v>1.2406340766937103E-11</v>
      </c>
      <c r="T12" s="59">
        <f t="shared" si="2"/>
        <v>8.8311876420699987E-7</v>
      </c>
      <c r="U12" s="59">
        <f t="shared" si="3"/>
        <v>4.0034430302174232E-7</v>
      </c>
      <c r="V12" s="59">
        <f t="shared" si="8"/>
        <v>1.2834630672287421E-6</v>
      </c>
      <c r="W12" s="59">
        <f t="shared" si="9"/>
        <v>0</v>
      </c>
      <c r="X12" s="59">
        <f t="shared" si="10"/>
        <v>0</v>
      </c>
      <c r="Y12" s="59">
        <f t="shared" si="11"/>
        <v>0</v>
      </c>
      <c r="Z12" s="67">
        <f t="shared" si="12"/>
        <v>0</v>
      </c>
      <c r="AA12" s="68">
        <f t="shared" si="13"/>
        <v>4.8921910756221047E-8</v>
      </c>
      <c r="AB12" s="59">
        <f t="shared" si="14"/>
        <v>6.2031703834685514E-12</v>
      </c>
      <c r="AC12" s="59">
        <f t="shared" si="15"/>
        <v>4.4155938210349993E-7</v>
      </c>
      <c r="AD12" s="59">
        <f t="shared" si="16"/>
        <v>2.0017215151087116E-7</v>
      </c>
      <c r="AE12" s="59">
        <f t="shared" si="17"/>
        <v>6.4173153361437107E-7</v>
      </c>
      <c r="AF12" s="59">
        <f t="shared" si="18"/>
        <v>0</v>
      </c>
      <c r="AG12" s="59">
        <f t="shared" si="19"/>
        <v>0</v>
      </c>
      <c r="AH12" s="59">
        <f t="shared" si="20"/>
        <v>0</v>
      </c>
      <c r="AI12" s="67">
        <f t="shared" si="21"/>
        <v>0</v>
      </c>
      <c r="AJ12" s="68">
        <f t="shared" si="22"/>
        <v>5.0977564672728921E-8</v>
      </c>
      <c r="AK12" s="59">
        <f t="shared" si="23"/>
        <v>6.4638219258231438E-12</v>
      </c>
      <c r="AL12" s="59">
        <f t="shared" si="24"/>
        <v>4.6011330322311676E-7</v>
      </c>
      <c r="AM12" s="59">
        <f t="shared" si="25"/>
        <v>2.0858320211924916E-7</v>
      </c>
      <c r="AN12" s="59">
        <f t="shared" si="26"/>
        <v>6.6869650534236593E-7</v>
      </c>
      <c r="AO12" s="59">
        <f t="shared" si="27"/>
        <v>0</v>
      </c>
      <c r="AP12" s="59">
        <f t="shared" si="28"/>
        <v>0</v>
      </c>
      <c r="AQ12" s="59">
        <f t="shared" si="29"/>
        <v>0</v>
      </c>
      <c r="AR12" s="67">
        <f t="shared" si="30"/>
        <v>0</v>
      </c>
      <c r="AS12" s="68">
        <f t="shared" si="31"/>
        <v>4.306528643667343E-8</v>
      </c>
      <c r="AT12" s="59">
        <f t="shared" si="32"/>
        <v>5.4605657311860435E-12</v>
      </c>
      <c r="AU12" s="59">
        <f t="shared" si="33"/>
        <v>3.8869866232012715E-7</v>
      </c>
      <c r="AV12" s="59">
        <f t="shared" si="34"/>
        <v>1.7620879700338881E-7</v>
      </c>
      <c r="AW12" s="59">
        <f t="shared" si="35"/>
        <v>5.6490745932351591E-7</v>
      </c>
      <c r="AX12" s="59">
        <f t="shared" si="36"/>
        <v>0</v>
      </c>
      <c r="AY12" s="59">
        <f t="shared" si="37"/>
        <v>0</v>
      </c>
      <c r="AZ12" s="59">
        <f t="shared" si="38"/>
        <v>0</v>
      </c>
      <c r="BA12" s="67">
        <f t="shared" si="39"/>
        <v>0</v>
      </c>
    </row>
    <row r="13" spans="1:53" ht="16" x14ac:dyDescent="0.2">
      <c r="A13" s="69" t="s">
        <v>80</v>
      </c>
      <c r="B13" s="1" t="s">
        <v>171</v>
      </c>
      <c r="C13" s="1">
        <v>0</v>
      </c>
      <c r="D13" s="1">
        <v>0</v>
      </c>
      <c r="E13" s="1">
        <v>0</v>
      </c>
      <c r="F13" s="1">
        <v>1.28</v>
      </c>
      <c r="G13" s="1">
        <v>0</v>
      </c>
      <c r="H13" s="1">
        <v>0</v>
      </c>
      <c r="I13" s="69" t="s">
        <v>80</v>
      </c>
      <c r="J13" s="33">
        <f t="shared" si="4"/>
        <v>0.74239999999999995</v>
      </c>
      <c r="K13" s="131">
        <f t="shared" si="5"/>
        <v>0.37119999999999997</v>
      </c>
      <c r="L13" s="131">
        <f t="shared" si="6"/>
        <v>0.38400000000000001</v>
      </c>
      <c r="M13" s="131">
        <f t="shared" si="7"/>
        <v>0</v>
      </c>
      <c r="N13" s="132">
        <v>0</v>
      </c>
      <c r="O13" s="132">
        <v>0</v>
      </c>
      <c r="P13" s="131">
        <v>1</v>
      </c>
      <c r="Q13" s="67">
        <v>0</v>
      </c>
      <c r="R13" s="68">
        <f t="shared" si="0"/>
        <v>1.9691838291812244E-10</v>
      </c>
      <c r="S13" s="59">
        <f t="shared" si="1"/>
        <v>2.4968736134716178E-14</v>
      </c>
      <c r="T13" s="59">
        <f t="shared" si="2"/>
        <v>1.7773459405423895E-9</v>
      </c>
      <c r="U13" s="59">
        <f t="shared" si="3"/>
        <v>8.0572438343998439E-10</v>
      </c>
      <c r="V13" s="59">
        <f t="shared" si="8"/>
        <v>2.5830703239823738E-9</v>
      </c>
      <c r="W13" s="59">
        <f t="shared" si="9"/>
        <v>0</v>
      </c>
      <c r="X13" s="59">
        <f t="shared" si="10"/>
        <v>0</v>
      </c>
      <c r="Y13" s="59">
        <f t="shared" si="11"/>
        <v>0</v>
      </c>
      <c r="Z13" s="67">
        <f t="shared" si="12"/>
        <v>0</v>
      </c>
      <c r="AA13" s="68">
        <f t="shared" si="13"/>
        <v>9.8459191459061219E-11</v>
      </c>
      <c r="AB13" s="59">
        <f t="shared" si="14"/>
        <v>1.2484368067358089E-14</v>
      </c>
      <c r="AC13" s="59">
        <f t="shared" si="15"/>
        <v>8.8867297027119477E-10</v>
      </c>
      <c r="AD13" s="59">
        <f t="shared" si="16"/>
        <v>4.0286219171999219E-10</v>
      </c>
      <c r="AE13" s="59">
        <f t="shared" si="17"/>
        <v>1.2915351619911869E-9</v>
      </c>
      <c r="AF13" s="59">
        <f t="shared" si="18"/>
        <v>0</v>
      </c>
      <c r="AG13" s="59">
        <f t="shared" si="19"/>
        <v>0</v>
      </c>
      <c r="AH13" s="59">
        <f t="shared" si="20"/>
        <v>0</v>
      </c>
      <c r="AI13" s="67">
        <f t="shared" si="21"/>
        <v>0</v>
      </c>
      <c r="AJ13" s="68">
        <f t="shared" si="22"/>
        <v>1.0185433599213232E-10</v>
      </c>
      <c r="AK13" s="59">
        <f t="shared" si="23"/>
        <v>1.2914863517956645E-14</v>
      </c>
      <c r="AL13" s="59">
        <f t="shared" si="24"/>
        <v>9.1931686579778787E-10</v>
      </c>
      <c r="AM13" s="59">
        <f t="shared" si="25"/>
        <v>4.1675399143447472E-10</v>
      </c>
      <c r="AN13" s="59">
        <f t="shared" si="26"/>
        <v>1.3360708572322626E-9</v>
      </c>
      <c r="AO13" s="59">
        <f t="shared" si="27"/>
        <v>0</v>
      </c>
      <c r="AP13" s="59">
        <f t="shared" si="28"/>
        <v>0</v>
      </c>
      <c r="AQ13" s="59">
        <f t="shared" si="29"/>
        <v>0</v>
      </c>
      <c r="AR13" s="67">
        <f t="shared" si="30"/>
        <v>0</v>
      </c>
      <c r="AS13" s="68">
        <f t="shared" si="31"/>
        <v>0</v>
      </c>
      <c r="AT13" s="59">
        <f t="shared" si="32"/>
        <v>0</v>
      </c>
      <c r="AU13" s="59">
        <f t="shared" si="33"/>
        <v>0</v>
      </c>
      <c r="AV13" s="59">
        <f t="shared" si="34"/>
        <v>0</v>
      </c>
      <c r="AW13" s="59">
        <f t="shared" si="35"/>
        <v>0</v>
      </c>
      <c r="AX13" s="59">
        <f t="shared" si="36"/>
        <v>0</v>
      </c>
      <c r="AY13" s="59">
        <f t="shared" si="37"/>
        <v>0</v>
      </c>
      <c r="AZ13" s="59">
        <f t="shared" si="38"/>
        <v>0</v>
      </c>
      <c r="BA13" s="67">
        <f t="shared" si="39"/>
        <v>0</v>
      </c>
    </row>
    <row r="14" spans="1:53" ht="16" x14ac:dyDescent="0.2">
      <c r="A14" s="69" t="s">
        <v>84</v>
      </c>
      <c r="B14" s="1" t="s">
        <v>171</v>
      </c>
      <c r="C14" s="1">
        <v>0</v>
      </c>
      <c r="D14" s="1">
        <v>3.83</v>
      </c>
      <c r="E14" s="1">
        <v>305</v>
      </c>
      <c r="F14" s="1">
        <v>2052</v>
      </c>
      <c r="G14" s="1">
        <v>547</v>
      </c>
      <c r="H14" s="1">
        <v>1326</v>
      </c>
      <c r="I14" s="69" t="s">
        <v>84</v>
      </c>
      <c r="J14" s="33">
        <f t="shared" si="4"/>
        <v>1190.1599999999999</v>
      </c>
      <c r="K14" s="131">
        <f t="shared" si="5"/>
        <v>753.70999999999992</v>
      </c>
      <c r="L14" s="131">
        <f t="shared" si="6"/>
        <v>780.08299999999997</v>
      </c>
      <c r="M14" s="131">
        <f t="shared" si="7"/>
        <v>394.62000000000006</v>
      </c>
      <c r="N14" s="132">
        <v>0</v>
      </c>
      <c r="O14" s="132">
        <v>0</v>
      </c>
      <c r="P14" s="131">
        <v>1</v>
      </c>
      <c r="Q14" s="67">
        <v>0</v>
      </c>
      <c r="R14" s="68">
        <f t="shared" si="0"/>
        <v>3.1568478261561504E-7</v>
      </c>
      <c r="S14" s="59">
        <f t="shared" si="1"/>
        <v>4.0028005115966872E-11</v>
      </c>
      <c r="T14" s="59">
        <f t="shared" si="2"/>
        <v>2.8493077109320181E-6</v>
      </c>
      <c r="U14" s="59">
        <f t="shared" si="3"/>
        <v>1.2916769022022248E-6</v>
      </c>
      <c r="V14" s="59">
        <f t="shared" si="8"/>
        <v>4.1409846131342427E-6</v>
      </c>
      <c r="W14" s="59">
        <f t="shared" si="9"/>
        <v>0</v>
      </c>
      <c r="X14" s="59">
        <f t="shared" si="10"/>
        <v>0</v>
      </c>
      <c r="Y14" s="59">
        <f t="shared" si="11"/>
        <v>0</v>
      </c>
      <c r="Z14" s="67">
        <f t="shared" si="12"/>
        <v>0</v>
      </c>
      <c r="AA14" s="68">
        <f t="shared" si="13"/>
        <v>1.9991831140789069E-7</v>
      </c>
      <c r="AB14" s="59">
        <f t="shared" si="14"/>
        <v>2.5349119224268494E-11</v>
      </c>
      <c r="AC14" s="59">
        <f t="shared" si="15"/>
        <v>1.8044226951053401E-6</v>
      </c>
      <c r="AD14" s="59">
        <f t="shared" si="16"/>
        <v>8.1799909084395274E-7</v>
      </c>
      <c r="AE14" s="59">
        <f t="shared" si="17"/>
        <v>2.6224217859492929E-6</v>
      </c>
      <c r="AF14" s="59">
        <f t="shared" si="18"/>
        <v>0</v>
      </c>
      <c r="AG14" s="59">
        <f t="shared" si="19"/>
        <v>0</v>
      </c>
      <c r="AH14" s="59">
        <f t="shared" si="20"/>
        <v>0</v>
      </c>
      <c r="AI14" s="67">
        <f t="shared" si="21"/>
        <v>0</v>
      </c>
      <c r="AJ14" s="68">
        <f t="shared" si="22"/>
        <v>2.0691363537435036E-7</v>
      </c>
      <c r="AK14" s="59">
        <f t="shared" si="23"/>
        <v>2.6236108014786914E-11</v>
      </c>
      <c r="AL14" s="59">
        <f t="shared" si="24"/>
        <v>1.8675610901618117E-6</v>
      </c>
      <c r="AM14" s="59">
        <f t="shared" si="25"/>
        <v>8.4662162474005042E-7</v>
      </c>
      <c r="AN14" s="59">
        <f t="shared" si="26"/>
        <v>2.7141827149018622E-6</v>
      </c>
      <c r="AO14" s="59">
        <f t="shared" si="27"/>
        <v>0</v>
      </c>
      <c r="AP14" s="59">
        <f t="shared" si="28"/>
        <v>0</v>
      </c>
      <c r="AQ14" s="59">
        <f t="shared" si="29"/>
        <v>0</v>
      </c>
      <c r="AR14" s="67">
        <f t="shared" si="30"/>
        <v>0</v>
      </c>
      <c r="AS14" s="68">
        <f t="shared" si="31"/>
        <v>1.0467124497191473E-7</v>
      </c>
      <c r="AT14" s="59">
        <f t="shared" si="32"/>
        <v>1.3272040212125136E-11</v>
      </c>
      <c r="AU14" s="59">
        <f t="shared" si="33"/>
        <v>9.4474172286750804E-7</v>
      </c>
      <c r="AV14" s="59">
        <f t="shared" si="34"/>
        <v>4.2827984401008455E-7</v>
      </c>
      <c r="AW14" s="59">
        <f t="shared" si="35"/>
        <v>1.3730215668775925E-6</v>
      </c>
      <c r="AX14" s="59">
        <f t="shared" si="36"/>
        <v>0</v>
      </c>
      <c r="AY14" s="59">
        <f t="shared" si="37"/>
        <v>0</v>
      </c>
      <c r="AZ14" s="59">
        <f t="shared" si="38"/>
        <v>0</v>
      </c>
      <c r="BA14" s="67">
        <f t="shared" si="39"/>
        <v>0</v>
      </c>
    </row>
    <row r="15" spans="1:53" ht="16" x14ac:dyDescent="0.2">
      <c r="A15" s="69" t="s">
        <v>77</v>
      </c>
      <c r="B15" s="1" t="s">
        <v>171</v>
      </c>
      <c r="C15" s="1">
        <v>0</v>
      </c>
      <c r="D15" s="1">
        <v>27.8</v>
      </c>
      <c r="E15" s="1">
        <v>30.9</v>
      </c>
      <c r="F15" s="1">
        <v>36.299999999999997</v>
      </c>
      <c r="G15" s="1">
        <v>11.6</v>
      </c>
      <c r="H15" s="1">
        <v>1.02</v>
      </c>
      <c r="I15" s="69" t="s">
        <v>77</v>
      </c>
      <c r="J15" s="33">
        <f t="shared" si="4"/>
        <v>21.053999999999998</v>
      </c>
      <c r="K15" s="131">
        <f t="shared" si="5"/>
        <v>13.890999999999998</v>
      </c>
      <c r="L15" s="131">
        <f t="shared" si="6"/>
        <v>17.149999999999999</v>
      </c>
      <c r="M15" s="131">
        <f t="shared" si="7"/>
        <v>3.9833999999999996</v>
      </c>
      <c r="N15" s="132">
        <v>0</v>
      </c>
      <c r="O15" s="132">
        <v>0</v>
      </c>
      <c r="P15" s="131">
        <v>0.04</v>
      </c>
      <c r="Q15" s="67">
        <v>0</v>
      </c>
      <c r="R15" s="68">
        <f t="shared" si="0"/>
        <v>5.584482265568629E-9</v>
      </c>
      <c r="S15" s="59">
        <f t="shared" si="1"/>
        <v>7.0809775132046662E-13</v>
      </c>
      <c r="T15" s="59">
        <f t="shared" si="2"/>
        <v>5.0404420032569331E-8</v>
      </c>
      <c r="U15" s="59">
        <f t="shared" si="3"/>
        <v>2.2849839936618309E-8</v>
      </c>
      <c r="V15" s="59">
        <f t="shared" si="8"/>
        <v>7.3254259969187634E-8</v>
      </c>
      <c r="W15" s="59">
        <f t="shared" si="9"/>
        <v>0</v>
      </c>
      <c r="X15" s="59">
        <f t="shared" si="10"/>
        <v>0</v>
      </c>
      <c r="Y15" s="59">
        <f t="shared" si="11"/>
        <v>0</v>
      </c>
      <c r="Z15" s="67">
        <f t="shared" si="12"/>
        <v>0</v>
      </c>
      <c r="AA15" s="68">
        <f t="shared" si="13"/>
        <v>3.6845275553820564E-9</v>
      </c>
      <c r="AB15" s="59">
        <f t="shared" si="14"/>
        <v>4.67188461270666E-13</v>
      </c>
      <c r="AC15" s="59">
        <f t="shared" si="15"/>
        <v>3.3255808809367366E-8</v>
      </c>
      <c r="AD15" s="59">
        <f t="shared" si="16"/>
        <v>1.5075858580771581E-8</v>
      </c>
      <c r="AE15" s="59">
        <f t="shared" si="17"/>
        <v>4.833166739013895E-8</v>
      </c>
      <c r="AF15" s="59">
        <f t="shared" si="18"/>
        <v>0</v>
      </c>
      <c r="AG15" s="59">
        <f t="shared" si="19"/>
        <v>0</v>
      </c>
      <c r="AH15" s="59">
        <f t="shared" si="20"/>
        <v>0</v>
      </c>
      <c r="AI15" s="67">
        <f t="shared" si="21"/>
        <v>0</v>
      </c>
      <c r="AJ15" s="68">
        <f t="shared" si="22"/>
        <v>4.5489631829819506E-9</v>
      </c>
      <c r="AK15" s="59">
        <f t="shared" si="23"/>
        <v>5.7679663888790739E-13</v>
      </c>
      <c r="AL15" s="59">
        <f t="shared" si="24"/>
        <v>4.1058031896958481E-8</v>
      </c>
      <c r="AM15" s="59">
        <f t="shared" si="25"/>
        <v>1.8612841023701151E-8</v>
      </c>
      <c r="AN15" s="59">
        <f t="shared" si="26"/>
        <v>5.9670872920659636E-8</v>
      </c>
      <c r="AO15" s="59">
        <f t="shared" si="27"/>
        <v>0</v>
      </c>
      <c r="AP15" s="59">
        <f t="shared" si="28"/>
        <v>0</v>
      </c>
      <c r="AQ15" s="59">
        <f t="shared" si="29"/>
        <v>0</v>
      </c>
      <c r="AR15" s="67">
        <f t="shared" si="30"/>
        <v>0</v>
      </c>
      <c r="AS15" s="68">
        <f t="shared" si="31"/>
        <v>1.056579588518385E-9</v>
      </c>
      <c r="AT15" s="59">
        <f t="shared" si="32"/>
        <v>1.3397152952455338E-13</v>
      </c>
      <c r="AU15" s="59">
        <f t="shared" si="33"/>
        <v>9.5364760500492376E-9</v>
      </c>
      <c r="AV15" s="59">
        <f t="shared" si="34"/>
        <v>4.3231714830210584E-9</v>
      </c>
      <c r="AW15" s="59">
        <f t="shared" si="35"/>
        <v>1.3859647533070295E-8</v>
      </c>
      <c r="AX15" s="59">
        <f t="shared" si="36"/>
        <v>0</v>
      </c>
      <c r="AY15" s="59">
        <f t="shared" si="37"/>
        <v>0</v>
      </c>
      <c r="AZ15" s="59">
        <f t="shared" si="38"/>
        <v>0</v>
      </c>
      <c r="BA15" s="67">
        <f t="shared" si="39"/>
        <v>0</v>
      </c>
    </row>
    <row r="16" spans="1:53" ht="16" x14ac:dyDescent="0.2">
      <c r="A16" s="69" t="s">
        <v>46</v>
      </c>
      <c r="B16" s="1" t="s">
        <v>171</v>
      </c>
      <c r="C16" s="1">
        <v>0</v>
      </c>
      <c r="D16" s="1">
        <v>0</v>
      </c>
      <c r="E16" s="1">
        <v>0.40600000000000003</v>
      </c>
      <c r="F16" s="1">
        <v>0</v>
      </c>
      <c r="G16" s="1">
        <v>0</v>
      </c>
      <c r="H16" s="1">
        <v>0</v>
      </c>
      <c r="I16" s="69" t="s">
        <v>46</v>
      </c>
      <c r="J16" s="33">
        <f t="shared" si="4"/>
        <v>0</v>
      </c>
      <c r="K16" s="131">
        <f t="shared" si="5"/>
        <v>0</v>
      </c>
      <c r="L16" s="131">
        <f t="shared" si="6"/>
        <v>0</v>
      </c>
      <c r="M16" s="131">
        <f t="shared" si="7"/>
        <v>4.8719999999999999E-2</v>
      </c>
      <c r="N16" s="132">
        <v>0</v>
      </c>
      <c r="O16" s="132">
        <v>0</v>
      </c>
      <c r="P16" s="131">
        <v>1</v>
      </c>
      <c r="Q16" s="67">
        <v>0</v>
      </c>
      <c r="R16" s="68">
        <f t="shared" si="0"/>
        <v>0</v>
      </c>
      <c r="S16" s="59">
        <f t="shared" si="1"/>
        <v>0</v>
      </c>
      <c r="T16" s="59">
        <f t="shared" si="2"/>
        <v>0</v>
      </c>
      <c r="U16" s="59">
        <f t="shared" si="3"/>
        <v>0</v>
      </c>
      <c r="V16" s="59">
        <f t="shared" si="8"/>
        <v>0</v>
      </c>
      <c r="W16" s="59">
        <f t="shared" si="9"/>
        <v>0</v>
      </c>
      <c r="X16" s="59">
        <f t="shared" si="10"/>
        <v>0</v>
      </c>
      <c r="Y16" s="59">
        <f t="shared" si="11"/>
        <v>0</v>
      </c>
      <c r="Z16" s="67">
        <f t="shared" si="12"/>
        <v>0</v>
      </c>
      <c r="AA16" s="68">
        <f t="shared" si="13"/>
        <v>0</v>
      </c>
      <c r="AB16" s="59">
        <f t="shared" si="14"/>
        <v>0</v>
      </c>
      <c r="AC16" s="59">
        <f t="shared" si="15"/>
        <v>0</v>
      </c>
      <c r="AD16" s="59">
        <f t="shared" si="16"/>
        <v>0</v>
      </c>
      <c r="AE16" s="59">
        <f t="shared" si="17"/>
        <v>0</v>
      </c>
      <c r="AF16" s="59">
        <f t="shared" si="18"/>
        <v>0</v>
      </c>
      <c r="AG16" s="59">
        <f t="shared" si="19"/>
        <v>0</v>
      </c>
      <c r="AH16" s="59">
        <f t="shared" si="20"/>
        <v>0</v>
      </c>
      <c r="AI16" s="67">
        <f t="shared" si="21"/>
        <v>0</v>
      </c>
      <c r="AJ16" s="68">
        <f t="shared" si="22"/>
        <v>0</v>
      </c>
      <c r="AK16" s="59">
        <f t="shared" si="23"/>
        <v>0</v>
      </c>
      <c r="AL16" s="59">
        <f t="shared" si="24"/>
        <v>0</v>
      </c>
      <c r="AM16" s="59">
        <f t="shared" si="25"/>
        <v>0</v>
      </c>
      <c r="AN16" s="59">
        <f t="shared" si="26"/>
        <v>0</v>
      </c>
      <c r="AO16" s="59">
        <f t="shared" si="27"/>
        <v>0</v>
      </c>
      <c r="AP16" s="59">
        <f t="shared" si="28"/>
        <v>0</v>
      </c>
      <c r="AQ16" s="59">
        <f t="shared" si="29"/>
        <v>0</v>
      </c>
      <c r="AR16" s="67">
        <f t="shared" si="30"/>
        <v>0</v>
      </c>
      <c r="AS16" s="68">
        <f t="shared" si="31"/>
        <v>1.2922768879001786E-11</v>
      </c>
      <c r="AT16" s="59">
        <f t="shared" si="32"/>
        <v>1.6385733088407493E-15</v>
      </c>
      <c r="AU16" s="59">
        <f t="shared" si="33"/>
        <v>1.1663832734809435E-10</v>
      </c>
      <c r="AV16" s="59">
        <f t="shared" si="34"/>
        <v>5.2875662663248976E-11</v>
      </c>
      <c r="AW16" s="59">
        <f t="shared" si="35"/>
        <v>1.6951399001134332E-10</v>
      </c>
      <c r="AX16" s="59">
        <f t="shared" si="36"/>
        <v>0</v>
      </c>
      <c r="AY16" s="59">
        <f t="shared" si="37"/>
        <v>0</v>
      </c>
      <c r="AZ16" s="59">
        <f t="shared" si="38"/>
        <v>0</v>
      </c>
      <c r="BA16" s="67">
        <f t="shared" si="39"/>
        <v>0</v>
      </c>
    </row>
    <row r="17" spans="1:53" ht="16" x14ac:dyDescent="0.2">
      <c r="A17" s="69" t="s">
        <v>31</v>
      </c>
      <c r="B17" s="1" t="s">
        <v>171</v>
      </c>
      <c r="C17" s="1">
        <v>0</v>
      </c>
      <c r="D17" s="1">
        <v>176</v>
      </c>
      <c r="E17" s="1">
        <v>1531</v>
      </c>
      <c r="F17" s="1">
        <v>1624</v>
      </c>
      <c r="G17" s="1">
        <v>0</v>
      </c>
      <c r="H17" s="1">
        <v>14.9</v>
      </c>
      <c r="I17" s="69" t="s">
        <v>31</v>
      </c>
      <c r="J17" s="33">
        <f t="shared" si="4"/>
        <v>941.92</v>
      </c>
      <c r="K17" s="131">
        <f t="shared" si="5"/>
        <v>470.96</v>
      </c>
      <c r="L17" s="131">
        <f t="shared" si="6"/>
        <v>504.8</v>
      </c>
      <c r="M17" s="131">
        <f t="shared" si="7"/>
        <v>187.74299999999999</v>
      </c>
      <c r="N17" s="132">
        <v>0</v>
      </c>
      <c r="O17" s="132">
        <v>0</v>
      </c>
      <c r="P17" s="131">
        <v>1</v>
      </c>
      <c r="Q17" s="67">
        <v>0</v>
      </c>
      <c r="R17" s="68">
        <f t="shared" si="0"/>
        <v>2.4984019832736785E-7</v>
      </c>
      <c r="S17" s="59">
        <f t="shared" si="1"/>
        <v>3.1679083970921159E-11</v>
      </c>
      <c r="T17" s="59">
        <f t="shared" si="2"/>
        <v>2.2550076620631574E-6</v>
      </c>
      <c r="U17" s="59">
        <f t="shared" si="3"/>
        <v>1.0222628114894803E-6</v>
      </c>
      <c r="V17" s="59">
        <f t="shared" si="8"/>
        <v>3.2772704735526376E-6</v>
      </c>
      <c r="W17" s="59">
        <f t="shared" si="9"/>
        <v>0</v>
      </c>
      <c r="X17" s="59">
        <f t="shared" si="10"/>
        <v>0</v>
      </c>
      <c r="Y17" s="59">
        <f t="shared" si="11"/>
        <v>0</v>
      </c>
      <c r="Z17" s="67">
        <f t="shared" si="12"/>
        <v>0</v>
      </c>
      <c r="AA17" s="68">
        <f t="shared" si="13"/>
        <v>1.2492009916368393E-7</v>
      </c>
      <c r="AB17" s="59">
        <f t="shared" si="14"/>
        <v>1.5839541985460579E-11</v>
      </c>
      <c r="AC17" s="59">
        <f t="shared" si="15"/>
        <v>1.1275038310315787E-6</v>
      </c>
      <c r="AD17" s="59">
        <f t="shared" si="16"/>
        <v>5.1113140574474013E-7</v>
      </c>
      <c r="AE17" s="59">
        <f t="shared" si="17"/>
        <v>1.6386352367763188E-6</v>
      </c>
      <c r="AF17" s="59">
        <f t="shared" si="18"/>
        <v>0</v>
      </c>
      <c r="AG17" s="59">
        <f t="shared" si="19"/>
        <v>0</v>
      </c>
      <c r="AH17" s="59">
        <f t="shared" si="20"/>
        <v>0</v>
      </c>
      <c r="AI17" s="67">
        <f t="shared" si="21"/>
        <v>0</v>
      </c>
      <c r="AJ17" s="68">
        <f t="shared" si="22"/>
        <v>1.3389601252299061E-7</v>
      </c>
      <c r="AK17" s="59">
        <f t="shared" si="23"/>
        <v>1.6977664332980507E-11</v>
      </c>
      <c r="AL17" s="59">
        <f t="shared" si="24"/>
        <v>1.2085186298300087E-6</v>
      </c>
      <c r="AM17" s="59">
        <f t="shared" si="25"/>
        <v>5.4785785123990321E-7</v>
      </c>
      <c r="AN17" s="59">
        <f t="shared" si="26"/>
        <v>1.7563764810699119E-6</v>
      </c>
      <c r="AO17" s="59">
        <f t="shared" si="27"/>
        <v>0</v>
      </c>
      <c r="AP17" s="59">
        <f t="shared" si="28"/>
        <v>0</v>
      </c>
      <c r="AQ17" s="59">
        <f t="shared" si="29"/>
        <v>0</v>
      </c>
      <c r="AR17" s="67">
        <f t="shared" si="30"/>
        <v>0</v>
      </c>
      <c r="AS17" s="68">
        <f t="shared" si="31"/>
        <v>4.9798017193153379E-8</v>
      </c>
      <c r="AT17" s="59">
        <f t="shared" si="32"/>
        <v>6.3142583891972253E-12</v>
      </c>
      <c r="AU17" s="59">
        <f t="shared" si="33"/>
        <v>4.4946694358196372E-7</v>
      </c>
      <c r="AV17" s="59">
        <f t="shared" si="34"/>
        <v>2.037568870153192E-7</v>
      </c>
      <c r="AW17" s="59">
        <f t="shared" si="35"/>
        <v>6.5322383059728295E-7</v>
      </c>
      <c r="AX17" s="59">
        <f t="shared" si="36"/>
        <v>0</v>
      </c>
      <c r="AY17" s="59">
        <f t="shared" si="37"/>
        <v>0</v>
      </c>
      <c r="AZ17" s="59">
        <f t="shared" si="38"/>
        <v>0</v>
      </c>
      <c r="BA17" s="67">
        <f t="shared" si="39"/>
        <v>0</v>
      </c>
    </row>
    <row r="18" spans="1:53" ht="16" x14ac:dyDescent="0.2">
      <c r="A18" s="69" t="s">
        <v>37</v>
      </c>
      <c r="B18" s="1" t="s">
        <v>171</v>
      </c>
      <c r="C18" s="1">
        <v>0</v>
      </c>
      <c r="D18" s="1">
        <v>971</v>
      </c>
      <c r="E18" s="1">
        <v>87.6</v>
      </c>
      <c r="F18" s="1">
        <v>15174</v>
      </c>
      <c r="G18" s="1">
        <v>30.2</v>
      </c>
      <c r="H18" s="1">
        <v>12.5</v>
      </c>
      <c r="I18" s="69" t="s">
        <v>37</v>
      </c>
      <c r="J18" s="33">
        <f t="shared" si="4"/>
        <v>8800.92</v>
      </c>
      <c r="K18" s="131">
        <f t="shared" si="5"/>
        <v>4409.2179999999998</v>
      </c>
      <c r="L18" s="131">
        <f t="shared" si="6"/>
        <v>4658.3600000000006</v>
      </c>
      <c r="M18" s="131">
        <f t="shared" si="7"/>
        <v>13.886999999999999</v>
      </c>
      <c r="N18" s="132">
        <v>0</v>
      </c>
      <c r="O18" s="132">
        <v>0</v>
      </c>
      <c r="P18" s="131">
        <v>0</v>
      </c>
      <c r="Q18" s="67">
        <v>0</v>
      </c>
      <c r="R18" s="68">
        <f t="shared" si="0"/>
        <v>2.3344058924996798E-6</v>
      </c>
      <c r="S18" s="59">
        <f t="shared" si="1"/>
        <v>2.9599656414701819E-10</v>
      </c>
      <c r="T18" s="59">
        <f t="shared" si="2"/>
        <v>2.1069880704523613E-5</v>
      </c>
      <c r="U18" s="59">
        <f t="shared" si="3"/>
        <v>9.5516107768111893E-6</v>
      </c>
      <c r="V18" s="59">
        <f t="shared" si="8"/>
        <v>3.06214914813348E-5</v>
      </c>
      <c r="W18" s="59">
        <f t="shared" si="9"/>
        <v>0</v>
      </c>
      <c r="X18" s="59">
        <f t="shared" si="10"/>
        <v>0</v>
      </c>
      <c r="Y18" s="59">
        <f t="shared" si="11"/>
        <v>0</v>
      </c>
      <c r="Z18" s="67">
        <f t="shared" si="12"/>
        <v>0</v>
      </c>
      <c r="AA18" s="68">
        <f t="shared" si="13"/>
        <v>1.1695259677983273E-6</v>
      </c>
      <c r="AB18" s="59">
        <f t="shared" si="14"/>
        <v>1.4829283513259832E-10</v>
      </c>
      <c r="AC18" s="59">
        <f t="shared" si="15"/>
        <v>1.0555907480154142E-5</v>
      </c>
      <c r="AD18" s="59">
        <f t="shared" si="16"/>
        <v>4.7853104182414883E-6</v>
      </c>
      <c r="AE18" s="59">
        <f t="shared" si="17"/>
        <v>1.5341217898395631E-5</v>
      </c>
      <c r="AF18" s="59">
        <f t="shared" si="18"/>
        <v>0</v>
      </c>
      <c r="AG18" s="59">
        <f t="shared" si="19"/>
        <v>0</v>
      </c>
      <c r="AH18" s="59">
        <f t="shared" si="20"/>
        <v>0</v>
      </c>
      <c r="AI18" s="67">
        <f t="shared" si="21"/>
        <v>0</v>
      </c>
      <c r="AJ18" s="68">
        <f t="shared" si="22"/>
        <v>1.2356098036778897E-6</v>
      </c>
      <c r="AK18" s="59">
        <f t="shared" si="23"/>
        <v>1.5667209275392845E-10</v>
      </c>
      <c r="AL18" s="59">
        <f t="shared" si="24"/>
        <v>1.1152366966035898E-5</v>
      </c>
      <c r="AM18" s="59">
        <f t="shared" si="25"/>
        <v>5.0557034467153648E-6</v>
      </c>
      <c r="AN18" s="59">
        <f t="shared" si="26"/>
        <v>1.6208070412751264E-5</v>
      </c>
      <c r="AO18" s="59">
        <f t="shared" si="27"/>
        <v>0</v>
      </c>
      <c r="AP18" s="59">
        <f t="shared" si="28"/>
        <v>0</v>
      </c>
      <c r="AQ18" s="59">
        <f t="shared" si="29"/>
        <v>0</v>
      </c>
      <c r="AR18" s="67">
        <f t="shared" si="30"/>
        <v>0</v>
      </c>
      <c r="AS18" s="68">
        <f t="shared" si="31"/>
        <v>3.6834665727154724E-9</v>
      </c>
      <c r="AT18" s="59">
        <f t="shared" si="32"/>
        <v>4.6705393144235389E-13</v>
      </c>
      <c r="AU18" s="59">
        <f t="shared" si="33"/>
        <v>3.3246232592015302E-8</v>
      </c>
      <c r="AV18" s="59">
        <f t="shared" si="34"/>
        <v>1.5071517393360806E-8</v>
      </c>
      <c r="AW18" s="59">
        <f t="shared" si="35"/>
        <v>4.8317749985376111E-8</v>
      </c>
      <c r="AX18" s="59">
        <f t="shared" si="36"/>
        <v>0</v>
      </c>
      <c r="AY18" s="59">
        <f t="shared" si="37"/>
        <v>0</v>
      </c>
      <c r="AZ18" s="59">
        <f t="shared" si="38"/>
        <v>0</v>
      </c>
      <c r="BA18" s="67">
        <f t="shared" si="39"/>
        <v>0</v>
      </c>
    </row>
    <row r="19" spans="1:53" ht="16" x14ac:dyDescent="0.2">
      <c r="A19" s="69" t="s">
        <v>70</v>
      </c>
      <c r="B19" s="1" t="s">
        <v>171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69" t="s">
        <v>70</v>
      </c>
      <c r="J19" s="33">
        <f t="shared" si="4"/>
        <v>0</v>
      </c>
      <c r="K19" s="131">
        <f t="shared" si="5"/>
        <v>0</v>
      </c>
      <c r="L19" s="131">
        <f t="shared" si="6"/>
        <v>0</v>
      </c>
      <c r="M19" s="131">
        <f t="shared" si="7"/>
        <v>0</v>
      </c>
      <c r="N19" s="132">
        <v>0</v>
      </c>
      <c r="O19" s="132">
        <v>0</v>
      </c>
      <c r="P19" s="131">
        <v>0.04</v>
      </c>
      <c r="Q19" s="67">
        <v>0</v>
      </c>
      <c r="R19" s="68">
        <f t="shared" si="0"/>
        <v>0</v>
      </c>
      <c r="S19" s="59">
        <f t="shared" si="1"/>
        <v>0</v>
      </c>
      <c r="T19" s="59">
        <f t="shared" si="2"/>
        <v>0</v>
      </c>
      <c r="U19" s="59">
        <f t="shared" si="3"/>
        <v>0</v>
      </c>
      <c r="V19" s="59">
        <f t="shared" si="8"/>
        <v>0</v>
      </c>
      <c r="W19" s="59">
        <f t="shared" si="9"/>
        <v>0</v>
      </c>
      <c r="X19" s="59">
        <f t="shared" si="10"/>
        <v>0</v>
      </c>
      <c r="Y19" s="59">
        <f t="shared" si="11"/>
        <v>0</v>
      </c>
      <c r="Z19" s="67">
        <f t="shared" si="12"/>
        <v>0</v>
      </c>
      <c r="AA19" s="68">
        <f t="shared" si="13"/>
        <v>0</v>
      </c>
      <c r="AB19" s="59">
        <f t="shared" si="14"/>
        <v>0</v>
      </c>
      <c r="AC19" s="59">
        <f t="shared" si="15"/>
        <v>0</v>
      </c>
      <c r="AD19" s="59">
        <f t="shared" si="16"/>
        <v>0</v>
      </c>
      <c r="AE19" s="59">
        <f t="shared" si="17"/>
        <v>0</v>
      </c>
      <c r="AF19" s="59">
        <f t="shared" si="18"/>
        <v>0</v>
      </c>
      <c r="AG19" s="59">
        <f t="shared" si="19"/>
        <v>0</v>
      </c>
      <c r="AH19" s="59">
        <f t="shared" si="20"/>
        <v>0</v>
      </c>
      <c r="AI19" s="67">
        <f t="shared" si="21"/>
        <v>0</v>
      </c>
      <c r="AJ19" s="68">
        <f t="shared" si="22"/>
        <v>0</v>
      </c>
      <c r="AK19" s="59">
        <f t="shared" si="23"/>
        <v>0</v>
      </c>
      <c r="AL19" s="59">
        <f t="shared" si="24"/>
        <v>0</v>
      </c>
      <c r="AM19" s="59">
        <f t="shared" si="25"/>
        <v>0</v>
      </c>
      <c r="AN19" s="59">
        <f t="shared" si="26"/>
        <v>0</v>
      </c>
      <c r="AO19" s="59">
        <f t="shared" si="27"/>
        <v>0</v>
      </c>
      <c r="AP19" s="59">
        <f t="shared" si="28"/>
        <v>0</v>
      </c>
      <c r="AQ19" s="59">
        <f t="shared" si="29"/>
        <v>0</v>
      </c>
      <c r="AR19" s="67">
        <f t="shared" si="30"/>
        <v>0</v>
      </c>
      <c r="AS19" s="68">
        <f t="shared" si="31"/>
        <v>0</v>
      </c>
      <c r="AT19" s="59">
        <f t="shared" si="32"/>
        <v>0</v>
      </c>
      <c r="AU19" s="59">
        <f t="shared" si="33"/>
        <v>0</v>
      </c>
      <c r="AV19" s="59">
        <f t="shared" si="34"/>
        <v>0</v>
      </c>
      <c r="AW19" s="59">
        <f t="shared" si="35"/>
        <v>0</v>
      </c>
      <c r="AX19" s="59">
        <f t="shared" si="36"/>
        <v>0</v>
      </c>
      <c r="AY19" s="59">
        <f t="shared" si="37"/>
        <v>0</v>
      </c>
      <c r="AZ19" s="59">
        <f t="shared" si="38"/>
        <v>0</v>
      </c>
      <c r="BA19" s="67">
        <f t="shared" si="39"/>
        <v>0</v>
      </c>
    </row>
    <row r="20" spans="1:53" ht="16" x14ac:dyDescent="0.2">
      <c r="A20" s="69" t="s">
        <v>25</v>
      </c>
      <c r="B20" s="1" t="s">
        <v>171</v>
      </c>
      <c r="C20" s="1">
        <v>0</v>
      </c>
      <c r="D20" s="1">
        <v>615</v>
      </c>
      <c r="E20" s="1">
        <v>342</v>
      </c>
      <c r="F20" s="1">
        <v>4785</v>
      </c>
      <c r="G20" s="1">
        <v>24</v>
      </c>
      <c r="H20" s="1">
        <v>443</v>
      </c>
      <c r="I20" s="69" t="s">
        <v>25</v>
      </c>
      <c r="J20" s="33">
        <f t="shared" si="4"/>
        <v>2775.2999999999997</v>
      </c>
      <c r="K20" s="131">
        <f t="shared" si="5"/>
        <v>1394.61</v>
      </c>
      <c r="L20" s="131">
        <f t="shared" si="6"/>
        <v>1504.2</v>
      </c>
      <c r="M20" s="131">
        <f t="shared" si="7"/>
        <v>160.65</v>
      </c>
      <c r="N20" s="132">
        <v>0</v>
      </c>
      <c r="O20" s="132">
        <v>0</v>
      </c>
      <c r="P20" s="134">
        <v>1</v>
      </c>
      <c r="Q20" s="67">
        <v>0</v>
      </c>
      <c r="R20" s="68">
        <f t="shared" si="0"/>
        <v>7.3613629864313739E-7</v>
      </c>
      <c r="S20" s="59">
        <f t="shared" si="1"/>
        <v>9.3340158128606964E-11</v>
      </c>
      <c r="T20" s="59">
        <f t="shared" si="2"/>
        <v>6.6442190042932299E-6</v>
      </c>
      <c r="U20" s="59">
        <f t="shared" si="3"/>
        <v>3.0120243552815038E-6</v>
      </c>
      <c r="V20" s="59">
        <f t="shared" si="8"/>
        <v>9.6562433595747341E-6</v>
      </c>
      <c r="W20" s="59">
        <f t="shared" si="9"/>
        <v>0</v>
      </c>
      <c r="X20" s="59">
        <f t="shared" si="10"/>
        <v>0</v>
      </c>
      <c r="Y20" s="59">
        <f t="shared" si="11"/>
        <v>0</v>
      </c>
      <c r="Z20" s="67">
        <f t="shared" si="12"/>
        <v>0</v>
      </c>
      <c r="AA20" s="68">
        <f t="shared" si="13"/>
        <v>3.6991425916142611E-7</v>
      </c>
      <c r="AB20" s="59">
        <f t="shared" si="14"/>
        <v>4.6904160965566454E-11</v>
      </c>
      <c r="AC20" s="59">
        <f t="shared" si="15"/>
        <v>3.3387721203391996E-6</v>
      </c>
      <c r="AD20" s="59">
        <f t="shared" si="16"/>
        <v>1.5135658437355019E-6</v>
      </c>
      <c r="AE20" s="59">
        <f t="shared" si="17"/>
        <v>4.8523379640747017E-6</v>
      </c>
      <c r="AF20" s="59">
        <f t="shared" si="18"/>
        <v>0</v>
      </c>
      <c r="AG20" s="59">
        <f t="shared" si="19"/>
        <v>0</v>
      </c>
      <c r="AH20" s="59">
        <f t="shared" si="20"/>
        <v>0</v>
      </c>
      <c r="AI20" s="67">
        <f t="shared" si="21"/>
        <v>0</v>
      </c>
      <c r="AJ20" s="68">
        <f t="shared" si="22"/>
        <v>3.9898253176918079E-7</v>
      </c>
      <c r="AK20" s="59">
        <f t="shared" si="23"/>
        <v>5.0589941936745785E-11</v>
      </c>
      <c r="AL20" s="59">
        <f t="shared" si="24"/>
        <v>3.601136535242272E-6</v>
      </c>
      <c r="AM20" s="59">
        <f t="shared" si="25"/>
        <v>1.6325035258222314E-6</v>
      </c>
      <c r="AN20" s="59">
        <f t="shared" si="26"/>
        <v>5.2336400610645038E-6</v>
      </c>
      <c r="AO20" s="59">
        <f t="shared" si="27"/>
        <v>0</v>
      </c>
      <c r="AP20" s="59">
        <f t="shared" si="28"/>
        <v>0</v>
      </c>
      <c r="AQ20" s="59">
        <f t="shared" si="29"/>
        <v>0</v>
      </c>
      <c r="AR20" s="67">
        <f t="shared" si="30"/>
        <v>0</v>
      </c>
      <c r="AS20" s="68">
        <f t="shared" si="31"/>
        <v>4.2611716346708479E-8</v>
      </c>
      <c r="AT20" s="59">
        <f t="shared" si="32"/>
        <v>5.4030542295826437E-12</v>
      </c>
      <c r="AU20" s="59">
        <f t="shared" si="33"/>
        <v>3.8460482940212141E-7</v>
      </c>
      <c r="AV20" s="59">
        <f t="shared" si="34"/>
        <v>1.7435293938528222E-7</v>
      </c>
      <c r="AW20" s="59">
        <f t="shared" si="35"/>
        <v>5.589577687874036E-7</v>
      </c>
      <c r="AX20" s="59">
        <f t="shared" si="36"/>
        <v>0</v>
      </c>
      <c r="AY20" s="59">
        <f t="shared" si="37"/>
        <v>0</v>
      </c>
      <c r="AZ20" s="59">
        <f t="shared" si="38"/>
        <v>0</v>
      </c>
      <c r="BA20" s="67">
        <f t="shared" si="39"/>
        <v>0</v>
      </c>
    </row>
    <row r="21" spans="1:53" ht="16" x14ac:dyDescent="0.2">
      <c r="A21" s="69" t="s">
        <v>178</v>
      </c>
      <c r="B21" s="1" t="s">
        <v>171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69" t="s">
        <v>178</v>
      </c>
      <c r="J21" s="33">
        <f t="shared" si="4"/>
        <v>0</v>
      </c>
      <c r="K21" s="131">
        <f t="shared" si="5"/>
        <v>0</v>
      </c>
      <c r="L21" s="131">
        <f t="shared" si="6"/>
        <v>0</v>
      </c>
      <c r="M21" s="131">
        <f t="shared" si="7"/>
        <v>0</v>
      </c>
      <c r="N21" s="132">
        <v>0</v>
      </c>
      <c r="O21" s="132">
        <v>0</v>
      </c>
      <c r="P21" s="131">
        <v>0.2</v>
      </c>
      <c r="Q21" s="67">
        <v>0</v>
      </c>
      <c r="R21" s="68">
        <f t="shared" si="0"/>
        <v>0</v>
      </c>
      <c r="S21" s="59">
        <f t="shared" si="1"/>
        <v>0</v>
      </c>
      <c r="T21" s="59">
        <f t="shared" si="2"/>
        <v>0</v>
      </c>
      <c r="U21" s="59">
        <f t="shared" si="3"/>
        <v>0</v>
      </c>
      <c r="V21" s="59">
        <f t="shared" si="8"/>
        <v>0</v>
      </c>
      <c r="W21" s="59">
        <f t="shared" si="9"/>
        <v>0</v>
      </c>
      <c r="X21" s="59">
        <f t="shared" si="10"/>
        <v>0</v>
      </c>
      <c r="Y21" s="59">
        <f t="shared" si="11"/>
        <v>0</v>
      </c>
      <c r="Z21" s="67">
        <f t="shared" si="12"/>
        <v>0</v>
      </c>
      <c r="AA21" s="68">
        <f t="shared" si="13"/>
        <v>0</v>
      </c>
      <c r="AB21" s="59">
        <f t="shared" si="14"/>
        <v>0</v>
      </c>
      <c r="AC21" s="59">
        <f t="shared" si="15"/>
        <v>0</v>
      </c>
      <c r="AD21" s="59">
        <f t="shared" si="16"/>
        <v>0</v>
      </c>
      <c r="AE21" s="59">
        <f t="shared" si="17"/>
        <v>0</v>
      </c>
      <c r="AF21" s="59">
        <f t="shared" si="18"/>
        <v>0</v>
      </c>
      <c r="AG21" s="59">
        <f t="shared" si="19"/>
        <v>0</v>
      </c>
      <c r="AH21" s="59">
        <f t="shared" si="20"/>
        <v>0</v>
      </c>
      <c r="AI21" s="67">
        <f t="shared" si="21"/>
        <v>0</v>
      </c>
      <c r="AJ21" s="68">
        <f t="shared" si="22"/>
        <v>0</v>
      </c>
      <c r="AK21" s="59">
        <f t="shared" si="23"/>
        <v>0</v>
      </c>
      <c r="AL21" s="59">
        <f t="shared" si="24"/>
        <v>0</v>
      </c>
      <c r="AM21" s="59">
        <f t="shared" si="25"/>
        <v>0</v>
      </c>
      <c r="AN21" s="59">
        <f t="shared" si="26"/>
        <v>0</v>
      </c>
      <c r="AO21" s="59">
        <f t="shared" si="27"/>
        <v>0</v>
      </c>
      <c r="AP21" s="59">
        <f t="shared" si="28"/>
        <v>0</v>
      </c>
      <c r="AQ21" s="59">
        <f t="shared" si="29"/>
        <v>0</v>
      </c>
      <c r="AR21" s="67">
        <f t="shared" si="30"/>
        <v>0</v>
      </c>
      <c r="AS21" s="68">
        <f t="shared" si="31"/>
        <v>0</v>
      </c>
      <c r="AT21" s="59">
        <f t="shared" si="32"/>
        <v>0</v>
      </c>
      <c r="AU21" s="59">
        <f t="shared" si="33"/>
        <v>0</v>
      </c>
      <c r="AV21" s="59">
        <f t="shared" si="34"/>
        <v>0</v>
      </c>
      <c r="AW21" s="59">
        <f t="shared" si="35"/>
        <v>0</v>
      </c>
      <c r="AX21" s="59">
        <f t="shared" si="36"/>
        <v>0</v>
      </c>
      <c r="AY21" s="59">
        <f t="shared" si="37"/>
        <v>0</v>
      </c>
      <c r="AZ21" s="59">
        <f t="shared" si="38"/>
        <v>0</v>
      </c>
      <c r="BA21" s="67">
        <f t="shared" si="39"/>
        <v>0</v>
      </c>
    </row>
    <row r="22" spans="1:53" ht="16" x14ac:dyDescent="0.2">
      <c r="A22" s="69" t="s">
        <v>67</v>
      </c>
      <c r="B22" s="1" t="s">
        <v>171</v>
      </c>
      <c r="C22" s="1">
        <v>0</v>
      </c>
      <c r="D22" s="1">
        <v>0</v>
      </c>
      <c r="E22" s="1">
        <v>1.67</v>
      </c>
      <c r="F22" s="1">
        <v>0</v>
      </c>
      <c r="G22" s="1">
        <v>0</v>
      </c>
      <c r="H22" s="1">
        <v>0</v>
      </c>
      <c r="I22" s="69" t="s">
        <v>67</v>
      </c>
      <c r="J22" s="33">
        <f t="shared" si="4"/>
        <v>0</v>
      </c>
      <c r="K22" s="131">
        <f t="shared" si="5"/>
        <v>0</v>
      </c>
      <c r="L22" s="131">
        <f t="shared" si="6"/>
        <v>0</v>
      </c>
      <c r="M22" s="131">
        <f t="shared" si="7"/>
        <v>0.20039999999999999</v>
      </c>
      <c r="N22" s="132">
        <v>0</v>
      </c>
      <c r="O22" s="132">
        <v>0</v>
      </c>
      <c r="P22" s="131">
        <v>1</v>
      </c>
      <c r="Q22" s="67">
        <v>0</v>
      </c>
      <c r="R22" s="68">
        <f t="shared" si="0"/>
        <v>0</v>
      </c>
      <c r="S22" s="59">
        <f t="shared" si="1"/>
        <v>0</v>
      </c>
      <c r="T22" s="59">
        <f t="shared" si="2"/>
        <v>0</v>
      </c>
      <c r="U22" s="59">
        <f t="shared" si="3"/>
        <v>0</v>
      </c>
      <c r="V22" s="59">
        <f t="shared" si="8"/>
        <v>0</v>
      </c>
      <c r="W22" s="59">
        <f t="shared" si="9"/>
        <v>0</v>
      </c>
      <c r="X22" s="59">
        <f t="shared" si="10"/>
        <v>0</v>
      </c>
      <c r="Y22" s="59">
        <f t="shared" si="11"/>
        <v>0</v>
      </c>
      <c r="Z22" s="67">
        <f t="shared" si="12"/>
        <v>0</v>
      </c>
      <c r="AA22" s="68">
        <f t="shared" si="13"/>
        <v>0</v>
      </c>
      <c r="AB22" s="59">
        <f t="shared" si="14"/>
        <v>0</v>
      </c>
      <c r="AC22" s="59">
        <f t="shared" si="15"/>
        <v>0</v>
      </c>
      <c r="AD22" s="59">
        <f t="shared" si="16"/>
        <v>0</v>
      </c>
      <c r="AE22" s="59">
        <f t="shared" si="17"/>
        <v>0</v>
      </c>
      <c r="AF22" s="59">
        <f t="shared" si="18"/>
        <v>0</v>
      </c>
      <c r="AG22" s="59">
        <f t="shared" si="19"/>
        <v>0</v>
      </c>
      <c r="AH22" s="59">
        <f t="shared" si="20"/>
        <v>0</v>
      </c>
      <c r="AI22" s="67">
        <f t="shared" si="21"/>
        <v>0</v>
      </c>
      <c r="AJ22" s="68">
        <f t="shared" si="22"/>
        <v>0</v>
      </c>
      <c r="AK22" s="59">
        <f t="shared" si="23"/>
        <v>0</v>
      </c>
      <c r="AL22" s="59">
        <f t="shared" si="24"/>
        <v>0</v>
      </c>
      <c r="AM22" s="59">
        <f t="shared" si="25"/>
        <v>0</v>
      </c>
      <c r="AN22" s="59">
        <f t="shared" si="26"/>
        <v>0</v>
      </c>
      <c r="AO22" s="59">
        <f t="shared" si="27"/>
        <v>0</v>
      </c>
      <c r="AP22" s="59">
        <f t="shared" si="28"/>
        <v>0</v>
      </c>
      <c r="AQ22" s="59">
        <f t="shared" si="29"/>
        <v>0</v>
      </c>
      <c r="AR22" s="67">
        <f t="shared" si="30"/>
        <v>0</v>
      </c>
      <c r="AS22" s="68">
        <f t="shared" si="31"/>
        <v>5.3155231595894038E-11</v>
      </c>
      <c r="AT22" s="59">
        <f t="shared" si="32"/>
        <v>6.739944398433624E-15</v>
      </c>
      <c r="AU22" s="59">
        <f t="shared" si="33"/>
        <v>4.7976848933822054E-10</v>
      </c>
      <c r="AV22" s="59">
        <f t="shared" si="34"/>
        <v>2.1749348927986649E-10</v>
      </c>
      <c r="AW22" s="59">
        <f t="shared" si="35"/>
        <v>6.97261978618087E-10</v>
      </c>
      <c r="AX22" s="59">
        <f t="shared" si="36"/>
        <v>0</v>
      </c>
      <c r="AY22" s="59">
        <f t="shared" si="37"/>
        <v>0</v>
      </c>
      <c r="AZ22" s="59">
        <f t="shared" si="38"/>
        <v>0</v>
      </c>
      <c r="BA22" s="67">
        <f t="shared" si="39"/>
        <v>0</v>
      </c>
    </row>
    <row r="23" spans="1:53" ht="16" x14ac:dyDescent="0.2">
      <c r="A23" s="69" t="s">
        <v>64</v>
      </c>
      <c r="B23" s="1" t="s">
        <v>171</v>
      </c>
      <c r="C23" s="1">
        <v>0</v>
      </c>
      <c r="D23" s="1">
        <v>0</v>
      </c>
      <c r="E23" s="1">
        <v>4.29</v>
      </c>
      <c r="F23" s="1">
        <v>0.38</v>
      </c>
      <c r="G23" s="1">
        <v>0</v>
      </c>
      <c r="H23" s="1">
        <v>0</v>
      </c>
      <c r="I23" s="69" t="s">
        <v>64</v>
      </c>
      <c r="J23" s="33">
        <f t="shared" si="4"/>
        <v>0.22039999999999998</v>
      </c>
      <c r="K23" s="131">
        <f t="shared" si="5"/>
        <v>0.11019999999999999</v>
      </c>
      <c r="L23" s="131">
        <f t="shared" si="6"/>
        <v>0.11399999999999999</v>
      </c>
      <c r="M23" s="131">
        <f t="shared" si="7"/>
        <v>0.51480000000000004</v>
      </c>
      <c r="N23" s="132">
        <v>0</v>
      </c>
      <c r="O23" s="132">
        <v>0</v>
      </c>
      <c r="P23" s="131">
        <v>0</v>
      </c>
      <c r="Q23" s="67">
        <v>0</v>
      </c>
      <c r="R23" s="68">
        <f t="shared" si="0"/>
        <v>5.8460144928817603E-11</v>
      </c>
      <c r="S23" s="59">
        <f t="shared" si="1"/>
        <v>7.412593539993866E-15</v>
      </c>
      <c r="T23" s="59">
        <f t="shared" si="2"/>
        <v>5.2764957609852201E-10</v>
      </c>
      <c r="U23" s="59">
        <f t="shared" si="3"/>
        <v>2.3919942633374538E-10</v>
      </c>
      <c r="V23" s="59">
        <f t="shared" si="8"/>
        <v>7.668490024322674E-10</v>
      </c>
      <c r="W23" s="59">
        <f t="shared" si="9"/>
        <v>0</v>
      </c>
      <c r="X23" s="59">
        <f t="shared" si="10"/>
        <v>0</v>
      </c>
      <c r="Y23" s="59">
        <f t="shared" si="11"/>
        <v>0</v>
      </c>
      <c r="Z23" s="67">
        <f t="shared" si="12"/>
        <v>0</v>
      </c>
      <c r="AA23" s="68">
        <f t="shared" si="13"/>
        <v>2.9230072464408802E-11</v>
      </c>
      <c r="AB23" s="59">
        <f t="shared" si="14"/>
        <v>3.706296769996933E-15</v>
      </c>
      <c r="AC23" s="59">
        <f t="shared" si="15"/>
        <v>2.6382478804926101E-10</v>
      </c>
      <c r="AD23" s="59">
        <f t="shared" si="16"/>
        <v>1.1959971316687269E-10</v>
      </c>
      <c r="AE23" s="59">
        <f t="shared" si="17"/>
        <v>3.834245012161337E-10</v>
      </c>
      <c r="AF23" s="59">
        <f t="shared" si="18"/>
        <v>0</v>
      </c>
      <c r="AG23" s="59">
        <f t="shared" si="19"/>
        <v>0</v>
      </c>
      <c r="AH23" s="59">
        <f t="shared" si="20"/>
        <v>0</v>
      </c>
      <c r="AI23" s="67">
        <f t="shared" si="21"/>
        <v>0</v>
      </c>
      <c r="AJ23" s="68">
        <f t="shared" si="22"/>
        <v>3.0238005997664277E-11</v>
      </c>
      <c r="AK23" s="59">
        <f t="shared" si="23"/>
        <v>3.8341001068933787E-15</v>
      </c>
      <c r="AL23" s="59">
        <f t="shared" si="24"/>
        <v>2.7292219453371827E-10</v>
      </c>
      <c r="AM23" s="59">
        <f t="shared" si="25"/>
        <v>1.2372384120710966E-10</v>
      </c>
      <c r="AN23" s="59">
        <f t="shared" si="26"/>
        <v>3.9664603574082791E-10</v>
      </c>
      <c r="AO23" s="59">
        <f t="shared" si="27"/>
        <v>0</v>
      </c>
      <c r="AP23" s="59">
        <f t="shared" si="28"/>
        <v>0</v>
      </c>
      <c r="AQ23" s="59">
        <f t="shared" si="29"/>
        <v>0</v>
      </c>
      <c r="AR23" s="67">
        <f t="shared" si="30"/>
        <v>0</v>
      </c>
      <c r="AS23" s="68">
        <f t="shared" si="31"/>
        <v>1.3654846918945238E-10</v>
      </c>
      <c r="AT23" s="59">
        <f t="shared" si="32"/>
        <v>1.7313988903760628E-14</v>
      </c>
      <c r="AU23" s="59">
        <f t="shared" si="33"/>
        <v>1.2324591732101593E-9</v>
      </c>
      <c r="AV23" s="59">
        <f t="shared" si="34"/>
        <v>5.5871081976684266E-10</v>
      </c>
      <c r="AW23" s="59">
        <f t="shared" si="35"/>
        <v>1.7911699929770018E-9</v>
      </c>
      <c r="AX23" s="59">
        <f t="shared" si="36"/>
        <v>0</v>
      </c>
      <c r="AY23" s="59">
        <f t="shared" si="37"/>
        <v>0</v>
      </c>
      <c r="AZ23" s="59">
        <f t="shared" si="38"/>
        <v>0</v>
      </c>
      <c r="BA23" s="67">
        <f t="shared" si="39"/>
        <v>0</v>
      </c>
    </row>
    <row r="24" spans="1:53" ht="16" x14ac:dyDescent="0.2">
      <c r="A24" s="69" t="s">
        <v>61</v>
      </c>
      <c r="B24" s="1" t="s">
        <v>171</v>
      </c>
      <c r="C24" s="1">
        <v>0</v>
      </c>
      <c r="D24" s="1">
        <v>0</v>
      </c>
      <c r="E24" s="1">
        <v>3.38</v>
      </c>
      <c r="F24" s="1">
        <v>0.90900000000000003</v>
      </c>
      <c r="G24" s="1">
        <v>0</v>
      </c>
      <c r="H24" s="1">
        <v>0</v>
      </c>
      <c r="I24" s="69" t="s">
        <v>61</v>
      </c>
      <c r="J24" s="33">
        <f t="shared" si="4"/>
        <v>0.52722000000000002</v>
      </c>
      <c r="K24" s="131">
        <f t="shared" si="5"/>
        <v>0.26361000000000001</v>
      </c>
      <c r="L24" s="131">
        <f t="shared" si="6"/>
        <v>0.2727</v>
      </c>
      <c r="M24" s="131">
        <f t="shared" si="7"/>
        <v>0.40559999999999996</v>
      </c>
      <c r="N24" s="132">
        <v>0</v>
      </c>
      <c r="O24" s="132">
        <v>0</v>
      </c>
      <c r="P24" s="131">
        <v>2.5999999999999999E-2</v>
      </c>
      <c r="Q24" s="67">
        <v>0</v>
      </c>
      <c r="R24" s="68">
        <f t="shared" si="0"/>
        <v>1.3984282036919791E-10</v>
      </c>
      <c r="S24" s="59">
        <f t="shared" si="1"/>
        <v>1.7731704020669541E-14</v>
      </c>
      <c r="T24" s="59">
        <f t="shared" si="2"/>
        <v>1.2621933280883063E-9</v>
      </c>
      <c r="U24" s="59">
        <f t="shared" si="3"/>
        <v>5.7219020667730148E-10</v>
      </c>
      <c r="V24" s="59">
        <f t="shared" si="8"/>
        <v>1.8343835347656078E-9</v>
      </c>
      <c r="W24" s="59">
        <f t="shared" si="9"/>
        <v>0</v>
      </c>
      <c r="X24" s="59">
        <f t="shared" si="10"/>
        <v>0</v>
      </c>
      <c r="Y24" s="59">
        <f t="shared" si="11"/>
        <v>0</v>
      </c>
      <c r="Z24" s="67">
        <f t="shared" si="12"/>
        <v>0</v>
      </c>
      <c r="AA24" s="68">
        <f t="shared" si="13"/>
        <v>6.9921410184598953E-11</v>
      </c>
      <c r="AB24" s="59">
        <f t="shared" si="14"/>
        <v>8.8658520103347704E-15</v>
      </c>
      <c r="AC24" s="59">
        <f t="shared" si="15"/>
        <v>6.3109666404415315E-10</v>
      </c>
      <c r="AD24" s="59">
        <f t="shared" si="16"/>
        <v>2.8609510333865074E-10</v>
      </c>
      <c r="AE24" s="59">
        <f t="shared" si="17"/>
        <v>9.1719176738280389E-10</v>
      </c>
      <c r="AF24" s="59">
        <f t="shared" si="18"/>
        <v>0</v>
      </c>
      <c r="AG24" s="59">
        <f t="shared" si="19"/>
        <v>0</v>
      </c>
      <c r="AH24" s="59">
        <f t="shared" si="20"/>
        <v>0</v>
      </c>
      <c r="AI24" s="67">
        <f t="shared" si="21"/>
        <v>0</v>
      </c>
      <c r="AJ24" s="68">
        <f t="shared" si="22"/>
        <v>7.2332493294412704E-11</v>
      </c>
      <c r="AK24" s="59">
        <f t="shared" si="23"/>
        <v>9.1715710451738987E-15</v>
      </c>
      <c r="AL24" s="59">
        <f t="shared" si="24"/>
        <v>6.5285861797671034E-10</v>
      </c>
      <c r="AM24" s="59">
        <f t="shared" si="25"/>
        <v>2.9596045172963871E-10</v>
      </c>
      <c r="AN24" s="59">
        <f t="shared" si="26"/>
        <v>9.4881906970634905E-10</v>
      </c>
      <c r="AO24" s="59">
        <f t="shared" si="27"/>
        <v>0</v>
      </c>
      <c r="AP24" s="59">
        <f t="shared" si="28"/>
        <v>0</v>
      </c>
      <c r="AQ24" s="59">
        <f t="shared" si="29"/>
        <v>0</v>
      </c>
      <c r="AR24" s="67">
        <f t="shared" si="30"/>
        <v>0</v>
      </c>
      <c r="AS24" s="68">
        <f t="shared" si="31"/>
        <v>1.0758364239168973E-10</v>
      </c>
      <c r="AT24" s="59">
        <f t="shared" si="32"/>
        <v>1.3641324590841706E-14</v>
      </c>
      <c r="AU24" s="59">
        <f t="shared" si="33"/>
        <v>9.710284394989132E-10</v>
      </c>
      <c r="AV24" s="59">
        <f t="shared" si="34"/>
        <v>4.4019640345266385E-10</v>
      </c>
      <c r="AW24" s="59">
        <f t="shared" si="35"/>
        <v>1.4112248429515769E-9</v>
      </c>
      <c r="AX24" s="59">
        <f t="shared" si="36"/>
        <v>0</v>
      </c>
      <c r="AY24" s="59">
        <f t="shared" si="37"/>
        <v>0</v>
      </c>
      <c r="AZ24" s="59">
        <f t="shared" si="38"/>
        <v>0</v>
      </c>
      <c r="BA24" s="67">
        <f t="shared" si="39"/>
        <v>0</v>
      </c>
    </row>
    <row r="25" spans="1:53" ht="16" x14ac:dyDescent="0.2">
      <c r="A25" s="69" t="s">
        <v>58</v>
      </c>
      <c r="B25" s="1" t="s">
        <v>171</v>
      </c>
      <c r="C25" s="1">
        <v>0</v>
      </c>
      <c r="D25" s="1">
        <v>21.1</v>
      </c>
      <c r="E25" s="1">
        <v>87.1</v>
      </c>
      <c r="F25" s="1">
        <v>57.4</v>
      </c>
      <c r="G25" s="1">
        <v>0</v>
      </c>
      <c r="H25" s="1">
        <v>0</v>
      </c>
      <c r="I25" s="69" t="s">
        <v>58</v>
      </c>
      <c r="J25" s="33">
        <f t="shared" si="4"/>
        <v>33.291999999999994</v>
      </c>
      <c r="K25" s="131">
        <f t="shared" si="5"/>
        <v>16.645999999999997</v>
      </c>
      <c r="L25" s="131">
        <f t="shared" si="6"/>
        <v>19.329999999999998</v>
      </c>
      <c r="M25" s="131">
        <f t="shared" si="7"/>
        <v>10.451999999999998</v>
      </c>
      <c r="N25" s="132">
        <v>0</v>
      </c>
      <c r="O25" s="132">
        <v>0</v>
      </c>
      <c r="P25" s="131">
        <v>1</v>
      </c>
      <c r="Q25" s="67">
        <v>0</v>
      </c>
      <c r="R25" s="68">
        <f t="shared" si="0"/>
        <v>8.8305587339845514E-9</v>
      </c>
      <c r="S25" s="59">
        <f t="shared" si="1"/>
        <v>1.1196917610411786E-12</v>
      </c>
      <c r="T25" s="59">
        <f t="shared" si="2"/>
        <v>7.9702857021197787E-8</v>
      </c>
      <c r="U25" s="59">
        <f t="shared" si="3"/>
        <v>3.6131702819886798E-8</v>
      </c>
      <c r="V25" s="59">
        <f t="shared" si="8"/>
        <v>1.1583455984108459E-7</v>
      </c>
      <c r="W25" s="59">
        <f t="shared" si="9"/>
        <v>0</v>
      </c>
      <c r="X25" s="59">
        <f t="shared" si="10"/>
        <v>0</v>
      </c>
      <c r="Y25" s="59">
        <f t="shared" si="11"/>
        <v>0</v>
      </c>
      <c r="Z25" s="67">
        <f t="shared" si="12"/>
        <v>0</v>
      </c>
      <c r="AA25" s="68">
        <f t="shared" si="13"/>
        <v>4.4152793669922757E-9</v>
      </c>
      <c r="AB25" s="59">
        <f t="shared" si="14"/>
        <v>5.598458805205893E-13</v>
      </c>
      <c r="AC25" s="59">
        <f t="shared" si="15"/>
        <v>3.9851428510598893E-8</v>
      </c>
      <c r="AD25" s="59">
        <f t="shared" si="16"/>
        <v>1.8065851409943399E-8</v>
      </c>
      <c r="AE25" s="59">
        <f t="shared" si="17"/>
        <v>5.7917279920542293E-8</v>
      </c>
      <c r="AF25" s="59">
        <f t="shared" si="18"/>
        <v>0</v>
      </c>
      <c r="AG25" s="59">
        <f t="shared" si="19"/>
        <v>0</v>
      </c>
      <c r="AH25" s="59">
        <f t="shared" si="20"/>
        <v>0</v>
      </c>
      <c r="AI25" s="67">
        <f t="shared" si="21"/>
        <v>0</v>
      </c>
      <c r="AJ25" s="68">
        <f t="shared" si="22"/>
        <v>5.1271987362706182E-9</v>
      </c>
      <c r="AK25" s="59">
        <f t="shared" si="23"/>
        <v>6.5011539531797379E-13</v>
      </c>
      <c r="AL25" s="59">
        <f t="shared" si="24"/>
        <v>4.6277070353831352E-8</v>
      </c>
      <c r="AM25" s="59">
        <f t="shared" si="25"/>
        <v>2.0978788162573949E-8</v>
      </c>
      <c r="AN25" s="59">
        <f t="shared" si="26"/>
        <v>6.7255858516405301E-8</v>
      </c>
      <c r="AO25" s="59">
        <f t="shared" si="27"/>
        <v>0</v>
      </c>
      <c r="AP25" s="59">
        <f t="shared" si="28"/>
        <v>0</v>
      </c>
      <c r="AQ25" s="59">
        <f t="shared" si="29"/>
        <v>0</v>
      </c>
      <c r="AR25" s="67">
        <f t="shared" si="30"/>
        <v>0</v>
      </c>
      <c r="AS25" s="68">
        <f t="shared" si="31"/>
        <v>2.7723477077858511E-9</v>
      </c>
      <c r="AT25" s="59">
        <f t="shared" si="32"/>
        <v>3.5152644137938239E-13</v>
      </c>
      <c r="AU25" s="59">
        <f t="shared" si="33"/>
        <v>2.5022655940933532E-8</v>
      </c>
      <c r="AV25" s="59">
        <f t="shared" si="34"/>
        <v>1.1343522704357107E-8</v>
      </c>
      <c r="AW25" s="59">
        <f t="shared" si="35"/>
        <v>3.6366178645290637E-8</v>
      </c>
      <c r="AX25" s="59">
        <f t="shared" si="36"/>
        <v>0</v>
      </c>
      <c r="AY25" s="59">
        <f t="shared" si="37"/>
        <v>0</v>
      </c>
      <c r="AZ25" s="59">
        <f t="shared" si="38"/>
        <v>0</v>
      </c>
      <c r="BA25" s="67">
        <f t="shared" si="39"/>
        <v>0</v>
      </c>
    </row>
    <row r="26" spans="1:53" ht="16" x14ac:dyDescent="0.2">
      <c r="A26" s="69" t="s">
        <v>28</v>
      </c>
      <c r="B26" s="1" t="s">
        <v>171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69" t="s">
        <v>28</v>
      </c>
      <c r="J26" s="33">
        <f t="shared" si="4"/>
        <v>0</v>
      </c>
      <c r="K26" s="131">
        <f t="shared" si="5"/>
        <v>0</v>
      </c>
      <c r="L26" s="131">
        <f t="shared" si="6"/>
        <v>0</v>
      </c>
      <c r="M26" s="131">
        <f t="shared" si="7"/>
        <v>0</v>
      </c>
      <c r="N26" s="131">
        <v>0</v>
      </c>
      <c r="O26" s="133">
        <v>6.3</v>
      </c>
      <c r="P26" s="133">
        <v>0.05</v>
      </c>
      <c r="Q26" s="77">
        <v>0</v>
      </c>
      <c r="R26" s="75">
        <f t="shared" si="0"/>
        <v>0</v>
      </c>
      <c r="S26" s="76">
        <f t="shared" si="1"/>
        <v>0</v>
      </c>
      <c r="T26" s="76">
        <f t="shared" si="2"/>
        <v>0</v>
      </c>
      <c r="U26" s="76">
        <f t="shared" si="3"/>
        <v>0</v>
      </c>
      <c r="V26" s="76">
        <f t="shared" si="8"/>
        <v>0</v>
      </c>
      <c r="W26" s="59">
        <f t="shared" si="9"/>
        <v>0</v>
      </c>
      <c r="X26" s="59">
        <f t="shared" si="10"/>
        <v>0</v>
      </c>
      <c r="Y26" s="59">
        <f t="shared" si="11"/>
        <v>0</v>
      </c>
      <c r="Z26" s="67">
        <f t="shared" si="12"/>
        <v>0</v>
      </c>
      <c r="AA26" s="75">
        <f t="shared" si="13"/>
        <v>0</v>
      </c>
      <c r="AB26" s="76">
        <f t="shared" si="14"/>
        <v>0</v>
      </c>
      <c r="AC26" s="76">
        <f t="shared" si="15"/>
        <v>0</v>
      </c>
      <c r="AD26" s="76">
        <f t="shared" si="16"/>
        <v>0</v>
      </c>
      <c r="AE26" s="76">
        <f t="shared" si="17"/>
        <v>0</v>
      </c>
      <c r="AF26" s="59">
        <f t="shared" si="18"/>
        <v>0</v>
      </c>
      <c r="AG26" s="59">
        <f t="shared" si="19"/>
        <v>0</v>
      </c>
      <c r="AH26" s="59">
        <f t="shared" si="20"/>
        <v>0</v>
      </c>
      <c r="AI26" s="67">
        <f t="shared" si="21"/>
        <v>0</v>
      </c>
      <c r="AJ26" s="75">
        <f t="shared" si="22"/>
        <v>0</v>
      </c>
      <c r="AK26" s="76">
        <f t="shared" si="23"/>
        <v>0</v>
      </c>
      <c r="AL26" s="76">
        <f t="shared" si="24"/>
        <v>0</v>
      </c>
      <c r="AM26" s="76">
        <f t="shared" si="25"/>
        <v>0</v>
      </c>
      <c r="AN26" s="76">
        <f t="shared" si="26"/>
        <v>0</v>
      </c>
      <c r="AO26" s="59">
        <f t="shared" si="27"/>
        <v>0</v>
      </c>
      <c r="AP26" s="59">
        <f t="shared" si="28"/>
        <v>0</v>
      </c>
      <c r="AQ26" s="59">
        <f t="shared" si="29"/>
        <v>0</v>
      </c>
      <c r="AR26" s="67">
        <f t="shared" si="30"/>
        <v>0</v>
      </c>
      <c r="AS26" s="68">
        <f t="shared" si="31"/>
        <v>0</v>
      </c>
      <c r="AT26" s="59">
        <f t="shared" si="32"/>
        <v>0</v>
      </c>
      <c r="AU26" s="59">
        <f t="shared" si="33"/>
        <v>0</v>
      </c>
      <c r="AV26" s="59">
        <f t="shared" si="34"/>
        <v>0</v>
      </c>
      <c r="AW26" s="59">
        <f t="shared" si="35"/>
        <v>0</v>
      </c>
      <c r="AX26" s="59">
        <f t="shared" si="36"/>
        <v>0</v>
      </c>
      <c r="AY26" s="59">
        <f t="shared" si="37"/>
        <v>0</v>
      </c>
      <c r="AZ26" s="59">
        <f t="shared" si="38"/>
        <v>0</v>
      </c>
      <c r="BA26" s="67">
        <f t="shared" si="39"/>
        <v>0</v>
      </c>
    </row>
    <row r="27" spans="1:53" ht="16" x14ac:dyDescent="0.2">
      <c r="A27" s="69" t="s">
        <v>22</v>
      </c>
      <c r="B27" s="1" t="s">
        <v>171</v>
      </c>
      <c r="C27" s="1">
        <v>0</v>
      </c>
      <c r="D27" s="1">
        <v>0</v>
      </c>
      <c r="E27" s="1">
        <v>3.07</v>
      </c>
      <c r="F27" s="1">
        <v>0.996</v>
      </c>
      <c r="G27" s="1">
        <v>0</v>
      </c>
      <c r="H27" s="1">
        <v>0</v>
      </c>
      <c r="I27" s="69" t="s">
        <v>22</v>
      </c>
      <c r="J27" s="75">
        <f t="shared" si="4"/>
        <v>0.57767999999999997</v>
      </c>
      <c r="K27" s="133">
        <f t="shared" si="5"/>
        <v>0.28883999999999999</v>
      </c>
      <c r="L27" s="133">
        <f t="shared" si="6"/>
        <v>0.29880000000000001</v>
      </c>
      <c r="M27" s="133">
        <f t="shared" si="7"/>
        <v>0.36839999999999995</v>
      </c>
      <c r="N27" s="133">
        <v>0.5</v>
      </c>
      <c r="O27" s="133">
        <v>41</v>
      </c>
      <c r="P27" s="133">
        <v>2.5000000000000001E-2</v>
      </c>
      <c r="Q27" s="77">
        <f>N27/P27</f>
        <v>20</v>
      </c>
      <c r="R27" s="75">
        <f t="shared" si="0"/>
        <v>1.5322711670816407E-10</v>
      </c>
      <c r="S27" s="76">
        <f t="shared" si="1"/>
        <v>1.9428797804826028E-14</v>
      </c>
      <c r="T27" s="76">
        <f t="shared" si="2"/>
        <v>1.3829973099845469E-9</v>
      </c>
      <c r="U27" s="76">
        <f t="shared" si="3"/>
        <v>6.2695428586423784E-10</v>
      </c>
      <c r="V27" s="76">
        <f t="shared" si="8"/>
        <v>2.0099515958487848E-9</v>
      </c>
      <c r="W27" s="59">
        <f t="shared" si="9"/>
        <v>7.6613558354082035E-11</v>
      </c>
      <c r="X27" s="59">
        <f t="shared" si="10"/>
        <v>7.9658070999786713E-13</v>
      </c>
      <c r="Y27" s="59">
        <f t="shared" si="11"/>
        <v>1.2539085717284756E-8</v>
      </c>
      <c r="Z27" s="67">
        <f t="shared" si="12"/>
        <v>1.2616495856348837E-8</v>
      </c>
      <c r="AA27" s="75">
        <f t="shared" si="13"/>
        <v>7.6613558354082035E-11</v>
      </c>
      <c r="AB27" s="76">
        <f t="shared" si="14"/>
        <v>9.7143989024130139E-15</v>
      </c>
      <c r="AC27" s="76">
        <f t="shared" si="15"/>
        <v>6.9149865499227346E-10</v>
      </c>
      <c r="AD27" s="76">
        <f t="shared" si="16"/>
        <v>3.1347714293211892E-10</v>
      </c>
      <c r="AE27" s="76">
        <f t="shared" si="17"/>
        <v>1.0049757979243924E-9</v>
      </c>
      <c r="AF27" s="59">
        <f t="shared" si="18"/>
        <v>3.8306779177041017E-11</v>
      </c>
      <c r="AG27" s="59">
        <f t="shared" si="19"/>
        <v>3.9829035499893357E-13</v>
      </c>
      <c r="AH27" s="59">
        <f t="shared" si="20"/>
        <v>6.269542858642378E-9</v>
      </c>
      <c r="AI27" s="67">
        <f t="shared" si="21"/>
        <v>6.3082479281744183E-9</v>
      </c>
      <c r="AJ27" s="75">
        <f t="shared" si="22"/>
        <v>7.9255405193877949E-11</v>
      </c>
      <c r="AK27" s="76">
        <f t="shared" si="23"/>
        <v>1.0049378174910013E-14</v>
      </c>
      <c r="AL27" s="76">
        <f t="shared" si="24"/>
        <v>7.1534343619890372E-10</v>
      </c>
      <c r="AM27" s="76">
        <f t="shared" si="25"/>
        <v>3.2428669958495066E-10</v>
      </c>
      <c r="AN27" s="76">
        <f t="shared" si="26"/>
        <v>1.0396301357838545E-9</v>
      </c>
      <c r="AO27" s="59">
        <f t="shared" si="27"/>
        <v>3.9627702596938974E-11</v>
      </c>
      <c r="AP27" s="59">
        <f t="shared" si="28"/>
        <v>4.1202450517131051E-13</v>
      </c>
      <c r="AQ27" s="59">
        <f t="shared" si="29"/>
        <v>6.4857339916990131E-9</v>
      </c>
      <c r="AR27" s="67">
        <f t="shared" si="30"/>
        <v>6.5257737188011236E-9</v>
      </c>
      <c r="AS27" s="68">
        <f t="shared" si="31"/>
        <v>9.7716503592451936E-11</v>
      </c>
      <c r="AT27" s="59">
        <f t="shared" si="32"/>
        <v>1.2390197187539654E-14</v>
      </c>
      <c r="AU27" s="59">
        <f t="shared" si="33"/>
        <v>8.8196961812475257E-10</v>
      </c>
      <c r="AV27" s="59">
        <f t="shared" si="34"/>
        <v>3.9982336053244907E-10</v>
      </c>
      <c r="AW27" s="59">
        <f t="shared" si="35"/>
        <v>1.2817929786572017E-9</v>
      </c>
      <c r="AX27" s="59">
        <f t="shared" si="36"/>
        <v>4.8858251796225968E-11</v>
      </c>
      <c r="AY27" s="59">
        <f t="shared" si="37"/>
        <v>5.0799808468912584E-13</v>
      </c>
      <c r="AZ27" s="59">
        <f t="shared" si="38"/>
        <v>7.9964672106489819E-9</v>
      </c>
      <c r="BA27" s="67">
        <f t="shared" si="39"/>
        <v>8.0458334605298971E-9</v>
      </c>
    </row>
    <row r="28" spans="1:53" ht="16" x14ac:dyDescent="0.2">
      <c r="A28" s="69" t="s">
        <v>19</v>
      </c>
      <c r="B28" s="1" t="s">
        <v>171</v>
      </c>
      <c r="C28" s="1">
        <v>0</v>
      </c>
      <c r="D28" s="1">
        <v>0</v>
      </c>
      <c r="E28" s="1">
        <v>3.18</v>
      </c>
      <c r="F28" s="1">
        <v>0</v>
      </c>
      <c r="G28" s="1">
        <v>0</v>
      </c>
      <c r="H28" s="1">
        <v>0</v>
      </c>
      <c r="I28" s="69" t="s">
        <v>19</v>
      </c>
      <c r="J28" s="33">
        <f t="shared" si="4"/>
        <v>0</v>
      </c>
      <c r="K28" s="131">
        <f t="shared" si="5"/>
        <v>0</v>
      </c>
      <c r="L28" s="131">
        <f t="shared" si="6"/>
        <v>0</v>
      </c>
      <c r="M28" s="133">
        <f t="shared" si="7"/>
        <v>0.38159999999999999</v>
      </c>
      <c r="N28" s="133">
        <v>0.91</v>
      </c>
      <c r="O28" s="131">
        <v>0</v>
      </c>
      <c r="P28" s="133">
        <v>0.04</v>
      </c>
      <c r="Q28" s="77">
        <f>N28/P28</f>
        <v>22.75</v>
      </c>
      <c r="R28" s="75">
        <f t="shared" si="0"/>
        <v>0</v>
      </c>
      <c r="S28" s="76">
        <f t="shared" si="1"/>
        <v>0</v>
      </c>
      <c r="T28" s="76">
        <f t="shared" si="2"/>
        <v>0</v>
      </c>
      <c r="U28" s="76">
        <f t="shared" si="3"/>
        <v>0</v>
      </c>
      <c r="V28" s="76">
        <f t="shared" si="8"/>
        <v>0</v>
      </c>
      <c r="W28" s="59">
        <f t="shared" si="9"/>
        <v>0</v>
      </c>
      <c r="X28" s="59">
        <f t="shared" si="10"/>
        <v>0</v>
      </c>
      <c r="Y28" s="59">
        <f t="shared" si="11"/>
        <v>0</v>
      </c>
      <c r="Z28" s="67">
        <f t="shared" si="12"/>
        <v>0</v>
      </c>
      <c r="AA28" s="75">
        <f t="shared" si="13"/>
        <v>0</v>
      </c>
      <c r="AB28" s="76">
        <f t="shared" si="14"/>
        <v>0</v>
      </c>
      <c r="AC28" s="76">
        <f t="shared" si="15"/>
        <v>0</v>
      </c>
      <c r="AD28" s="76">
        <f t="shared" si="16"/>
        <v>0</v>
      </c>
      <c r="AE28" s="76">
        <f t="shared" si="17"/>
        <v>0</v>
      </c>
      <c r="AF28" s="59">
        <f t="shared" si="18"/>
        <v>0</v>
      </c>
      <c r="AG28" s="59">
        <f t="shared" si="19"/>
        <v>0</v>
      </c>
      <c r="AH28" s="59">
        <f t="shared" si="20"/>
        <v>0</v>
      </c>
      <c r="AI28" s="67">
        <f t="shared" si="21"/>
        <v>0</v>
      </c>
      <c r="AJ28" s="75">
        <f t="shared" si="22"/>
        <v>0</v>
      </c>
      <c r="AK28" s="76">
        <f t="shared" si="23"/>
        <v>0</v>
      </c>
      <c r="AL28" s="76">
        <f t="shared" si="24"/>
        <v>0</v>
      </c>
      <c r="AM28" s="76">
        <f t="shared" si="25"/>
        <v>0</v>
      </c>
      <c r="AN28" s="76">
        <f t="shared" si="26"/>
        <v>0</v>
      </c>
      <c r="AO28" s="59">
        <f t="shared" si="27"/>
        <v>0</v>
      </c>
      <c r="AP28" s="59">
        <f t="shared" si="28"/>
        <v>0</v>
      </c>
      <c r="AQ28" s="59">
        <f t="shared" si="29"/>
        <v>0</v>
      </c>
      <c r="AR28" s="67">
        <f t="shared" si="30"/>
        <v>0</v>
      </c>
      <c r="AS28" s="68">
        <f t="shared" si="31"/>
        <v>1.0121774639218148E-10</v>
      </c>
      <c r="AT28" s="59">
        <f t="shared" si="32"/>
        <v>1.2834145620969417E-14</v>
      </c>
      <c r="AU28" s="59">
        <f t="shared" si="33"/>
        <v>9.1357113538655171E-10</v>
      </c>
      <c r="AV28" s="59">
        <f t="shared" si="34"/>
        <v>4.1414927898800921E-10</v>
      </c>
      <c r="AW28" s="59">
        <f t="shared" si="35"/>
        <v>1.3277204143745608E-9</v>
      </c>
      <c r="AX28" s="59">
        <f t="shared" si="36"/>
        <v>9.2108149216885144E-11</v>
      </c>
      <c r="AY28" s="59">
        <f t="shared" si="37"/>
        <v>0</v>
      </c>
      <c r="AZ28" s="59">
        <f t="shared" si="38"/>
        <v>9.421896096977209E-9</v>
      </c>
      <c r="BA28" s="67">
        <f t="shared" si="39"/>
        <v>9.5140042461940946E-9</v>
      </c>
    </row>
    <row r="29" spans="1:53" ht="16" x14ac:dyDescent="0.2">
      <c r="A29" s="69" t="s">
        <v>16</v>
      </c>
      <c r="B29" s="1" t="s">
        <v>171</v>
      </c>
      <c r="C29" s="1">
        <v>0</v>
      </c>
      <c r="D29" s="1">
        <v>0</v>
      </c>
      <c r="E29" s="1">
        <v>12.9</v>
      </c>
      <c r="F29" s="1">
        <v>2.72</v>
      </c>
      <c r="G29" s="1">
        <v>0</v>
      </c>
      <c r="H29" s="1">
        <v>0</v>
      </c>
      <c r="I29" s="69" t="s">
        <v>16</v>
      </c>
      <c r="J29" s="75">
        <f t="shared" si="4"/>
        <v>1.5776000000000001</v>
      </c>
      <c r="K29" s="133">
        <f t="shared" si="5"/>
        <v>0.78880000000000006</v>
      </c>
      <c r="L29" s="133">
        <f t="shared" si="6"/>
        <v>0.81600000000000006</v>
      </c>
      <c r="M29" s="133">
        <f t="shared" si="7"/>
        <v>1.548</v>
      </c>
      <c r="N29" s="133">
        <v>8.5000000000000006E-3</v>
      </c>
      <c r="O29" s="133">
        <v>4.2000000000000003E-2</v>
      </c>
      <c r="P29" s="133">
        <v>0</v>
      </c>
      <c r="Q29" s="77">
        <v>0</v>
      </c>
      <c r="R29" s="75">
        <f t="shared" si="0"/>
        <v>4.1845156370101033E-10</v>
      </c>
      <c r="S29" s="76">
        <f t="shared" si="1"/>
        <v>5.3058564286271883E-14</v>
      </c>
      <c r="T29" s="76">
        <f t="shared" si="2"/>
        <v>3.7768601236525784E-9</v>
      </c>
      <c r="U29" s="76">
        <f t="shared" si="3"/>
        <v>1.7121643148099669E-9</v>
      </c>
      <c r="V29" s="76">
        <f t="shared" si="8"/>
        <v>5.4890244384625451E-9</v>
      </c>
      <c r="W29" s="59">
        <f t="shared" si="9"/>
        <v>3.5568382914585882E-12</v>
      </c>
      <c r="X29" s="59">
        <f t="shared" si="10"/>
        <v>2.2284597000234193E-15</v>
      </c>
      <c r="Y29" s="59">
        <f t="shared" si="11"/>
        <v>0</v>
      </c>
      <c r="Z29" s="67">
        <f t="shared" si="12"/>
        <v>3.5590667511586117E-12</v>
      </c>
      <c r="AA29" s="75">
        <f t="shared" si="13"/>
        <v>2.0922578185050517E-10</v>
      </c>
      <c r="AB29" s="76">
        <f t="shared" si="14"/>
        <v>2.6529282143135941E-14</v>
      </c>
      <c r="AC29" s="76">
        <f t="shared" si="15"/>
        <v>1.8884300618262892E-9</v>
      </c>
      <c r="AD29" s="76">
        <f t="shared" si="16"/>
        <v>8.5608215740498347E-10</v>
      </c>
      <c r="AE29" s="76">
        <f t="shared" si="17"/>
        <v>2.7445122192312726E-9</v>
      </c>
      <c r="AF29" s="59">
        <f t="shared" si="18"/>
        <v>1.7784191457292941E-12</v>
      </c>
      <c r="AG29" s="59">
        <f t="shared" si="19"/>
        <v>1.1142298500117096E-15</v>
      </c>
      <c r="AH29" s="59">
        <f t="shared" si="20"/>
        <v>0</v>
      </c>
      <c r="AI29" s="67">
        <f t="shared" si="21"/>
        <v>1.7795333755793058E-12</v>
      </c>
      <c r="AJ29" s="75">
        <f t="shared" si="22"/>
        <v>2.1644046398328119E-10</v>
      </c>
      <c r="AK29" s="76">
        <f t="shared" si="23"/>
        <v>2.7444084975657877E-14</v>
      </c>
      <c r="AL29" s="76">
        <f t="shared" si="24"/>
        <v>1.9535483398202993E-9</v>
      </c>
      <c r="AM29" s="76">
        <f t="shared" si="25"/>
        <v>8.8560223179825904E-10</v>
      </c>
      <c r="AN29" s="76">
        <f t="shared" si="26"/>
        <v>2.8391505716185583E-9</v>
      </c>
      <c r="AO29" s="59">
        <f t="shared" si="27"/>
        <v>1.8397439438578902E-12</v>
      </c>
      <c r="AP29" s="59">
        <f t="shared" si="28"/>
        <v>1.152651568977631E-15</v>
      </c>
      <c r="AQ29" s="59">
        <f t="shared" si="29"/>
        <v>0</v>
      </c>
      <c r="AR29" s="67">
        <f t="shared" si="30"/>
        <v>1.8408965954268678E-12</v>
      </c>
      <c r="AS29" s="68">
        <f t="shared" si="31"/>
        <v>4.1060029196828341E-10</v>
      </c>
      <c r="AT29" s="59">
        <f t="shared" si="32"/>
        <v>5.2063043556762725E-14</v>
      </c>
      <c r="AU29" s="59">
        <f t="shared" si="33"/>
        <v>3.7059961152473324E-9</v>
      </c>
      <c r="AV29" s="59">
        <f t="shared" si="34"/>
        <v>1.6800395279702263E-9</v>
      </c>
      <c r="AW29" s="59">
        <f t="shared" si="35"/>
        <v>5.386035643217559E-9</v>
      </c>
      <c r="AX29" s="59">
        <f t="shared" si="36"/>
        <v>3.4901024817304092E-12</v>
      </c>
      <c r="AY29" s="59">
        <f t="shared" si="37"/>
        <v>2.1866478293840347E-15</v>
      </c>
      <c r="AZ29" s="59">
        <f t="shared" si="38"/>
        <v>0</v>
      </c>
      <c r="BA29" s="67">
        <f t="shared" si="39"/>
        <v>3.4922891295597933E-12</v>
      </c>
    </row>
    <row r="30" spans="1:53" ht="16" x14ac:dyDescent="0.2">
      <c r="A30" s="69" t="s">
        <v>3</v>
      </c>
      <c r="B30" s="1" t="s">
        <v>171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69" t="s">
        <v>3</v>
      </c>
      <c r="J30" s="33">
        <f t="shared" si="4"/>
        <v>0</v>
      </c>
      <c r="K30" s="131">
        <f t="shared" si="5"/>
        <v>0</v>
      </c>
      <c r="L30" s="131">
        <f t="shared" si="6"/>
        <v>0</v>
      </c>
      <c r="M30" s="131">
        <f t="shared" si="7"/>
        <v>0</v>
      </c>
      <c r="N30" s="132">
        <v>0</v>
      </c>
      <c r="O30" s="132">
        <v>0</v>
      </c>
      <c r="P30" s="131">
        <v>0.15</v>
      </c>
      <c r="Q30" s="67">
        <v>0</v>
      </c>
      <c r="R30" s="68">
        <f t="shared" si="0"/>
        <v>0</v>
      </c>
      <c r="S30" s="59">
        <f t="shared" si="1"/>
        <v>0</v>
      </c>
      <c r="T30" s="59">
        <f t="shared" si="2"/>
        <v>0</v>
      </c>
      <c r="U30" s="59">
        <f t="shared" si="3"/>
        <v>0</v>
      </c>
      <c r="V30" s="59">
        <f t="shared" si="8"/>
        <v>0</v>
      </c>
      <c r="W30" s="59">
        <f t="shared" si="9"/>
        <v>0</v>
      </c>
      <c r="X30" s="59">
        <f t="shared" si="10"/>
        <v>0</v>
      </c>
      <c r="Y30" s="59">
        <f t="shared" si="11"/>
        <v>0</v>
      </c>
      <c r="Z30" s="67">
        <f t="shared" si="12"/>
        <v>0</v>
      </c>
      <c r="AA30" s="68">
        <f t="shared" si="13"/>
        <v>0</v>
      </c>
      <c r="AB30" s="59">
        <f t="shared" si="14"/>
        <v>0</v>
      </c>
      <c r="AC30" s="59">
        <f t="shared" si="15"/>
        <v>0</v>
      </c>
      <c r="AD30" s="59">
        <f t="shared" si="16"/>
        <v>0</v>
      </c>
      <c r="AE30" s="59">
        <f t="shared" si="17"/>
        <v>0</v>
      </c>
      <c r="AF30" s="59">
        <f t="shared" si="18"/>
        <v>0</v>
      </c>
      <c r="AG30" s="59">
        <f t="shared" si="19"/>
        <v>0</v>
      </c>
      <c r="AH30" s="59">
        <f t="shared" si="20"/>
        <v>0</v>
      </c>
      <c r="AI30" s="67">
        <f t="shared" si="21"/>
        <v>0</v>
      </c>
      <c r="AJ30" s="68">
        <f t="shared" si="22"/>
        <v>0</v>
      </c>
      <c r="AK30" s="59">
        <f t="shared" si="23"/>
        <v>0</v>
      </c>
      <c r="AL30" s="59">
        <f t="shared" si="24"/>
        <v>0</v>
      </c>
      <c r="AM30" s="59">
        <f t="shared" si="25"/>
        <v>0</v>
      </c>
      <c r="AN30" s="59">
        <f t="shared" si="26"/>
        <v>0</v>
      </c>
      <c r="AO30" s="59">
        <f t="shared" si="27"/>
        <v>0</v>
      </c>
      <c r="AP30" s="59">
        <f t="shared" si="28"/>
        <v>0</v>
      </c>
      <c r="AQ30" s="59">
        <f t="shared" si="29"/>
        <v>0</v>
      </c>
      <c r="AR30" s="67">
        <f t="shared" si="30"/>
        <v>0</v>
      </c>
      <c r="AS30" s="68">
        <f t="shared" si="31"/>
        <v>0</v>
      </c>
      <c r="AT30" s="59">
        <f t="shared" si="32"/>
        <v>0</v>
      </c>
      <c r="AU30" s="59">
        <f t="shared" si="33"/>
        <v>0</v>
      </c>
      <c r="AV30" s="59">
        <f t="shared" si="34"/>
        <v>0</v>
      </c>
      <c r="AW30" s="59">
        <f t="shared" si="35"/>
        <v>0</v>
      </c>
      <c r="AX30" s="59">
        <f t="shared" si="36"/>
        <v>0</v>
      </c>
      <c r="AY30" s="59">
        <f t="shared" si="37"/>
        <v>0</v>
      </c>
      <c r="AZ30" s="59">
        <f t="shared" si="38"/>
        <v>0</v>
      </c>
      <c r="BA30" s="67">
        <f t="shared" si="39"/>
        <v>0</v>
      </c>
    </row>
    <row r="31" spans="1:53" ht="16" x14ac:dyDescent="0.2">
      <c r="A31" s="69" t="s">
        <v>13</v>
      </c>
      <c r="B31" s="1" t="s">
        <v>171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69" t="s">
        <v>13</v>
      </c>
      <c r="J31" s="33">
        <f t="shared" si="4"/>
        <v>0</v>
      </c>
      <c r="K31" s="131">
        <f t="shared" si="5"/>
        <v>0</v>
      </c>
      <c r="L31" s="131">
        <f t="shared" si="6"/>
        <v>0</v>
      </c>
      <c r="M31" s="131">
        <f t="shared" si="7"/>
        <v>0</v>
      </c>
      <c r="N31" s="133">
        <v>1.5</v>
      </c>
      <c r="O31" s="133">
        <v>15</v>
      </c>
      <c r="P31" s="133">
        <v>0.41</v>
      </c>
      <c r="Q31" s="77">
        <f>N31/P31</f>
        <v>3.6585365853658538</v>
      </c>
      <c r="R31" s="75">
        <f t="shared" si="0"/>
        <v>0</v>
      </c>
      <c r="S31" s="76">
        <f t="shared" si="1"/>
        <v>0</v>
      </c>
      <c r="T31" s="76">
        <f t="shared" si="2"/>
        <v>0</v>
      </c>
      <c r="U31" s="76">
        <f t="shared" si="3"/>
        <v>0</v>
      </c>
      <c r="V31" s="76">
        <f t="shared" si="8"/>
        <v>0</v>
      </c>
      <c r="W31" s="59">
        <f t="shared" si="9"/>
        <v>0</v>
      </c>
      <c r="X31" s="59">
        <f t="shared" si="10"/>
        <v>0</v>
      </c>
      <c r="Y31" s="59">
        <f t="shared" si="11"/>
        <v>0</v>
      </c>
      <c r="Z31" s="67">
        <f t="shared" si="12"/>
        <v>0</v>
      </c>
      <c r="AA31" s="75">
        <f t="shared" si="13"/>
        <v>0</v>
      </c>
      <c r="AB31" s="76">
        <f t="shared" si="14"/>
        <v>0</v>
      </c>
      <c r="AC31" s="76">
        <f t="shared" si="15"/>
        <v>0</v>
      </c>
      <c r="AD31" s="76">
        <f t="shared" si="16"/>
        <v>0</v>
      </c>
      <c r="AE31" s="76">
        <f t="shared" si="17"/>
        <v>0</v>
      </c>
      <c r="AF31" s="59">
        <f t="shared" si="18"/>
        <v>0</v>
      </c>
      <c r="AG31" s="59">
        <f t="shared" si="19"/>
        <v>0</v>
      </c>
      <c r="AH31" s="59">
        <f t="shared" si="20"/>
        <v>0</v>
      </c>
      <c r="AI31" s="67">
        <f t="shared" si="21"/>
        <v>0</v>
      </c>
      <c r="AJ31" s="75">
        <f t="shared" si="22"/>
        <v>0</v>
      </c>
      <c r="AK31" s="76">
        <f t="shared" si="23"/>
        <v>0</v>
      </c>
      <c r="AL31" s="76">
        <f t="shared" si="24"/>
        <v>0</v>
      </c>
      <c r="AM31" s="76">
        <f t="shared" si="25"/>
        <v>0</v>
      </c>
      <c r="AN31" s="76">
        <f t="shared" si="26"/>
        <v>0</v>
      </c>
      <c r="AO31" s="59">
        <f t="shared" si="27"/>
        <v>0</v>
      </c>
      <c r="AP31" s="59">
        <f t="shared" si="28"/>
        <v>0</v>
      </c>
      <c r="AQ31" s="59">
        <f t="shared" si="29"/>
        <v>0</v>
      </c>
      <c r="AR31" s="67">
        <f t="shared" si="30"/>
        <v>0</v>
      </c>
      <c r="AS31" s="68">
        <f t="shared" si="31"/>
        <v>0</v>
      </c>
      <c r="AT31" s="59">
        <f t="shared" si="32"/>
        <v>0</v>
      </c>
      <c r="AU31" s="59">
        <f t="shared" si="33"/>
        <v>0</v>
      </c>
      <c r="AV31" s="59">
        <f t="shared" si="34"/>
        <v>0</v>
      </c>
      <c r="AW31" s="59">
        <f t="shared" si="35"/>
        <v>0</v>
      </c>
      <c r="AX31" s="59">
        <f t="shared" si="36"/>
        <v>0</v>
      </c>
      <c r="AY31" s="59">
        <f t="shared" si="37"/>
        <v>0</v>
      </c>
      <c r="AZ31" s="59">
        <f t="shared" si="38"/>
        <v>0</v>
      </c>
      <c r="BA31" s="67">
        <f t="shared" si="39"/>
        <v>0</v>
      </c>
    </row>
    <row r="32" spans="1:53" ht="16" x14ac:dyDescent="0.2">
      <c r="A32" s="69" t="s">
        <v>10</v>
      </c>
      <c r="B32" s="1" t="s">
        <v>171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69" t="s">
        <v>10</v>
      </c>
      <c r="J32" s="33">
        <f t="shared" si="4"/>
        <v>0</v>
      </c>
      <c r="K32" s="131">
        <f t="shared" si="5"/>
        <v>0</v>
      </c>
      <c r="L32" s="131">
        <f t="shared" si="6"/>
        <v>0</v>
      </c>
      <c r="M32" s="131">
        <f t="shared" si="7"/>
        <v>0</v>
      </c>
      <c r="N32" s="132">
        <v>0</v>
      </c>
      <c r="O32" s="132">
        <v>0</v>
      </c>
      <c r="P32" s="131">
        <v>1</v>
      </c>
      <c r="Q32" s="67">
        <v>0</v>
      </c>
      <c r="R32" s="68">
        <f t="shared" si="0"/>
        <v>0</v>
      </c>
      <c r="S32" s="59">
        <f t="shared" si="1"/>
        <v>0</v>
      </c>
      <c r="T32" s="59">
        <f t="shared" si="2"/>
        <v>0</v>
      </c>
      <c r="U32" s="59">
        <f t="shared" si="3"/>
        <v>0</v>
      </c>
      <c r="V32" s="59">
        <f t="shared" si="8"/>
        <v>0</v>
      </c>
      <c r="W32" s="59">
        <f t="shared" si="9"/>
        <v>0</v>
      </c>
      <c r="X32" s="59">
        <f t="shared" si="10"/>
        <v>0</v>
      </c>
      <c r="Y32" s="59">
        <f t="shared" si="11"/>
        <v>0</v>
      </c>
      <c r="Z32" s="67">
        <f t="shared" si="12"/>
        <v>0</v>
      </c>
      <c r="AA32" s="68">
        <f t="shared" si="13"/>
        <v>0</v>
      </c>
      <c r="AB32" s="59">
        <f t="shared" si="14"/>
        <v>0</v>
      </c>
      <c r="AC32" s="59">
        <f t="shared" si="15"/>
        <v>0</v>
      </c>
      <c r="AD32" s="59">
        <f t="shared" si="16"/>
        <v>0</v>
      </c>
      <c r="AE32" s="59">
        <f t="shared" si="17"/>
        <v>0</v>
      </c>
      <c r="AF32" s="59">
        <f t="shared" si="18"/>
        <v>0</v>
      </c>
      <c r="AG32" s="59">
        <f t="shared" si="19"/>
        <v>0</v>
      </c>
      <c r="AH32" s="59">
        <f t="shared" si="20"/>
        <v>0</v>
      </c>
      <c r="AI32" s="67">
        <f t="shared" si="21"/>
        <v>0</v>
      </c>
      <c r="AJ32" s="68">
        <f t="shared" si="22"/>
        <v>0</v>
      </c>
      <c r="AK32" s="59">
        <f t="shared" si="23"/>
        <v>0</v>
      </c>
      <c r="AL32" s="59">
        <f t="shared" si="24"/>
        <v>0</v>
      </c>
      <c r="AM32" s="59">
        <f t="shared" si="25"/>
        <v>0</v>
      </c>
      <c r="AN32" s="59">
        <f t="shared" si="26"/>
        <v>0</v>
      </c>
      <c r="AO32" s="59">
        <f t="shared" si="27"/>
        <v>0</v>
      </c>
      <c r="AP32" s="59">
        <f t="shared" si="28"/>
        <v>0</v>
      </c>
      <c r="AQ32" s="59">
        <f t="shared" si="29"/>
        <v>0</v>
      </c>
      <c r="AR32" s="67">
        <f t="shared" si="30"/>
        <v>0</v>
      </c>
      <c r="AS32" s="68">
        <f t="shared" si="31"/>
        <v>0</v>
      </c>
      <c r="AT32" s="59">
        <f t="shared" si="32"/>
        <v>0</v>
      </c>
      <c r="AU32" s="59">
        <f t="shared" si="33"/>
        <v>0</v>
      </c>
      <c r="AV32" s="59">
        <f t="shared" si="34"/>
        <v>0</v>
      </c>
      <c r="AW32" s="59">
        <f t="shared" si="35"/>
        <v>0</v>
      </c>
      <c r="AX32" s="59">
        <f t="shared" si="36"/>
        <v>0</v>
      </c>
      <c r="AY32" s="59">
        <f t="shared" si="37"/>
        <v>0</v>
      </c>
      <c r="AZ32" s="59">
        <f t="shared" si="38"/>
        <v>0</v>
      </c>
      <c r="BA32" s="67">
        <f t="shared" si="39"/>
        <v>0</v>
      </c>
    </row>
    <row r="33" spans="1:53" ht="16" x14ac:dyDescent="0.2">
      <c r="A33" s="69" t="s">
        <v>177</v>
      </c>
      <c r="B33" s="1" t="s">
        <v>171</v>
      </c>
      <c r="C33" s="1">
        <v>0</v>
      </c>
      <c r="D33" s="1">
        <v>0</v>
      </c>
      <c r="E33" s="1">
        <v>1.54</v>
      </c>
      <c r="F33" s="1">
        <v>0</v>
      </c>
      <c r="G33" s="1">
        <v>0</v>
      </c>
      <c r="H33" s="1">
        <v>0</v>
      </c>
      <c r="I33" s="69" t="s">
        <v>177</v>
      </c>
      <c r="J33" s="33">
        <f t="shared" si="4"/>
        <v>0</v>
      </c>
      <c r="K33" s="131">
        <f t="shared" si="5"/>
        <v>0</v>
      </c>
      <c r="L33" s="131">
        <f t="shared" si="6"/>
        <v>0</v>
      </c>
      <c r="M33" s="131">
        <f t="shared" si="7"/>
        <v>0.18479999999999999</v>
      </c>
      <c r="N33" s="132">
        <v>0</v>
      </c>
      <c r="O33" s="132">
        <v>0</v>
      </c>
      <c r="P33" s="131">
        <v>0</v>
      </c>
      <c r="Q33" s="67">
        <v>0</v>
      </c>
      <c r="R33" s="68">
        <f t="shared" si="0"/>
        <v>0</v>
      </c>
      <c r="S33" s="59">
        <f t="shared" si="1"/>
        <v>0</v>
      </c>
      <c r="T33" s="59">
        <f t="shared" si="2"/>
        <v>0</v>
      </c>
      <c r="U33" s="59">
        <f t="shared" si="3"/>
        <v>0</v>
      </c>
      <c r="V33" s="59">
        <f t="shared" si="8"/>
        <v>0</v>
      </c>
      <c r="W33" s="59">
        <f t="shared" si="9"/>
        <v>0</v>
      </c>
      <c r="X33" s="59">
        <f t="shared" si="10"/>
        <v>0</v>
      </c>
      <c r="Y33" s="59">
        <f t="shared" si="11"/>
        <v>0</v>
      </c>
      <c r="Z33" s="67">
        <f t="shared" si="12"/>
        <v>0</v>
      </c>
      <c r="AA33" s="68">
        <f t="shared" si="13"/>
        <v>0</v>
      </c>
      <c r="AB33" s="59">
        <f t="shared" si="14"/>
        <v>0</v>
      </c>
      <c r="AC33" s="59">
        <f t="shared" si="15"/>
        <v>0</v>
      </c>
      <c r="AD33" s="59">
        <f t="shared" si="16"/>
        <v>0</v>
      </c>
      <c r="AE33" s="59">
        <f t="shared" si="17"/>
        <v>0</v>
      </c>
      <c r="AF33" s="59">
        <f t="shared" si="18"/>
        <v>0</v>
      </c>
      <c r="AG33" s="59">
        <f t="shared" si="19"/>
        <v>0</v>
      </c>
      <c r="AH33" s="59">
        <f t="shared" si="20"/>
        <v>0</v>
      </c>
      <c r="AI33" s="67">
        <f t="shared" si="21"/>
        <v>0</v>
      </c>
      <c r="AJ33" s="68">
        <f t="shared" si="22"/>
        <v>0</v>
      </c>
      <c r="AK33" s="59">
        <f t="shared" si="23"/>
        <v>0</v>
      </c>
      <c r="AL33" s="59">
        <f t="shared" si="24"/>
        <v>0</v>
      </c>
      <c r="AM33" s="59">
        <f t="shared" si="25"/>
        <v>0</v>
      </c>
      <c r="AN33" s="59">
        <f t="shared" si="26"/>
        <v>0</v>
      </c>
      <c r="AO33" s="59">
        <f t="shared" si="27"/>
        <v>0</v>
      </c>
      <c r="AP33" s="59">
        <f t="shared" si="28"/>
        <v>0</v>
      </c>
      <c r="AQ33" s="59">
        <f t="shared" si="29"/>
        <v>0</v>
      </c>
      <c r="AR33" s="67">
        <f t="shared" si="30"/>
        <v>0</v>
      </c>
      <c r="AS33" s="68">
        <f t="shared" si="31"/>
        <v>4.9017399196213671E-11</v>
      </c>
      <c r="AT33" s="59">
        <f t="shared" si="32"/>
        <v>6.2152780680166363E-15</v>
      </c>
      <c r="AU33" s="59">
        <f t="shared" si="33"/>
        <v>4.4242124166518535E-10</v>
      </c>
      <c r="AV33" s="59">
        <f t="shared" si="34"/>
        <v>2.0056285837784092E-10</v>
      </c>
      <c r="AW33" s="59">
        <f t="shared" si="35"/>
        <v>6.4298410004302627E-10</v>
      </c>
      <c r="AX33" s="59">
        <f t="shared" si="36"/>
        <v>0</v>
      </c>
      <c r="AY33" s="59">
        <f t="shared" si="37"/>
        <v>0</v>
      </c>
      <c r="AZ33" s="59">
        <f t="shared" si="38"/>
        <v>0</v>
      </c>
      <c r="BA33" s="67">
        <f t="shared" si="39"/>
        <v>0</v>
      </c>
    </row>
    <row r="34" spans="1:53" ht="16" x14ac:dyDescent="0.2">
      <c r="A34" s="69" t="s">
        <v>176</v>
      </c>
      <c r="B34" s="1" t="s">
        <v>171</v>
      </c>
      <c r="C34" s="1">
        <v>0</v>
      </c>
      <c r="D34" s="1">
        <v>581</v>
      </c>
      <c r="E34" s="1">
        <v>1317</v>
      </c>
      <c r="F34" s="1">
        <v>1415</v>
      </c>
      <c r="G34" s="1">
        <v>0</v>
      </c>
      <c r="H34" s="1">
        <v>280</v>
      </c>
      <c r="I34" s="69" t="s">
        <v>176</v>
      </c>
      <c r="J34" s="33">
        <f t="shared" si="4"/>
        <v>820.69999999999993</v>
      </c>
      <c r="K34" s="131">
        <f t="shared" si="5"/>
        <v>410.34999999999997</v>
      </c>
      <c r="L34" s="131">
        <f t="shared" si="6"/>
        <v>482.6</v>
      </c>
      <c r="M34" s="131">
        <f t="shared" si="7"/>
        <v>233.64</v>
      </c>
      <c r="N34" s="132">
        <v>0</v>
      </c>
      <c r="O34" s="132">
        <v>0</v>
      </c>
      <c r="P34" s="131">
        <v>0</v>
      </c>
      <c r="Q34" s="67">
        <v>0</v>
      </c>
      <c r="R34" s="68">
        <f t="shared" si="0"/>
        <v>2.1768711861651819E-7</v>
      </c>
      <c r="S34" s="59">
        <f t="shared" si="1"/>
        <v>2.7602157523924524E-11</v>
      </c>
      <c r="T34" s="59">
        <f t="shared" si="2"/>
        <v>1.9648003952089703E-6</v>
      </c>
      <c r="U34" s="59">
        <f t="shared" si="3"/>
        <v>8.9070312700592035E-7</v>
      </c>
      <c r="V34" s="59">
        <f t="shared" si="8"/>
        <v>2.8555035222148904E-6</v>
      </c>
      <c r="W34" s="59">
        <f t="shared" si="9"/>
        <v>0</v>
      </c>
      <c r="X34" s="59">
        <f t="shared" si="10"/>
        <v>0</v>
      </c>
      <c r="Y34" s="59">
        <f t="shared" si="11"/>
        <v>0</v>
      </c>
      <c r="Z34" s="67">
        <f t="shared" si="12"/>
        <v>0</v>
      </c>
      <c r="AA34" s="68">
        <f t="shared" si="13"/>
        <v>1.0884355930825909E-7</v>
      </c>
      <c r="AB34" s="59">
        <f t="shared" si="14"/>
        <v>1.3801078761962262E-11</v>
      </c>
      <c r="AC34" s="59">
        <f t="shared" si="15"/>
        <v>9.8240019760448515E-7</v>
      </c>
      <c r="AD34" s="59">
        <f t="shared" si="16"/>
        <v>4.4535156350296018E-7</v>
      </c>
      <c r="AE34" s="59">
        <f t="shared" si="17"/>
        <v>1.4277517611074452E-6</v>
      </c>
      <c r="AF34" s="59">
        <f t="shared" si="18"/>
        <v>0</v>
      </c>
      <c r="AG34" s="59">
        <f t="shared" si="19"/>
        <v>0</v>
      </c>
      <c r="AH34" s="59">
        <f t="shared" si="20"/>
        <v>0</v>
      </c>
      <c r="AI34" s="67">
        <f t="shared" si="21"/>
        <v>0</v>
      </c>
      <c r="AJ34" s="68">
        <f t="shared" si="22"/>
        <v>1.2800755872344544E-7</v>
      </c>
      <c r="AK34" s="59">
        <f t="shared" si="23"/>
        <v>1.6231023785848638E-11</v>
      </c>
      <c r="AL34" s="59">
        <f t="shared" si="24"/>
        <v>1.155370623526074E-6</v>
      </c>
      <c r="AM34" s="59">
        <f t="shared" si="25"/>
        <v>5.2376426111009758E-7</v>
      </c>
      <c r="AN34" s="59">
        <f t="shared" si="26"/>
        <v>1.6791348846361716E-6</v>
      </c>
      <c r="AO34" s="59">
        <f t="shared" si="27"/>
        <v>0</v>
      </c>
      <c r="AP34" s="59">
        <f t="shared" si="28"/>
        <v>0</v>
      </c>
      <c r="AQ34" s="59">
        <f t="shared" si="29"/>
        <v>0</v>
      </c>
      <c r="AR34" s="67">
        <f t="shared" si="30"/>
        <v>0</v>
      </c>
      <c r="AS34" s="68">
        <f t="shared" si="31"/>
        <v>6.1971997555212994E-8</v>
      </c>
      <c r="AT34" s="59">
        <f t="shared" si="32"/>
        <v>7.8578872717067454E-12</v>
      </c>
      <c r="AU34" s="59">
        <f t="shared" si="33"/>
        <v>5.5934685553384147E-7</v>
      </c>
      <c r="AV34" s="59">
        <f t="shared" si="34"/>
        <v>2.535687566634132E-7</v>
      </c>
      <c r="AW34" s="59">
        <f t="shared" si="35"/>
        <v>8.1291561219725467E-7</v>
      </c>
      <c r="AX34" s="59">
        <f t="shared" si="36"/>
        <v>0</v>
      </c>
      <c r="AY34" s="59">
        <f t="shared" si="37"/>
        <v>0</v>
      </c>
      <c r="AZ34" s="59">
        <f t="shared" si="38"/>
        <v>0</v>
      </c>
      <c r="BA34" s="67">
        <f t="shared" si="39"/>
        <v>0</v>
      </c>
    </row>
    <row r="35" spans="1:53" ht="16" x14ac:dyDescent="0.2">
      <c r="A35" s="69" t="s">
        <v>6</v>
      </c>
      <c r="B35" s="1" t="s">
        <v>171</v>
      </c>
      <c r="C35" s="1">
        <v>0</v>
      </c>
      <c r="D35" s="1">
        <v>777</v>
      </c>
      <c r="E35" s="1">
        <v>342</v>
      </c>
      <c r="F35" s="1">
        <v>1221</v>
      </c>
      <c r="G35" s="1">
        <v>0</v>
      </c>
      <c r="H35" s="1">
        <v>0</v>
      </c>
      <c r="I35" s="69" t="s">
        <v>6</v>
      </c>
      <c r="J35" s="33">
        <f t="shared" si="4"/>
        <v>708.18</v>
      </c>
      <c r="K35" s="131">
        <f t="shared" si="5"/>
        <v>354.09</v>
      </c>
      <c r="L35" s="131">
        <f t="shared" si="6"/>
        <v>444</v>
      </c>
      <c r="M35" s="131">
        <f t="shared" si="7"/>
        <v>41.04</v>
      </c>
      <c r="N35" s="132">
        <v>0</v>
      </c>
      <c r="O35" s="132">
        <v>0</v>
      </c>
      <c r="P35" s="131">
        <v>0</v>
      </c>
      <c r="Q35" s="67">
        <v>0</v>
      </c>
      <c r="R35" s="68">
        <f t="shared" si="0"/>
        <v>1.8784167620549026E-7</v>
      </c>
      <c r="S35" s="59">
        <f t="shared" si="1"/>
        <v>2.3817833453506602E-11</v>
      </c>
      <c r="T35" s="59">
        <f t="shared" si="2"/>
        <v>1.6954214010955137E-6</v>
      </c>
      <c r="U35" s="59">
        <f t="shared" si="3"/>
        <v>7.6858552514079757E-7</v>
      </c>
      <c r="V35" s="59">
        <f t="shared" si="8"/>
        <v>2.4640069262363111E-6</v>
      </c>
      <c r="W35" s="59">
        <f t="shared" si="9"/>
        <v>0</v>
      </c>
      <c r="X35" s="59">
        <f t="shared" si="10"/>
        <v>0</v>
      </c>
      <c r="Y35" s="59">
        <f t="shared" si="11"/>
        <v>0</v>
      </c>
      <c r="Z35" s="67">
        <f t="shared" si="12"/>
        <v>0</v>
      </c>
      <c r="AA35" s="68">
        <f t="shared" si="13"/>
        <v>9.3920838102745129E-8</v>
      </c>
      <c r="AB35" s="59">
        <f t="shared" si="14"/>
        <v>1.1908916726753301E-11</v>
      </c>
      <c r="AC35" s="59">
        <f t="shared" si="15"/>
        <v>8.4771070054775684E-7</v>
      </c>
      <c r="AD35" s="59">
        <f t="shared" si="16"/>
        <v>3.8429276257039879E-7</v>
      </c>
      <c r="AE35" s="59">
        <f t="shared" si="17"/>
        <v>1.2320034631181556E-6</v>
      </c>
      <c r="AF35" s="59">
        <f t="shared" si="18"/>
        <v>0</v>
      </c>
      <c r="AG35" s="59">
        <f t="shared" si="19"/>
        <v>0</v>
      </c>
      <c r="AH35" s="59">
        <f t="shared" si="20"/>
        <v>0</v>
      </c>
      <c r="AI35" s="67">
        <f t="shared" si="21"/>
        <v>0</v>
      </c>
      <c r="AJ35" s="68">
        <f t="shared" si="22"/>
        <v>1.1776907599090298E-7</v>
      </c>
      <c r="AK35" s="59">
        <f t="shared" si="23"/>
        <v>1.4932810942637371E-11</v>
      </c>
      <c r="AL35" s="59">
        <f t="shared" si="24"/>
        <v>1.0629601260786921E-6</v>
      </c>
      <c r="AM35" s="59">
        <f t="shared" si="25"/>
        <v>4.8187180259611139E-7</v>
      </c>
      <c r="AN35" s="59">
        <f t="shared" si="26"/>
        <v>1.5448319286748034E-6</v>
      </c>
      <c r="AO35" s="59">
        <f t="shared" si="27"/>
        <v>0</v>
      </c>
      <c r="AP35" s="59">
        <f t="shared" si="28"/>
        <v>0</v>
      </c>
      <c r="AQ35" s="59">
        <f t="shared" si="29"/>
        <v>0</v>
      </c>
      <c r="AR35" s="67">
        <f t="shared" si="30"/>
        <v>0</v>
      </c>
      <c r="AS35" s="68">
        <f t="shared" si="31"/>
        <v>1.0885682159159142E-8</v>
      </c>
      <c r="AT35" s="59">
        <f t="shared" si="32"/>
        <v>1.3802760384816166E-12</v>
      </c>
      <c r="AU35" s="59">
        <f t="shared" si="33"/>
        <v>9.8251990032138563E-8</v>
      </c>
      <c r="AV35" s="59">
        <f t="shared" si="34"/>
        <v>4.4540582834559481E-8</v>
      </c>
      <c r="AW35" s="59">
        <f t="shared" si="35"/>
        <v>1.4279257286669804E-7</v>
      </c>
      <c r="AX35" s="59">
        <f t="shared" si="36"/>
        <v>0</v>
      </c>
      <c r="AY35" s="59">
        <f t="shared" si="37"/>
        <v>0</v>
      </c>
      <c r="AZ35" s="59">
        <f t="shared" si="38"/>
        <v>0</v>
      </c>
      <c r="BA35" s="67">
        <f t="shared" si="39"/>
        <v>0</v>
      </c>
    </row>
    <row r="36" spans="1:53" ht="16" x14ac:dyDescent="0.2">
      <c r="A36" s="69" t="s">
        <v>175</v>
      </c>
      <c r="B36" s="1" t="s">
        <v>171</v>
      </c>
      <c r="C36" s="1">
        <v>0</v>
      </c>
      <c r="D36" s="1">
        <v>6</v>
      </c>
      <c r="E36" s="1">
        <v>10.6</v>
      </c>
      <c r="F36" s="1">
        <v>23.3</v>
      </c>
      <c r="G36" s="1">
        <v>27.1</v>
      </c>
      <c r="H36" s="1">
        <v>615</v>
      </c>
      <c r="I36" s="69" t="s">
        <v>175</v>
      </c>
      <c r="J36" s="75">
        <f t="shared" si="4"/>
        <v>13.513999999999999</v>
      </c>
      <c r="K36" s="133">
        <f t="shared" si="5"/>
        <v>14.616000000000001</v>
      </c>
      <c r="L36" s="133">
        <f t="shared" si="6"/>
        <v>15.72</v>
      </c>
      <c r="M36" s="133">
        <f t="shared" si="7"/>
        <v>167.322</v>
      </c>
      <c r="N36" s="133">
        <v>8.9000000000000003E-10</v>
      </c>
      <c r="O36" s="133">
        <v>1.5E-9</v>
      </c>
      <c r="P36" s="133">
        <v>1</v>
      </c>
      <c r="Q36" s="77">
        <f>N36/P36</f>
        <v>8.9000000000000003E-10</v>
      </c>
      <c r="R36" s="75">
        <f t="shared" si="0"/>
        <v>3.5845299390564479E-9</v>
      </c>
      <c r="S36" s="76">
        <f t="shared" si="1"/>
        <v>4.545090249522555E-13</v>
      </c>
      <c r="T36" s="76">
        <f t="shared" si="2"/>
        <v>3.2353250323935693E-8</v>
      </c>
      <c r="U36" s="76">
        <f t="shared" si="3"/>
        <v>1.4666701667305967E-8</v>
      </c>
      <c r="V36" s="76">
        <f t="shared" si="8"/>
        <v>4.7019951991241658E-8</v>
      </c>
      <c r="W36" s="59">
        <f t="shared" si="9"/>
        <v>3.1902316457602386E-18</v>
      </c>
      <c r="X36" s="59">
        <f t="shared" si="10"/>
        <v>6.8176353742838327E-22</v>
      </c>
      <c r="Y36" s="59">
        <f t="shared" si="11"/>
        <v>1.305336448390231E-17</v>
      </c>
      <c r="Z36" s="67">
        <f t="shared" si="12"/>
        <v>1.6244277893199978E-17</v>
      </c>
      <c r="AA36" s="75">
        <f t="shared" si="13"/>
        <v>3.8768306637005366E-9</v>
      </c>
      <c r="AB36" s="76">
        <f t="shared" si="14"/>
        <v>4.9157199265222473E-13</v>
      </c>
      <c r="AC36" s="76">
        <f t="shared" si="15"/>
        <v>3.4991498204428297E-8</v>
      </c>
      <c r="AD36" s="76">
        <f t="shared" si="16"/>
        <v>1.5862698798974694E-8</v>
      </c>
      <c r="AE36" s="76">
        <f t="shared" si="17"/>
        <v>5.0854197003402994E-8</v>
      </c>
      <c r="AF36" s="59">
        <f t="shared" si="18"/>
        <v>3.4503792906934775E-18</v>
      </c>
      <c r="AG36" s="59">
        <f t="shared" si="19"/>
        <v>7.3735798897833711E-22</v>
      </c>
      <c r="AH36" s="59">
        <f t="shared" si="20"/>
        <v>1.4117801931087477E-17</v>
      </c>
      <c r="AI36" s="67">
        <f t="shared" si="21"/>
        <v>1.7568918579769932E-17</v>
      </c>
      <c r="AJ36" s="75">
        <f t="shared" si="22"/>
        <v>4.1696618796779169E-9</v>
      </c>
      <c r="AK36" s="76">
        <f t="shared" si="23"/>
        <v>5.2870222526635017E-13</v>
      </c>
      <c r="AL36" s="76">
        <f t="shared" si="24"/>
        <v>3.763453419359694E-8</v>
      </c>
      <c r="AM36" s="76">
        <f t="shared" si="25"/>
        <v>1.7060866524348811E-8</v>
      </c>
      <c r="AN36" s="76">
        <f t="shared" si="26"/>
        <v>5.4695400717945751E-8</v>
      </c>
      <c r="AO36" s="59">
        <f t="shared" si="27"/>
        <v>3.710999072913346E-18</v>
      </c>
      <c r="AP36" s="59">
        <f t="shared" si="28"/>
        <v>7.9305333789952526E-22</v>
      </c>
      <c r="AQ36" s="59">
        <f t="shared" si="29"/>
        <v>1.5184171206670442E-17</v>
      </c>
      <c r="AR36" s="67">
        <f t="shared" si="30"/>
        <v>1.8895963332921689E-17</v>
      </c>
      <c r="AS36" s="68">
        <f t="shared" si="31"/>
        <v>4.4381435434571777E-8</v>
      </c>
      <c r="AT36" s="59">
        <f t="shared" si="32"/>
        <v>5.6274499832071396E-12</v>
      </c>
      <c r="AU36" s="59">
        <f t="shared" si="33"/>
        <v>4.0057795994535792E-7</v>
      </c>
      <c r="AV36" s="59">
        <f t="shared" si="34"/>
        <v>1.8159403998645623E-7</v>
      </c>
      <c r="AW36" s="59">
        <f t="shared" si="35"/>
        <v>5.8217199993181415E-7</v>
      </c>
      <c r="AX36" s="59">
        <f t="shared" si="36"/>
        <v>3.9499477536768883E-17</v>
      </c>
      <c r="AY36" s="59">
        <f t="shared" si="37"/>
        <v>8.4411749748107087E-21</v>
      </c>
      <c r="AZ36" s="59">
        <f t="shared" si="38"/>
        <v>1.6161869558794603E-16</v>
      </c>
      <c r="BA36" s="67">
        <f t="shared" si="39"/>
        <v>2.0112661429968974E-16</v>
      </c>
    </row>
    <row r="37" spans="1:53" ht="16" x14ac:dyDescent="0.2">
      <c r="A37" s="69" t="s">
        <v>174</v>
      </c>
      <c r="B37" s="1" t="s">
        <v>171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69" t="s">
        <v>174</v>
      </c>
      <c r="J37" s="33">
        <f t="shared" si="4"/>
        <v>0</v>
      </c>
      <c r="K37" s="131">
        <f t="shared" si="5"/>
        <v>0</v>
      </c>
      <c r="L37" s="131">
        <f t="shared" si="6"/>
        <v>0</v>
      </c>
      <c r="M37" s="131">
        <f t="shared" si="7"/>
        <v>0</v>
      </c>
      <c r="N37" s="132">
        <v>0</v>
      </c>
      <c r="O37" s="132">
        <v>0</v>
      </c>
      <c r="P37" s="131">
        <v>1</v>
      </c>
      <c r="Q37" s="67">
        <v>0</v>
      </c>
      <c r="R37" s="68">
        <f t="shared" si="0"/>
        <v>0</v>
      </c>
      <c r="S37" s="59">
        <f t="shared" si="1"/>
        <v>0</v>
      </c>
      <c r="T37" s="59">
        <f t="shared" si="2"/>
        <v>0</v>
      </c>
      <c r="U37" s="59">
        <f t="shared" si="3"/>
        <v>0</v>
      </c>
      <c r="V37" s="59">
        <f t="shared" si="8"/>
        <v>0</v>
      </c>
      <c r="W37" s="59">
        <f t="shared" si="9"/>
        <v>0</v>
      </c>
      <c r="X37" s="59">
        <f t="shared" si="10"/>
        <v>0</v>
      </c>
      <c r="Y37" s="59">
        <f t="shared" si="11"/>
        <v>0</v>
      </c>
      <c r="Z37" s="67">
        <f t="shared" si="12"/>
        <v>0</v>
      </c>
      <c r="AA37" s="68">
        <f t="shared" si="13"/>
        <v>0</v>
      </c>
      <c r="AB37" s="59">
        <f t="shared" si="14"/>
        <v>0</v>
      </c>
      <c r="AC37" s="59">
        <f t="shared" si="15"/>
        <v>0</v>
      </c>
      <c r="AD37" s="59">
        <f t="shared" si="16"/>
        <v>0</v>
      </c>
      <c r="AE37" s="59">
        <f t="shared" si="17"/>
        <v>0</v>
      </c>
      <c r="AF37" s="59">
        <f t="shared" si="18"/>
        <v>0</v>
      </c>
      <c r="AG37" s="59">
        <f t="shared" si="19"/>
        <v>0</v>
      </c>
      <c r="AH37" s="59">
        <f t="shared" si="20"/>
        <v>0</v>
      </c>
      <c r="AI37" s="67">
        <f t="shared" si="21"/>
        <v>0</v>
      </c>
      <c r="AJ37" s="68">
        <f t="shared" si="22"/>
        <v>0</v>
      </c>
      <c r="AK37" s="59">
        <f t="shared" si="23"/>
        <v>0</v>
      </c>
      <c r="AL37" s="59">
        <f t="shared" si="24"/>
        <v>0</v>
      </c>
      <c r="AM37" s="59">
        <f t="shared" si="25"/>
        <v>0</v>
      </c>
      <c r="AN37" s="59">
        <f t="shared" si="26"/>
        <v>0</v>
      </c>
      <c r="AO37" s="59">
        <f t="shared" si="27"/>
        <v>0</v>
      </c>
      <c r="AP37" s="59">
        <f t="shared" si="28"/>
        <v>0</v>
      </c>
      <c r="AQ37" s="59">
        <f t="shared" si="29"/>
        <v>0</v>
      </c>
      <c r="AR37" s="67">
        <f t="shared" si="30"/>
        <v>0</v>
      </c>
      <c r="AS37" s="68">
        <f t="shared" si="31"/>
        <v>0</v>
      </c>
      <c r="AT37" s="59">
        <f t="shared" si="32"/>
        <v>0</v>
      </c>
      <c r="AU37" s="59">
        <f t="shared" si="33"/>
        <v>0</v>
      </c>
      <c r="AV37" s="59">
        <f t="shared" si="34"/>
        <v>0</v>
      </c>
      <c r="AW37" s="59">
        <f t="shared" si="35"/>
        <v>0</v>
      </c>
      <c r="AX37" s="59">
        <f t="shared" si="36"/>
        <v>0</v>
      </c>
      <c r="AY37" s="59">
        <f t="shared" si="37"/>
        <v>0</v>
      </c>
      <c r="AZ37" s="59">
        <f t="shared" si="38"/>
        <v>0</v>
      </c>
      <c r="BA37" s="67">
        <f t="shared" si="39"/>
        <v>0</v>
      </c>
    </row>
    <row r="38" spans="1:53" ht="16" x14ac:dyDescent="0.2">
      <c r="A38" s="69" t="s">
        <v>173</v>
      </c>
      <c r="B38" s="1" t="s">
        <v>171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69" t="s">
        <v>173</v>
      </c>
      <c r="J38" s="33">
        <f t="shared" si="4"/>
        <v>0</v>
      </c>
      <c r="K38" s="131">
        <f t="shared" si="5"/>
        <v>0</v>
      </c>
      <c r="L38" s="131">
        <f t="shared" si="6"/>
        <v>0</v>
      </c>
      <c r="M38" s="131">
        <f t="shared" si="7"/>
        <v>0</v>
      </c>
      <c r="N38" s="132">
        <v>0</v>
      </c>
      <c r="O38" s="132">
        <v>0</v>
      </c>
      <c r="P38" s="131">
        <v>1</v>
      </c>
      <c r="Q38" s="91">
        <v>0</v>
      </c>
      <c r="R38" s="68">
        <f t="shared" si="0"/>
        <v>0</v>
      </c>
      <c r="S38" s="59">
        <f t="shared" si="1"/>
        <v>0</v>
      </c>
      <c r="T38" s="59">
        <f t="shared" si="2"/>
        <v>0</v>
      </c>
      <c r="U38" s="59">
        <f t="shared" si="3"/>
        <v>0</v>
      </c>
      <c r="V38" s="59">
        <f t="shared" si="8"/>
        <v>0</v>
      </c>
      <c r="W38" s="59">
        <f t="shared" si="9"/>
        <v>0</v>
      </c>
      <c r="X38" s="59">
        <f t="shared" si="10"/>
        <v>0</v>
      </c>
      <c r="Y38" s="59">
        <f t="shared" si="11"/>
        <v>0</v>
      </c>
      <c r="Z38" s="67">
        <f t="shared" si="12"/>
        <v>0</v>
      </c>
      <c r="AA38" s="68">
        <f t="shared" si="13"/>
        <v>0</v>
      </c>
      <c r="AB38" s="59">
        <f t="shared" si="14"/>
        <v>0</v>
      </c>
      <c r="AC38" s="59">
        <f t="shared" si="15"/>
        <v>0</v>
      </c>
      <c r="AD38" s="59">
        <f t="shared" si="16"/>
        <v>0</v>
      </c>
      <c r="AE38" s="59">
        <f t="shared" si="17"/>
        <v>0</v>
      </c>
      <c r="AF38" s="59">
        <f t="shared" si="18"/>
        <v>0</v>
      </c>
      <c r="AG38" s="59">
        <f t="shared" si="19"/>
        <v>0</v>
      </c>
      <c r="AH38" s="59">
        <f t="shared" si="20"/>
        <v>0</v>
      </c>
      <c r="AI38" s="67">
        <f t="shared" si="21"/>
        <v>0</v>
      </c>
      <c r="AJ38" s="68">
        <f t="shared" si="22"/>
        <v>0</v>
      </c>
      <c r="AK38" s="59">
        <f t="shared" si="23"/>
        <v>0</v>
      </c>
      <c r="AL38" s="59">
        <f t="shared" si="24"/>
        <v>0</v>
      </c>
      <c r="AM38" s="59">
        <f t="shared" si="25"/>
        <v>0</v>
      </c>
      <c r="AN38" s="59">
        <f t="shared" si="26"/>
        <v>0</v>
      </c>
      <c r="AO38" s="59">
        <f t="shared" si="27"/>
        <v>0</v>
      </c>
      <c r="AP38" s="59">
        <f t="shared" si="28"/>
        <v>0</v>
      </c>
      <c r="AQ38" s="59">
        <f t="shared" si="29"/>
        <v>0</v>
      </c>
      <c r="AR38" s="67">
        <f t="shared" si="30"/>
        <v>0</v>
      </c>
      <c r="AS38" s="68">
        <f t="shared" si="31"/>
        <v>0</v>
      </c>
      <c r="AT38" s="59">
        <f t="shared" si="32"/>
        <v>0</v>
      </c>
      <c r="AU38" s="59">
        <f t="shared" si="33"/>
        <v>0</v>
      </c>
      <c r="AV38" s="59">
        <f t="shared" si="34"/>
        <v>0</v>
      </c>
      <c r="AW38" s="59">
        <f t="shared" si="35"/>
        <v>0</v>
      </c>
      <c r="AX38" s="59">
        <f t="shared" si="36"/>
        <v>0</v>
      </c>
      <c r="AY38" s="59">
        <f t="shared" si="37"/>
        <v>0</v>
      </c>
      <c r="AZ38" s="59">
        <f t="shared" si="38"/>
        <v>0</v>
      </c>
      <c r="BA38" s="67">
        <f t="shared" si="39"/>
        <v>0</v>
      </c>
    </row>
    <row r="39" spans="1:53" ht="16" x14ac:dyDescent="0.2">
      <c r="A39" s="69" t="s">
        <v>172</v>
      </c>
      <c r="B39" s="1" t="s">
        <v>171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69" t="s">
        <v>172</v>
      </c>
      <c r="J39" s="124">
        <f>(0.5*$C$64*1000)/($C$63/1000)</f>
        <v>135000</v>
      </c>
      <c r="K39" s="135">
        <f>(0.35*$C$64*1000)/($C$63/1000)</f>
        <v>94500</v>
      </c>
      <c r="L39" s="135">
        <f>(0.35*$C$65*1000)/($C$63/1000)</f>
        <v>98000</v>
      </c>
      <c r="M39" s="131">
        <v>0</v>
      </c>
      <c r="N39" s="133">
        <v>1.2999999999999999E-2</v>
      </c>
      <c r="O39" s="132">
        <v>0</v>
      </c>
      <c r="P39" s="133">
        <v>1</v>
      </c>
      <c r="Q39" s="77">
        <f>N39/P39</f>
        <v>1.2999999999999999E-2</v>
      </c>
      <c r="R39" s="75">
        <f t="shared" si="0"/>
        <v>3.5808164997234015E-5</v>
      </c>
      <c r="S39" s="76">
        <f t="shared" si="1"/>
        <v>4.5403817055316327E-9</v>
      </c>
      <c r="T39" s="76">
        <f t="shared" si="2"/>
        <v>3.2319733563203475E-4</v>
      </c>
      <c r="U39" s="76">
        <f t="shared" si="3"/>
        <v>1.4651507511368253E-4</v>
      </c>
      <c r="V39" s="76">
        <f t="shared" si="8"/>
        <v>4.6971241074571728E-4</v>
      </c>
      <c r="W39" s="59">
        <f t="shared" si="9"/>
        <v>4.6550614496404216E-7</v>
      </c>
      <c r="X39" s="59">
        <f>S39*O39</f>
        <v>0</v>
      </c>
      <c r="Y39" s="59">
        <f>V39*Q39</f>
        <v>6.1062613396943247E-6</v>
      </c>
      <c r="Z39" s="67">
        <f t="shared" si="12"/>
        <v>6.5717674846583671E-6</v>
      </c>
      <c r="AA39" s="75">
        <f t="shared" si="13"/>
        <v>2.5065715498063813E-5</v>
      </c>
      <c r="AB39" s="76">
        <f t="shared" si="14"/>
        <v>3.178267193872143E-9</v>
      </c>
      <c r="AC39" s="76">
        <f t="shared" si="15"/>
        <v>2.2623813494242437E-4</v>
      </c>
      <c r="AD39" s="76">
        <f t="shared" si="16"/>
        <v>1.0256055257957778E-4</v>
      </c>
      <c r="AE39" s="76">
        <f t="shared" si="17"/>
        <v>3.2879868752200216E-4</v>
      </c>
      <c r="AF39" s="59">
        <f t="shared" si="18"/>
        <v>3.2585430147482958E-7</v>
      </c>
      <c r="AG39" s="59">
        <f t="shared" si="19"/>
        <v>0</v>
      </c>
      <c r="AH39" s="59">
        <f t="shared" si="20"/>
        <v>1.333287183534511E-6</v>
      </c>
      <c r="AI39" s="67">
        <f t="shared" si="21"/>
        <v>1.6591414850093406E-6</v>
      </c>
      <c r="AJ39" s="75">
        <f t="shared" si="22"/>
        <v>2.5994075331325439E-5</v>
      </c>
      <c r="AK39" s="76">
        <f t="shared" si="23"/>
        <v>3.2959807936451856E-9</v>
      </c>
      <c r="AL39" s="76">
        <f t="shared" si="24"/>
        <v>2.3461732512547711E-4</v>
      </c>
      <c r="AM39" s="76">
        <f t="shared" si="25"/>
        <v>1.0635909156400654E-4</v>
      </c>
      <c r="AN39" s="76">
        <f t="shared" si="26"/>
        <v>3.4097641668948364E-4</v>
      </c>
      <c r="AO39" s="59">
        <f t="shared" si="27"/>
        <v>3.3792297930723071E-7</v>
      </c>
      <c r="AP39" s="59">
        <f t="shared" si="28"/>
        <v>0</v>
      </c>
      <c r="AQ39" s="59">
        <f t="shared" si="29"/>
        <v>1.3826681903320849E-6</v>
      </c>
      <c r="AR39" s="67">
        <f t="shared" si="30"/>
        <v>1.7205911696393156E-6</v>
      </c>
      <c r="AS39" s="68">
        <f t="shared" si="31"/>
        <v>0</v>
      </c>
      <c r="AT39" s="59">
        <f t="shared" si="32"/>
        <v>0</v>
      </c>
      <c r="AU39" s="59">
        <f t="shared" si="33"/>
        <v>0</v>
      </c>
      <c r="AV39" s="59">
        <f t="shared" si="34"/>
        <v>0</v>
      </c>
      <c r="AW39" s="59">
        <f t="shared" si="35"/>
        <v>0</v>
      </c>
      <c r="AX39" s="59">
        <f t="shared" si="36"/>
        <v>0</v>
      </c>
      <c r="AY39" s="59">
        <f t="shared" si="37"/>
        <v>0</v>
      </c>
      <c r="AZ39" s="59">
        <f t="shared" si="38"/>
        <v>0</v>
      </c>
      <c r="BA39" s="67">
        <f t="shared" si="39"/>
        <v>0</v>
      </c>
    </row>
    <row r="40" spans="1:53" ht="17" thickBot="1" x14ac:dyDescent="0.25">
      <c r="A40" s="69" t="s">
        <v>213</v>
      </c>
      <c r="B40" s="1" t="s">
        <v>171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69" t="s">
        <v>213</v>
      </c>
      <c r="J40" s="100">
        <v>0</v>
      </c>
      <c r="K40" s="81">
        <v>0</v>
      </c>
      <c r="L40" s="81">
        <v>0</v>
      </c>
      <c r="M40" s="125">
        <f>(0.01*$C$66*1000)/($C$63/1000)</f>
        <v>5200</v>
      </c>
      <c r="N40" s="79">
        <v>0.13100000000000001</v>
      </c>
      <c r="O40" s="81">
        <v>0</v>
      </c>
      <c r="P40" s="79">
        <v>1</v>
      </c>
      <c r="Q40" s="80">
        <f>N40/P40</f>
        <v>0.13100000000000001</v>
      </c>
      <c r="R40" s="78">
        <f t="shared" si="0"/>
        <v>0</v>
      </c>
      <c r="S40" s="79">
        <f t="shared" si="1"/>
        <v>0</v>
      </c>
      <c r="T40" s="79">
        <f t="shared" si="2"/>
        <v>0</v>
      </c>
      <c r="U40" s="79">
        <f t="shared" si="3"/>
        <v>0</v>
      </c>
      <c r="V40" s="79">
        <f t="shared" si="8"/>
        <v>0</v>
      </c>
      <c r="W40" s="81">
        <f t="shared" si="9"/>
        <v>0</v>
      </c>
      <c r="X40" s="81">
        <f t="shared" si="10"/>
        <v>0</v>
      </c>
      <c r="Y40" s="81">
        <f t="shared" si="11"/>
        <v>0</v>
      </c>
      <c r="Z40" s="82">
        <f t="shared" si="12"/>
        <v>0</v>
      </c>
      <c r="AA40" s="78">
        <f t="shared" si="13"/>
        <v>0</v>
      </c>
      <c r="AB40" s="79">
        <f t="shared" si="14"/>
        <v>0</v>
      </c>
      <c r="AC40" s="79">
        <f t="shared" si="15"/>
        <v>0</v>
      </c>
      <c r="AD40" s="79">
        <f t="shared" si="16"/>
        <v>0</v>
      </c>
      <c r="AE40" s="79">
        <f t="shared" si="17"/>
        <v>0</v>
      </c>
      <c r="AF40" s="81">
        <f t="shared" si="18"/>
        <v>0</v>
      </c>
      <c r="AG40" s="81">
        <f t="shared" si="19"/>
        <v>0</v>
      </c>
      <c r="AH40" s="81">
        <f t="shared" si="20"/>
        <v>0</v>
      </c>
      <c r="AI40" s="82">
        <f t="shared" si="21"/>
        <v>0</v>
      </c>
      <c r="AJ40" s="78">
        <f t="shared" si="22"/>
        <v>0</v>
      </c>
      <c r="AK40" s="79">
        <f t="shared" si="23"/>
        <v>0</v>
      </c>
      <c r="AL40" s="79">
        <f t="shared" si="24"/>
        <v>0</v>
      </c>
      <c r="AM40" s="79">
        <f t="shared" si="25"/>
        <v>0</v>
      </c>
      <c r="AN40" s="79">
        <f t="shared" si="26"/>
        <v>0</v>
      </c>
      <c r="AO40" s="81">
        <f t="shared" si="27"/>
        <v>0</v>
      </c>
      <c r="AP40" s="81">
        <f t="shared" si="28"/>
        <v>0</v>
      </c>
      <c r="AQ40" s="81">
        <f t="shared" si="29"/>
        <v>0</v>
      </c>
      <c r="AR40" s="82">
        <f t="shared" si="30"/>
        <v>0</v>
      </c>
      <c r="AS40" s="100">
        <f>(M40/1000*$C$48*$C$45*$C$46)/($C$49*$C$59)</f>
        <v>1.379277466560125E-6</v>
      </c>
      <c r="AT40" s="81">
        <f t="shared" si="32"/>
        <v>1.748887768056629E-10</v>
      </c>
      <c r="AU40" s="81">
        <f>((M40/1000*$C$57)*$C$55*$C$45*$C$46)/($C$49*$C$59)</f>
        <v>1.2449082557678376E-5</v>
      </c>
      <c r="AV40" s="81">
        <f t="shared" si="34"/>
        <v>5.6435436340085118E-6</v>
      </c>
      <c r="AW40" s="81">
        <f t="shared" si="35"/>
        <v>1.8092626191686888E-5</v>
      </c>
      <c r="AX40" s="81">
        <f>AS40*N40</f>
        <v>1.8068534811937637E-7</v>
      </c>
      <c r="AY40" s="81">
        <f t="shared" si="37"/>
        <v>0</v>
      </c>
      <c r="AZ40" s="81">
        <f>AW40*Q40</f>
        <v>2.3701340311109824E-6</v>
      </c>
      <c r="BA40" s="82">
        <f t="shared" si="39"/>
        <v>2.5508193792303585E-6</v>
      </c>
    </row>
    <row r="41" spans="1:53" x14ac:dyDescent="0.2">
      <c r="R41" s="59"/>
      <c r="S41" s="59"/>
      <c r="T41" s="59"/>
      <c r="U41" s="59"/>
      <c r="V41" s="59"/>
    </row>
    <row r="44" spans="1:53" x14ac:dyDescent="0.2">
      <c r="A44" s="111" t="s">
        <v>170</v>
      </c>
      <c r="B44" s="111"/>
      <c r="C44" s="111"/>
      <c r="D44" s="111"/>
    </row>
    <row r="45" spans="1:53" x14ac:dyDescent="0.2">
      <c r="A45" s="31" t="s">
        <v>169</v>
      </c>
      <c r="B45" s="31" t="s">
        <v>168</v>
      </c>
      <c r="C45" s="31">
        <f>250/365</f>
        <v>0.68493150684931503</v>
      </c>
      <c r="D45" s="31" t="s">
        <v>167</v>
      </c>
    </row>
    <row r="46" spans="1:53" x14ac:dyDescent="0.2">
      <c r="A46" s="31" t="s">
        <v>166</v>
      </c>
      <c r="B46" s="31" t="s">
        <v>165</v>
      </c>
      <c r="C46" s="31">
        <v>25</v>
      </c>
      <c r="D46" s="31" t="s">
        <v>164</v>
      </c>
    </row>
    <row r="47" spans="1:53" x14ac:dyDescent="0.2">
      <c r="A47" s="31" t="s">
        <v>163</v>
      </c>
      <c r="B47" s="31" t="s">
        <v>162</v>
      </c>
      <c r="C47" s="31">
        <v>8</v>
      </c>
      <c r="D47" s="31" t="s">
        <v>161</v>
      </c>
    </row>
    <row r="48" spans="1:53" x14ac:dyDescent="0.2">
      <c r="A48" s="31" t="s">
        <v>160</v>
      </c>
      <c r="B48" s="31" t="s">
        <v>159</v>
      </c>
      <c r="C48" s="31">
        <v>0.03</v>
      </c>
      <c r="D48" s="31" t="s">
        <v>158</v>
      </c>
    </row>
    <row r="49" spans="1:4" ht="16" x14ac:dyDescent="0.2">
      <c r="A49" s="29" t="s">
        <v>157</v>
      </c>
      <c r="B49" s="31" t="s">
        <v>156</v>
      </c>
      <c r="C49" s="31">
        <v>75.8</v>
      </c>
      <c r="D49" s="31" t="s">
        <v>155</v>
      </c>
    </row>
    <row r="50" spans="1:4" ht="32" x14ac:dyDescent="0.2">
      <c r="A50" s="29" t="s">
        <v>154</v>
      </c>
      <c r="B50" s="31" t="s">
        <v>153</v>
      </c>
      <c r="C50" s="31">
        <f>C46*365</f>
        <v>9125</v>
      </c>
      <c r="D50" s="31" t="s">
        <v>128</v>
      </c>
    </row>
    <row r="51" spans="1:4" x14ac:dyDescent="0.2">
      <c r="A51" s="25" t="s">
        <v>152</v>
      </c>
      <c r="B51" s="25" t="s">
        <v>151</v>
      </c>
      <c r="C51" s="25">
        <f>C52*24</f>
        <v>15.52</v>
      </c>
      <c r="D51" s="25" t="s">
        <v>150</v>
      </c>
    </row>
    <row r="52" spans="1:4" ht="16" x14ac:dyDescent="0.2">
      <c r="A52" s="29" t="s">
        <v>149</v>
      </c>
      <c r="B52" s="31" t="s">
        <v>148</v>
      </c>
      <c r="C52" s="31">
        <f>15.52/24</f>
        <v>0.64666666666666661</v>
      </c>
      <c r="D52" s="31" t="s">
        <v>147</v>
      </c>
    </row>
    <row r="53" spans="1:4" ht="32" x14ac:dyDescent="0.2">
      <c r="A53" s="29" t="s">
        <v>146</v>
      </c>
      <c r="B53" s="31" t="s">
        <v>145</v>
      </c>
      <c r="C53" s="31">
        <v>1360000000</v>
      </c>
      <c r="D53" s="31" t="s">
        <v>144</v>
      </c>
    </row>
    <row r="54" spans="1:4" ht="16" x14ac:dyDescent="0.2">
      <c r="A54" s="29" t="s">
        <v>143</v>
      </c>
      <c r="B54" s="31" t="s">
        <v>142</v>
      </c>
      <c r="C54" s="31">
        <f>0.000001</f>
        <v>9.9999999999999995E-7</v>
      </c>
      <c r="D54" s="31" t="s">
        <v>141</v>
      </c>
    </row>
    <row r="55" spans="1:4" ht="32" x14ac:dyDescent="0.2">
      <c r="A55" s="29" t="s">
        <v>140</v>
      </c>
      <c r="B55" s="31" t="s">
        <v>139</v>
      </c>
      <c r="C55" s="31">
        <v>980</v>
      </c>
      <c r="D55" s="31" t="s">
        <v>136</v>
      </c>
    </row>
    <row r="56" spans="1:4" ht="32" x14ac:dyDescent="0.2">
      <c r="A56" s="29" t="s">
        <v>138</v>
      </c>
      <c r="B56" s="31" t="s">
        <v>137</v>
      </c>
      <c r="C56" s="31">
        <v>1250</v>
      </c>
      <c r="D56" s="31" t="s">
        <v>136</v>
      </c>
    </row>
    <row r="57" spans="1:4" ht="32" x14ac:dyDescent="0.2">
      <c r="A57" s="29" t="s">
        <v>135</v>
      </c>
      <c r="B57" s="31" t="s">
        <v>134</v>
      </c>
      <c r="C57" s="31">
        <f>0.2763/1000</f>
        <v>2.7629999999999999E-4</v>
      </c>
      <c r="D57" s="31" t="s">
        <v>131</v>
      </c>
    </row>
    <row r="58" spans="1:4" ht="32" x14ac:dyDescent="0.2">
      <c r="A58" s="29" t="s">
        <v>133</v>
      </c>
      <c r="B58" s="31" t="s">
        <v>132</v>
      </c>
      <c r="C58" s="31">
        <f>0.0982/1000</f>
        <v>9.8200000000000002E-5</v>
      </c>
      <c r="D58" s="31" t="s">
        <v>131</v>
      </c>
    </row>
    <row r="59" spans="1:4" ht="48" x14ac:dyDescent="0.2">
      <c r="A59" s="29" t="s">
        <v>130</v>
      </c>
      <c r="B59" s="31" t="s">
        <v>129</v>
      </c>
      <c r="C59" s="31">
        <f>70*365</f>
        <v>25550</v>
      </c>
      <c r="D59" s="31" t="s">
        <v>128</v>
      </c>
    </row>
    <row r="60" spans="1:4" ht="16" x14ac:dyDescent="0.2">
      <c r="A60" s="29" t="s">
        <v>127</v>
      </c>
      <c r="B60" s="31" t="s">
        <v>126</v>
      </c>
      <c r="C60" s="31">
        <v>10</v>
      </c>
      <c r="D60" s="31" t="s">
        <v>125</v>
      </c>
    </row>
    <row r="61" spans="1:4" ht="23" x14ac:dyDescent="0.2">
      <c r="A61" s="29" t="s">
        <v>124</v>
      </c>
      <c r="B61" s="29" t="s">
        <v>123</v>
      </c>
      <c r="C61" s="30"/>
      <c r="D61" s="29" t="s">
        <v>122</v>
      </c>
    </row>
    <row r="62" spans="1:4" ht="16" x14ac:dyDescent="0.2">
      <c r="A62" s="29" t="s">
        <v>121</v>
      </c>
      <c r="B62" s="29"/>
      <c r="C62" s="29">
        <v>1250</v>
      </c>
      <c r="D62" s="29" t="s">
        <v>120</v>
      </c>
    </row>
    <row r="63" spans="1:4" x14ac:dyDescent="0.2">
      <c r="A63" s="25" t="s">
        <v>119</v>
      </c>
      <c r="B63" s="25" t="s">
        <v>118</v>
      </c>
      <c r="C63" s="25">
        <f>1000</f>
        <v>1000</v>
      </c>
      <c r="D63" s="25" t="s">
        <v>111</v>
      </c>
    </row>
    <row r="64" spans="1:4" x14ac:dyDescent="0.2">
      <c r="A64" s="25" t="s">
        <v>117</v>
      </c>
      <c r="B64" s="25" t="s">
        <v>116</v>
      </c>
      <c r="C64" s="28">
        <f>0.27*C63</f>
        <v>270</v>
      </c>
      <c r="D64" s="25" t="s">
        <v>111</v>
      </c>
    </row>
    <row r="65" spans="1:4" x14ac:dyDescent="0.2">
      <c r="A65" s="25" t="s">
        <v>115</v>
      </c>
      <c r="B65" s="25" t="s">
        <v>114</v>
      </c>
      <c r="C65" s="25">
        <f>0.28*C63</f>
        <v>280</v>
      </c>
      <c r="D65" s="25" t="s">
        <v>111</v>
      </c>
    </row>
    <row r="66" spans="1:4" x14ac:dyDescent="0.2">
      <c r="A66" s="25" t="s">
        <v>113</v>
      </c>
      <c r="B66" s="25" t="s">
        <v>112</v>
      </c>
      <c r="C66" s="25">
        <f>0.52*C63</f>
        <v>520</v>
      </c>
      <c r="D66" s="25" t="s">
        <v>111</v>
      </c>
    </row>
  </sheetData>
  <mergeCells count="6">
    <mergeCell ref="AS1:BA1"/>
    <mergeCell ref="C1:H1"/>
    <mergeCell ref="A44:D44"/>
    <mergeCell ref="R1:Z1"/>
    <mergeCell ref="AA1:AI1"/>
    <mergeCell ref="AJ1:AR1"/>
  </mergeCells>
  <conditionalFormatting sqref="W4:X40">
    <cfRule type="cellIs" dxfId="37" priority="47" operator="greaterThan">
      <formula>0.00001</formula>
    </cfRule>
  </conditionalFormatting>
  <conditionalFormatting sqref="W4:Z38 W39:X39 Z39 W40:Z40">
    <cfRule type="cellIs" dxfId="36" priority="51" operator="lessThan">
      <formula>0.00001</formula>
    </cfRule>
    <cfRule type="cellIs" dxfId="35" priority="50" operator="equal">
      <formula>0</formula>
    </cfRule>
  </conditionalFormatting>
  <conditionalFormatting sqref="W4:Z38 W40:Z40">
    <cfRule type="cellIs" dxfId="34" priority="46" operator="greaterThan">
      <formula>0.00001</formula>
    </cfRule>
  </conditionalFormatting>
  <conditionalFormatting sqref="W4:Z40">
    <cfRule type="cellIs" dxfId="33" priority="40" operator="equal">
      <formula>0</formula>
    </cfRule>
    <cfRule type="cellIs" dxfId="32" priority="44" operator="greaterThan">
      <formula>1</formula>
    </cfRule>
    <cfRule type="cellIs" dxfId="31" priority="43" operator="lessThan">
      <formula>1</formula>
    </cfRule>
    <cfRule type="cellIs" dxfId="30" priority="42" operator="greaterThan">
      <formula>0.000001</formula>
    </cfRule>
    <cfRule type="cellIs" dxfId="29" priority="41" operator="lessThan">
      <formula>0.000001</formula>
    </cfRule>
  </conditionalFormatting>
  <conditionalFormatting sqref="Y4:Y38 Y40">
    <cfRule type="cellIs" dxfId="28" priority="45" operator="greaterThan">
      <formula>"10^(-6)"</formula>
    </cfRule>
  </conditionalFormatting>
  <conditionalFormatting sqref="Z39">
    <cfRule type="cellIs" dxfId="27" priority="49" operator="greaterThan">
      <formula>0.00001</formula>
    </cfRule>
  </conditionalFormatting>
  <conditionalFormatting sqref="AF4:AI40">
    <cfRule type="cellIs" dxfId="26" priority="27" operator="equal">
      <formula>0</formula>
    </cfRule>
    <cfRule type="cellIs" dxfId="25" priority="38" operator="lessThan">
      <formula>0.00001</formula>
    </cfRule>
    <cfRule type="cellIs" dxfId="24" priority="28" operator="lessThan">
      <formula>0.000001</formula>
    </cfRule>
    <cfRule type="cellIs" dxfId="23" priority="29" operator="greaterThan">
      <formula>0.000001</formula>
    </cfRule>
    <cfRule type="cellIs" dxfId="22" priority="30" operator="lessThan">
      <formula>1</formula>
    </cfRule>
    <cfRule type="cellIs" dxfId="21" priority="31" operator="greaterThan">
      <formula>1</formula>
    </cfRule>
    <cfRule type="cellIs" dxfId="20" priority="33" operator="greaterThan">
      <formula>0.00001</formula>
    </cfRule>
    <cfRule type="cellIs" dxfId="19" priority="37" operator="equal">
      <formula>0</formula>
    </cfRule>
  </conditionalFormatting>
  <conditionalFormatting sqref="AH4:AH40">
    <cfRule type="cellIs" dxfId="18" priority="32" operator="greaterThan">
      <formula>"10^(-6)"</formula>
    </cfRule>
  </conditionalFormatting>
  <conditionalFormatting sqref="AO4:AR40">
    <cfRule type="cellIs" dxfId="17" priority="25" operator="lessThan">
      <formula>0.00001</formula>
    </cfRule>
    <cfRule type="cellIs" dxfId="16" priority="18" operator="greaterThan">
      <formula>1</formula>
    </cfRule>
    <cfRule type="cellIs" dxfId="15" priority="20" operator="greaterThan">
      <formula>0.00001</formula>
    </cfRule>
    <cfRule type="cellIs" dxfId="14" priority="24" operator="equal">
      <formula>0</formula>
    </cfRule>
    <cfRule type="cellIs" dxfId="13" priority="15" operator="lessThan">
      <formula>0.000001</formula>
    </cfRule>
    <cfRule type="cellIs" dxfId="12" priority="17" operator="lessThan">
      <formula>1</formula>
    </cfRule>
    <cfRule type="cellIs" dxfId="11" priority="16" operator="greaterThan">
      <formula>0.000001</formula>
    </cfRule>
    <cfRule type="cellIs" dxfId="10" priority="14" operator="equal">
      <formula>0</formula>
    </cfRule>
  </conditionalFormatting>
  <conditionalFormatting sqref="AQ4:AQ40">
    <cfRule type="cellIs" dxfId="9" priority="19" operator="greaterThan">
      <formula>"10^(-6)"</formula>
    </cfRule>
  </conditionalFormatting>
  <conditionalFormatting sqref="AX4:BA40">
    <cfRule type="cellIs" dxfId="8" priority="1" operator="equal">
      <formula>0</formula>
    </cfRule>
    <cfRule type="cellIs" dxfId="7" priority="2" operator="lessThan">
      <formula>0.000001</formula>
    </cfRule>
    <cfRule type="cellIs" dxfId="6" priority="3" operator="greaterThan">
      <formula>0.000001</formula>
    </cfRule>
    <cfRule type="cellIs" dxfId="5" priority="4" operator="lessThan">
      <formula>1</formula>
    </cfRule>
    <cfRule type="cellIs" dxfId="4" priority="5" operator="greaterThan">
      <formula>1</formula>
    </cfRule>
    <cfRule type="cellIs" dxfId="3" priority="12" operator="lessThan">
      <formula>0.00001</formula>
    </cfRule>
    <cfRule type="cellIs" dxfId="2" priority="7" operator="greaterThan">
      <formula>0.00001</formula>
    </cfRule>
    <cfRule type="cellIs" dxfId="1" priority="11" operator="equal">
      <formula>0</formula>
    </cfRule>
  </conditionalFormatting>
  <conditionalFormatting sqref="AZ4:AZ40">
    <cfRule type="cellIs" dxfId="0" priority="6" operator="greaterThan">
      <formula>"10^(-6)"</formula>
    </cfRule>
  </conditionalFormatting>
  <pageMargins left="0.7" right="0.7" top="0.75" bottom="0.75" header="0.3" footer="0.3"/>
  <pageSetup paperSize="9" orientation="portrait" horizontalDpi="0" verticalDpi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input_lab</vt:lpstr>
      <vt:lpstr>Furfuryl_Alchol</vt:lpstr>
      <vt:lpstr>No_cancer_risk</vt:lpstr>
      <vt:lpstr>Cancer_risk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Nativio</dc:creator>
  <cp:lastModifiedBy>Arianna Nativio</cp:lastModifiedBy>
  <dcterms:created xsi:type="dcterms:W3CDTF">2024-08-08T17:28:11Z</dcterms:created>
  <dcterms:modified xsi:type="dcterms:W3CDTF">2024-08-12T10:30:07Z</dcterms:modified>
</cp:coreProperties>
</file>