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anativio_tudelft_nl/Documents/Files_Arianna/QMRA/"/>
    </mc:Choice>
  </mc:AlternateContent>
  <xr:revisionPtr revIDLastSave="3" documentId="11_83BA0B4385B38DD0A5354E209E3C0935F2221B6F" xr6:coauthVersionLast="47" xr6:coauthVersionMax="47" xr10:uidLastSave="{8D02EFBD-A47A-B341-96A5-2548BA006AFF}"/>
  <bookViews>
    <workbookView xWindow="0" yWindow="0" windowWidth="33600" windowHeight="21000" xr2:uid="{00000000-000D-0000-FFFF-FFFF00000000}"/>
  </bookViews>
  <sheets>
    <sheet name="Modele_Exposure_Sieve" sheetId="1" r:id="rId1"/>
    <sheet name="Sheet2" sheetId="3" r:id="rId2"/>
    <sheet name="Sheet1" sheetId="2" r:id="rId3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0</definedName>
    <definedName name="_AtRisk_SimSetting_MultipleCPUModeV8" hidden="1">0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1</definedName>
    <definedName name="_AtRisk_SimSetting_StdRecalcWithoutRiskStaticPercentile" hidden="1">0.5</definedName>
    <definedName name="Pal_Workbook_GUID" hidden="1">"B6VEKEFC2G39N3WITG2KD2Z2"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  <c r="D33" i="1"/>
  <c r="B18" i="3" l="1"/>
  <c r="B16" i="3"/>
  <c r="P4" i="3"/>
  <c r="P10" i="3"/>
  <c r="P11" i="3"/>
  <c r="O4" i="3"/>
  <c r="O9" i="3"/>
  <c r="O10" i="3"/>
  <c r="O11" i="3"/>
  <c r="D11" i="3"/>
  <c r="C11" i="3"/>
  <c r="B11" i="3"/>
  <c r="D10" i="3"/>
  <c r="C10" i="3"/>
  <c r="B10" i="3"/>
  <c r="F10" i="3" s="1"/>
  <c r="N9" i="3"/>
  <c r="P9" i="3" s="1"/>
  <c r="M9" i="3"/>
  <c r="L9" i="3"/>
  <c r="D9" i="3"/>
  <c r="C9" i="3"/>
  <c r="B9" i="3"/>
  <c r="F9" i="3" s="1"/>
  <c r="L8" i="3"/>
  <c r="P8" i="3" s="1"/>
  <c r="D8" i="3"/>
  <c r="C8" i="3"/>
  <c r="E8" i="3" s="1"/>
  <c r="B8" i="3"/>
  <c r="N7" i="3"/>
  <c r="L7" i="3"/>
  <c r="P7" i="3" s="1"/>
  <c r="D7" i="3"/>
  <c r="C7" i="3"/>
  <c r="B7" i="3"/>
  <c r="F7" i="3" s="1"/>
  <c r="N6" i="3"/>
  <c r="L6" i="3"/>
  <c r="O6" i="3" s="1"/>
  <c r="D6" i="3"/>
  <c r="C6" i="3"/>
  <c r="B6" i="3"/>
  <c r="F6" i="3" s="1"/>
  <c r="L5" i="3"/>
  <c r="P5" i="3" s="1"/>
  <c r="D5" i="3"/>
  <c r="C5" i="3"/>
  <c r="B5" i="3"/>
  <c r="F5" i="3" s="1"/>
  <c r="E4" i="3"/>
  <c r="D4" i="3"/>
  <c r="C4" i="3"/>
  <c r="B4" i="3"/>
  <c r="F4" i="3" s="1"/>
  <c r="N3" i="3"/>
  <c r="M3" i="3"/>
  <c r="L3" i="3"/>
  <c r="P3" i="3" s="1"/>
  <c r="D3" i="3"/>
  <c r="F3" i="3" s="1"/>
  <c r="C3" i="3"/>
  <c r="B3" i="3"/>
  <c r="E3" i="3" s="1"/>
  <c r="E7" i="3" l="1"/>
  <c r="O8" i="3"/>
  <c r="P6" i="3"/>
  <c r="O7" i="3"/>
  <c r="O3" i="3"/>
  <c r="O5" i="3"/>
  <c r="E5" i="3"/>
  <c r="F8" i="3"/>
  <c r="F11" i="3"/>
  <c r="E6" i="3"/>
  <c r="E9" i="3"/>
  <c r="E10" i="3"/>
  <c r="E11" i="3" l="1"/>
  <c r="R4" i="1" l="1"/>
  <c r="S4" i="1"/>
  <c r="T4" i="1"/>
  <c r="U4" i="1"/>
  <c r="V4" i="1"/>
  <c r="W4" i="1"/>
  <c r="R5" i="1"/>
  <c r="S5" i="1"/>
  <c r="T5" i="1"/>
  <c r="R6" i="1"/>
  <c r="S6" i="1"/>
  <c r="T6" i="1"/>
  <c r="U6" i="1"/>
  <c r="R7" i="1"/>
  <c r="S7" i="1"/>
  <c r="T7" i="1"/>
  <c r="U7" i="1"/>
  <c r="W7" i="1"/>
  <c r="R8" i="1"/>
  <c r="S8" i="1"/>
  <c r="T8" i="1"/>
  <c r="U8" i="1"/>
  <c r="W8" i="1"/>
  <c r="R9" i="1"/>
  <c r="S9" i="1"/>
  <c r="T9" i="1"/>
  <c r="U9" i="1"/>
  <c r="R10" i="1"/>
  <c r="S10" i="1"/>
  <c r="T10" i="1"/>
  <c r="U10" i="1"/>
  <c r="D30" i="1" s="1"/>
  <c r="V10" i="1"/>
  <c r="S30" i="1" s="1"/>
  <c r="W10" i="1"/>
  <c r="R11" i="1"/>
  <c r="S11" i="1"/>
  <c r="T11" i="1"/>
  <c r="R12" i="1"/>
  <c r="S12" i="1"/>
  <c r="T12" i="1"/>
  <c r="AK30" i="1"/>
  <c r="AK31" i="1"/>
  <c r="AK32" i="1"/>
  <c r="C42" i="1"/>
  <c r="R42" i="1"/>
  <c r="AJ42" i="1"/>
  <c r="C43" i="1"/>
  <c r="R43" i="1"/>
  <c r="AJ43" i="1"/>
  <c r="C54" i="1"/>
  <c r="R54" i="1"/>
  <c r="AJ54" i="1"/>
  <c r="C56" i="1"/>
  <c r="R56" i="1"/>
  <c r="AJ56" i="1"/>
  <c r="S33" i="1" l="1"/>
  <c r="R41" i="1" s="1"/>
  <c r="AK33" i="1"/>
  <c r="AJ41" i="1" s="1"/>
  <c r="AJ44" i="1" s="1"/>
  <c r="AJ53" i="1" s="1"/>
  <c r="AJ55" i="1" s="1"/>
  <c r="C53" i="1"/>
  <c r="C55" i="1" s="1"/>
  <c r="C41" i="1"/>
  <c r="R44" i="1" l="1"/>
  <c r="R53" i="1" s="1"/>
  <c r="R55" i="1" s="1"/>
</calcChain>
</file>

<file path=xl/sharedStrings.xml><?xml version="1.0" encoding="utf-8"?>
<sst xmlns="http://schemas.openxmlformats.org/spreadsheetml/2006/main" count="193" uniqueCount="86">
  <si>
    <t>Ptoll</t>
  </si>
  <si>
    <t>Pinf &gt; Ptoll</t>
  </si>
  <si>
    <t>Pinf</t>
  </si>
  <si>
    <t>n</t>
  </si>
  <si>
    <t>Pill</t>
  </si>
  <si>
    <t>Input data</t>
  </si>
  <si>
    <t>n is the frequency of exposure (day/year)</t>
  </si>
  <si>
    <t>Risk characterization</t>
  </si>
  <si>
    <t>-</t>
  </si>
  <si>
    <t>N50</t>
  </si>
  <si>
    <t>α</t>
  </si>
  <si>
    <t>No.</t>
  </si>
  <si>
    <t xml:space="preserve">D </t>
  </si>
  <si>
    <t>Units</t>
  </si>
  <si>
    <t>Values</t>
  </si>
  <si>
    <t>Data</t>
  </si>
  <si>
    <t>Dose-response model for E.Coli can be represented by using Beta-Poisson model</t>
  </si>
  <si>
    <t>Dose-Response model</t>
  </si>
  <si>
    <t xml:space="preserve">No. </t>
  </si>
  <si>
    <t xml:space="preserve">Dose </t>
  </si>
  <si>
    <t>People exposed</t>
  </si>
  <si>
    <t>mg</t>
  </si>
  <si>
    <t>Dosed ingested</t>
  </si>
  <si>
    <t>No./mg</t>
  </si>
  <si>
    <t>E.Coli concentration</t>
  </si>
  <si>
    <t>Dose ingested fibres treated with ozone = 0.1 g</t>
  </si>
  <si>
    <t>Dose ingested fibres treated with paracetic acid = 0.1 g</t>
  </si>
  <si>
    <t>Dose ingested of untreated wastewater = 0.1g</t>
  </si>
  <si>
    <t>People exposed =1</t>
  </si>
  <si>
    <t>HP</t>
  </si>
  <si>
    <t>Exposure assessment</t>
  </si>
  <si>
    <r>
      <rPr>
        <b/>
        <sz val="11"/>
        <color theme="1"/>
        <rFont val="Calibri"/>
        <family val="2"/>
        <scheme val="minor"/>
      </rPr>
      <t>Exposure pathways analysed</t>
    </r>
    <r>
      <rPr>
        <sz val="11"/>
        <color theme="1"/>
        <rFont val="Calibri"/>
        <family val="2"/>
        <scheme val="minor"/>
      </rPr>
      <t>: accidental ingestion of untreated wastewater (during recovery process)</t>
    </r>
  </si>
  <si>
    <t xml:space="preserve">- </t>
  </si>
  <si>
    <t xml:space="preserve">Total Archaea </t>
  </si>
  <si>
    <t xml:space="preserve">Human exposure by touching </t>
  </si>
  <si>
    <t xml:space="preserve">Streptococcus suis </t>
  </si>
  <si>
    <t>Human exposure by inhalation (dust formation)</t>
  </si>
  <si>
    <t>After</t>
  </si>
  <si>
    <t xml:space="preserve">Escherichia coli </t>
  </si>
  <si>
    <t>Human exposure by inhalation (bioaerosol)</t>
  </si>
  <si>
    <t xml:space="preserve">Escherichia Blattae </t>
  </si>
  <si>
    <t>Human expoure by accidental ingestion of untreated wastewater</t>
  </si>
  <si>
    <t>During</t>
  </si>
  <si>
    <t xml:space="preserve">Enterococcus faecium </t>
  </si>
  <si>
    <t>Pathways</t>
  </si>
  <si>
    <t>Exposure</t>
  </si>
  <si>
    <t xml:space="preserve">Enterococcus faecalis </t>
  </si>
  <si>
    <t xml:space="preserve">Clostridium difficile </t>
  </si>
  <si>
    <t xml:space="preserve">Campylobacter Jejuni </t>
  </si>
  <si>
    <t xml:space="preserve">Total number of bacteria  </t>
  </si>
  <si>
    <r>
      <rPr>
        <b/>
        <sz val="11"/>
        <color rgb="FFC00000"/>
        <rFont val="Calibri"/>
        <family val="2"/>
        <scheme val="minor"/>
      </rPr>
      <t>Hazard identification</t>
    </r>
    <r>
      <rPr>
        <sz val="11"/>
        <color theme="1"/>
        <rFont val="Calibri"/>
        <family val="2"/>
        <scheme val="minor"/>
      </rPr>
      <t>: cellulose fibres contaminated by pathgens (E.Coli) --&gt; Potential human exposure during and after the recovery process</t>
    </r>
  </si>
  <si>
    <t xml:space="preserve">ozone </t>
  </si>
  <si>
    <t xml:space="preserve">Peracetic acid </t>
  </si>
  <si>
    <t xml:space="preserve">rough </t>
  </si>
  <si>
    <t xml:space="preserve">Autoclaved </t>
  </si>
  <si>
    <t xml:space="preserve">Pasteurized </t>
  </si>
  <si>
    <t xml:space="preserve">Type of sieve </t>
  </si>
  <si>
    <t xml:space="preserve">Leeuwarden (Stowa 2017-29) </t>
  </si>
  <si>
    <t xml:space="preserve">Blaricum (Stowa 2013-21) </t>
  </si>
  <si>
    <t xml:space="preserve">location </t>
  </si>
  <si>
    <t>Leeuwarden</t>
  </si>
  <si>
    <t>Cellulose recovery from wastewater: Risk assessment</t>
  </si>
  <si>
    <t>Material</t>
  </si>
  <si>
    <t>Material 1</t>
  </si>
  <si>
    <t>Material 2</t>
  </si>
  <si>
    <t>limit</t>
  </si>
  <si>
    <t>Model</t>
  </si>
  <si>
    <t>dataset1</t>
  </si>
  <si>
    <t>dataset2</t>
  </si>
  <si>
    <t xml:space="preserve"> </t>
  </si>
  <si>
    <t>Pinf_tot s0 (95th)</t>
  </si>
  <si>
    <t>Pinf_tot s1 (95th)</t>
  </si>
  <si>
    <t>Pinf_tot det (95th)</t>
  </si>
  <si>
    <t>DEC_P</t>
  </si>
  <si>
    <t>DEC_A</t>
  </si>
  <si>
    <t>Input</t>
  </si>
  <si>
    <t>IngR</t>
  </si>
  <si>
    <t>g/d</t>
  </si>
  <si>
    <t>InhR</t>
  </si>
  <si>
    <t>m3/min</t>
  </si>
  <si>
    <t>Laer</t>
  </si>
  <si>
    <t>mL/m3</t>
  </si>
  <si>
    <t>ET</t>
  </si>
  <si>
    <t>min/ev</t>
  </si>
  <si>
    <t>Uniform(2.6E-02; 2.9E-02)</t>
  </si>
  <si>
    <t>Unifrom(120;300)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</si>
</sst>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B2CE5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11" fontId="0" fillId="0" borderId="0" xfId="0" applyNumberFormat="1"/>
    <xf numFmtId="11" fontId="1" fillId="0" borderId="1" xfId="0" applyNumberFormat="1" applyFont="1" applyBorder="1" applyAlignment="1">
      <alignment horizontal="center" vertical="center"/>
    </xf>
    <xf numFmtId="11" fontId="1" fillId="2" borderId="1" xfId="0" applyNumberFormat="1" applyFont="1" applyFill="1" applyBorder="1" applyAlignment="1">
      <alignment horizontal="center"/>
    </xf>
    <xf numFmtId="11" fontId="0" fillId="0" borderId="1" xfId="0" applyNumberFormat="1" applyBorder="1" applyAlignment="1">
      <alignment horizontal="center"/>
    </xf>
    <xf numFmtId="11" fontId="0" fillId="0" borderId="1" xfId="0" applyNumberFormat="1" applyBorder="1" applyAlignment="1">
      <alignment horizontal="center" vertical="center"/>
    </xf>
    <xf numFmtId="11" fontId="3" fillId="0" borderId="1" xfId="0" applyNumberFormat="1" applyFont="1" applyBorder="1" applyAlignment="1">
      <alignment horizontal="center" vertical="center"/>
    </xf>
    <xf numFmtId="11" fontId="1" fillId="0" borderId="1" xfId="0" applyNumberFormat="1" applyFont="1" applyBorder="1"/>
    <xf numFmtId="11" fontId="1" fillId="0" borderId="1" xfId="0" applyNumberFormat="1" applyFont="1" applyBorder="1" applyAlignment="1">
      <alignment horizontal="center"/>
    </xf>
    <xf numFmtId="11" fontId="5" fillId="3" borderId="5" xfId="0" applyNumberFormat="1" applyFont="1" applyFill="1" applyBorder="1" applyAlignment="1">
      <alignment horizontal="right" vertical="center" wrapText="1"/>
    </xf>
    <xf numFmtId="11" fontId="6" fillId="3" borderId="5" xfId="0" applyNumberFormat="1" applyFont="1" applyFill="1" applyBorder="1" applyAlignment="1">
      <alignment horizontal="right" vertical="center" wrapText="1"/>
    </xf>
    <xf numFmtId="11" fontId="6" fillId="3" borderId="6" xfId="0" applyNumberFormat="1" applyFont="1" applyFill="1" applyBorder="1" applyAlignment="1">
      <alignment vertical="center" wrapText="1"/>
    </xf>
    <xf numFmtId="11" fontId="5" fillId="0" borderId="5" xfId="0" applyNumberFormat="1" applyFont="1" applyBorder="1" applyAlignment="1">
      <alignment horizontal="right" vertical="center" wrapText="1"/>
    </xf>
    <xf numFmtId="11" fontId="6" fillId="0" borderId="5" xfId="0" applyNumberFormat="1" applyFont="1" applyBorder="1" applyAlignment="1">
      <alignment horizontal="right" vertical="center" wrapText="1"/>
    </xf>
    <xf numFmtId="11" fontId="7" fillId="0" borderId="6" xfId="0" applyNumberFormat="1" applyFont="1" applyBorder="1" applyAlignment="1">
      <alignment vertical="center" wrapText="1"/>
    </xf>
    <xf numFmtId="11" fontId="6" fillId="0" borderId="5" xfId="0" applyNumberFormat="1" applyFont="1" applyBorder="1" applyAlignment="1">
      <alignment horizontal="center" vertical="center" wrapText="1"/>
    </xf>
    <xf numFmtId="11" fontId="6" fillId="0" borderId="6" xfId="0" applyNumberFormat="1" applyFont="1" applyBorder="1" applyAlignment="1">
      <alignment vertical="center" wrapText="1"/>
    </xf>
    <xf numFmtId="11" fontId="5" fillId="4" borderId="10" xfId="0" applyNumberFormat="1" applyFont="1" applyFill="1" applyBorder="1" applyAlignment="1">
      <alignment vertical="center" wrapText="1"/>
    </xf>
    <xf numFmtId="2" fontId="0" fillId="0" borderId="0" xfId="0" applyNumberFormat="1"/>
    <xf numFmtId="11" fontId="5" fillId="4" borderId="8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1" fontId="8" fillId="0" borderId="5" xfId="0" applyNumberFormat="1" applyFont="1" applyBorder="1" applyAlignment="1">
      <alignment horizontal="center" vertical="center" wrapText="1"/>
    </xf>
    <xf numFmtId="11" fontId="0" fillId="0" borderId="1" xfId="0" applyNumberFormat="1" applyBorder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11" fontId="1" fillId="2" borderId="0" xfId="0" applyNumberFormat="1" applyFont="1" applyFill="1" applyAlignment="1">
      <alignment horizontal="center"/>
    </xf>
    <xf numFmtId="11" fontId="0" fillId="0" borderId="0" xfId="0" applyNumberFormat="1" applyAlignment="1">
      <alignment horizontal="left"/>
    </xf>
    <xf numFmtId="11" fontId="0" fillId="0" borderId="1" xfId="0" applyNumberFormat="1" applyBorder="1" applyAlignment="1">
      <alignment horizontal="center"/>
    </xf>
    <xf numFmtId="11" fontId="0" fillId="0" borderId="0" xfId="0" applyNumberFormat="1" applyAlignment="1">
      <alignment horizontal="center" vertical="center"/>
    </xf>
    <xf numFmtId="11" fontId="0" fillId="0" borderId="1" xfId="0" applyNumberFormat="1" applyBorder="1" applyAlignment="1">
      <alignment horizontal="left"/>
    </xf>
    <xf numFmtId="11" fontId="1" fillId="0" borderId="1" xfId="0" applyNumberFormat="1" applyFont="1" applyBorder="1" applyAlignment="1">
      <alignment horizontal="left"/>
    </xf>
    <xf numFmtId="11" fontId="4" fillId="0" borderId="0" xfId="0" applyNumberFormat="1" applyFont="1" applyAlignment="1">
      <alignment horizontal="center" vertical="center"/>
    </xf>
    <xf numFmtId="11" fontId="1" fillId="0" borderId="1" xfId="0" applyNumberFormat="1" applyFont="1" applyBorder="1" applyAlignment="1">
      <alignment horizontal="center"/>
    </xf>
    <xf numFmtId="11" fontId="0" fillId="0" borderId="4" xfId="0" applyNumberFormat="1" applyBorder="1" applyAlignment="1">
      <alignment horizontal="center" vertical="center"/>
    </xf>
    <xf numFmtId="11" fontId="0" fillId="0" borderId="3" xfId="0" applyNumberFormat="1" applyBorder="1" applyAlignment="1">
      <alignment horizontal="center" vertical="center"/>
    </xf>
    <xf numFmtId="11" fontId="0" fillId="0" borderId="2" xfId="0" applyNumberFormat="1" applyBorder="1" applyAlignment="1">
      <alignment horizontal="center" vertical="center"/>
    </xf>
    <xf numFmtId="11" fontId="5" fillId="4" borderId="9" xfId="0" applyNumberFormat="1" applyFont="1" applyFill="1" applyBorder="1" applyAlignment="1">
      <alignment vertical="center" wrapText="1"/>
    </xf>
    <xf numFmtId="11" fontId="5" fillId="4" borderId="8" xfId="0" applyNumberFormat="1" applyFont="1" applyFill="1" applyBorder="1" applyAlignment="1">
      <alignment vertical="center" wrapText="1"/>
    </xf>
    <xf numFmtId="11" fontId="5" fillId="4" borderId="7" xfId="0" applyNumberFormat="1" applyFont="1" applyFill="1" applyBorder="1" applyAlignment="1">
      <alignment vertical="center" wrapText="1"/>
    </xf>
    <xf numFmtId="11" fontId="5" fillId="4" borderId="9" xfId="0" applyNumberFormat="1" applyFont="1" applyFill="1" applyBorder="1" applyAlignment="1">
      <alignment horizontal="center" vertical="center" wrapText="1"/>
    </xf>
    <xf numFmtId="11" fontId="5" fillId="4" borderId="8" xfId="0" applyNumberFormat="1" applyFont="1" applyFill="1" applyBorder="1" applyAlignment="1">
      <alignment horizontal="center" vertical="center" wrapText="1"/>
    </xf>
    <xf numFmtId="11" fontId="5" fillId="4" borderId="7" xfId="0" applyNumberFormat="1" applyFont="1" applyFill="1" applyBorder="1" applyAlignment="1">
      <alignment horizontal="center" vertical="center" wrapText="1"/>
    </xf>
    <xf numFmtId="11" fontId="5" fillId="4" borderId="10" xfId="0" applyNumberFormat="1" applyFont="1" applyFill="1" applyBorder="1" applyAlignment="1">
      <alignment horizontal="center" vertical="center" wrapText="1"/>
    </xf>
    <xf numFmtId="11" fontId="6" fillId="0" borderId="6" xfId="0" applyNumberFormat="1" applyFont="1" applyBorder="1" applyAlignment="1">
      <alignment horizontal="center" vertical="center" wrapText="1"/>
    </xf>
    <xf numFmtId="11" fontId="6" fillId="3" borderId="6" xfId="0" applyNumberFormat="1" applyFont="1" applyFill="1" applyBorder="1" applyAlignment="1">
      <alignment horizontal="center" vertical="center" wrapText="1"/>
    </xf>
    <xf numFmtId="11" fontId="8" fillId="3" borderId="5" xfId="0" applyNumberFormat="1" applyFont="1" applyFill="1" applyBorder="1" applyAlignment="1">
      <alignment horizontal="center" vertical="center" wrapText="1"/>
    </xf>
    <xf numFmtId="11" fontId="6" fillId="3" borderId="5" xfId="0" applyNumberFormat="1" applyFont="1" applyFill="1" applyBorder="1" applyAlignment="1">
      <alignment horizontal="center" vertical="center" wrapText="1"/>
    </xf>
    <xf numFmtId="11" fontId="7" fillId="0" borderId="6" xfId="0" applyNumberFormat="1" applyFont="1" applyBorder="1" applyAlignment="1">
      <alignment horizontal="center" vertical="center" wrapText="1"/>
    </xf>
    <xf numFmtId="11" fontId="9" fillId="3" borderId="5" xfId="0" applyNumberFormat="1" applyFont="1" applyFill="1" applyBorder="1" applyAlignment="1">
      <alignment horizontal="center" vertical="center" wrapText="1"/>
    </xf>
    <xf numFmtId="11" fontId="5" fillId="3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Microbial</a:t>
            </a:r>
            <a:r>
              <a:rPr lang="en-GB" baseline="0"/>
              <a:t> Risk Comparison (Threshold = 1E-04)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Material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Pinf_tot s0 (95th)</c:v>
                </c:pt>
                <c:pt idx="1">
                  <c:v>Pinf_tot s1 (95th)</c:v>
                </c:pt>
                <c:pt idx="2">
                  <c:v>Pinf_tot det (95th)</c:v>
                </c:pt>
              </c:strCache>
            </c:strRef>
          </c:cat>
          <c:val>
            <c:numRef>
              <c:f>Sheet1!$B$3:$B$5</c:f>
              <c:numCache>
                <c:formatCode>0.00E+00</c:formatCode>
                <c:ptCount val="3"/>
                <c:pt idx="0">
                  <c:v>6.3968999999999997E-9</c:v>
                </c:pt>
                <c:pt idx="1">
                  <c:v>8.7105999999999993E-9</c:v>
                </c:pt>
                <c:pt idx="2">
                  <c:v>6.5301999999999996E-9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7B-4F92-952B-A0DE7FBCAD85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Material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Pinf_tot s0 (95th)</c:v>
                </c:pt>
                <c:pt idx="1">
                  <c:v>Pinf_tot s1 (95th)</c:v>
                </c:pt>
                <c:pt idx="2">
                  <c:v>Pinf_tot det (95th)</c:v>
                </c:pt>
              </c:strCache>
            </c:strRef>
          </c:cat>
          <c:val>
            <c:numRef>
              <c:f>Sheet1!$C$3:$C$5</c:f>
              <c:numCache>
                <c:formatCode>0.00E+00</c:formatCode>
                <c:ptCount val="3"/>
                <c:pt idx="0">
                  <c:v>5.7472999999999997E-5</c:v>
                </c:pt>
                <c:pt idx="1">
                  <c:v>6.6727E-5</c:v>
                </c:pt>
                <c:pt idx="2">
                  <c:v>5.7451999999999998E-5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77B-4F92-952B-A0DE7FBCA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84712416"/>
        <c:axId val="684712088"/>
      </c:barChart>
      <c:catAx>
        <c:axId val="684712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Uncertainty</a:t>
                </a:r>
                <a:r>
                  <a:rPr lang="en-GB" baseline="0"/>
                  <a:t> Model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684712088"/>
        <c:crosses val="autoZero"/>
        <c:auto val="1"/>
        <c:lblAlgn val="ctr"/>
        <c:lblOffset val="100"/>
        <c:noMultiLvlLbl val="0"/>
      </c:catAx>
      <c:valAx>
        <c:axId val="684712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Microbial</a:t>
                </a:r>
                <a:r>
                  <a:rPr lang="en-GB" baseline="0"/>
                  <a:t> Risk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68471241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213360</xdr:colOff>
      <xdr:row>34</xdr:row>
      <xdr:rowOff>60960</xdr:rowOff>
    </xdr:from>
    <xdr:ext cx="1994136" cy="3956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6309360" y="6278880"/>
              <a:ext cx="1994136" cy="3956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𝑷</m:t>
                        </m:r>
                      </m:e>
                      <m:sub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𝒊𝒍𝒍</m:t>
                        </m:r>
                      </m:sub>
                    </m:sSub>
                    <m:r>
                      <a:rPr lang="en-GB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GB" sz="1100" b="1" i="1">
                        <a:latin typeface="Cambria Math" panose="02040503050406030204" pitchFamily="18" charset="0"/>
                      </a:rPr>
                      <m:t>𝟏</m:t>
                    </m:r>
                    <m:r>
                      <a:rPr lang="en-GB" sz="1100" b="1" i="1">
                        <a:latin typeface="Cambria Math" panose="02040503050406030204" pitchFamily="18" charset="0"/>
                      </a:rPr>
                      <m:t>−</m:t>
                    </m:r>
                    <m:sSup>
                      <m:sSupPr>
                        <m:ctrlP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begChr m:val="["/>
                            <m:endChr m:val="]"/>
                            <m:ctrlPr>
                              <a:rPr lang="en-GB" sz="1100" b="1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𝟏</m:t>
                            </m:r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+</m:t>
                            </m:r>
                            <m:f>
                              <m:fPr>
                                <m:ctrlP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𝑫</m:t>
                                </m:r>
                              </m:num>
                              <m:den>
                                <m:sSub>
                                  <m:sSubPr>
                                    <m:ctrlPr>
                                      <a:rPr lang="en-GB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𝑵</m:t>
                                    </m:r>
                                  </m:e>
                                  <m:sub>
                                    <m:r>
                                      <a:rPr lang="en-GB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𝟓𝟎</m:t>
                                    </m:r>
                                  </m:sub>
                                </m:sSub>
                              </m:den>
                            </m:f>
                            <m:d>
                              <m:dPr>
                                <m:ctrlP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p>
                                  <m:sSupPr>
                                    <m:ctrlPr>
                                      <a:rPr lang="en-GB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r>
                                      <a:rPr lang="en-GB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𝟐</m:t>
                                    </m:r>
                                  </m:e>
                                  <m:sup>
                                    <m:f>
                                      <m:fPr>
                                        <m:ctrlPr>
                                          <a:rPr lang="en-GB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GB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𝟏</m:t>
                                        </m:r>
                                      </m:num>
                                      <m:den>
                                        <m:r>
                                          <a:rPr lang="en-GB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𝜶</m:t>
                                        </m:r>
                                      </m:den>
                                    </m:f>
                                  </m:sup>
                                </m:sSup>
                                <m: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𝟏</m:t>
                                </m:r>
                              </m:e>
                            </m:d>
                          </m:e>
                        </m:d>
                      </m:e>
                      <m:sup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GB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𝜶</m:t>
                        </m:r>
                      </m:sup>
                    </m:sSup>
                  </m:oMath>
                </m:oMathPara>
              </a14:m>
              <a:endParaRPr lang="en-GB" sz="1100" b="1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6309360" y="6278880"/>
              <a:ext cx="1994136" cy="3956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1" i="0">
                  <a:latin typeface="Cambria Math" panose="02040503050406030204" pitchFamily="18" charset="0"/>
                </a:rPr>
                <a:t>𝑷_𝒊𝒍𝒍=𝟏−[</a:t>
              </a:r>
              <a:r>
                <a:rPr lang="en-GB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𝟏+𝑫/𝑵_𝟓𝟎  (𝟐^(𝟏/𝜶)−𝟏)]^(</a:t>
              </a:r>
              <a:r>
                <a:rPr lang="en-GB" sz="1100" b="1" i="0">
                  <a:latin typeface="Cambria Math" panose="02040503050406030204" pitchFamily="18" charset="0"/>
                </a:rPr>
                <a:t>−</a:t>
              </a:r>
              <a:r>
                <a:rPr lang="en-GB" sz="11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𝜶</a:t>
              </a:r>
              <a:r>
                <a:rPr lang="en-GB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endParaRPr lang="en-GB" sz="1100" b="1"/>
            </a:p>
          </xdr:txBody>
        </xdr:sp>
      </mc:Fallback>
    </mc:AlternateContent>
    <xdr:clientData/>
  </xdr:oneCellAnchor>
  <xdr:oneCellAnchor>
    <xdr:from>
      <xdr:col>3</xdr:col>
      <xdr:colOff>152400</xdr:colOff>
      <xdr:row>46</xdr:row>
      <xdr:rowOff>15240</xdr:rowOff>
    </xdr:from>
    <xdr:ext cx="1392882" cy="1856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1981200" y="8427720"/>
              <a:ext cx="1392882" cy="185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𝑷</m:t>
                        </m:r>
                      </m:e>
                      <m:sub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𝒊𝒏𝒇</m:t>
                        </m:r>
                      </m:sub>
                    </m:sSub>
                    <m:r>
                      <a:rPr lang="en-GB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GB" sz="1100" b="1" i="1">
                        <a:latin typeface="Cambria Math" panose="02040503050406030204" pitchFamily="18" charset="0"/>
                      </a:rPr>
                      <m:t>𝟏</m:t>
                    </m:r>
                    <m:r>
                      <a:rPr lang="en-GB" sz="1100" b="1" i="1">
                        <a:latin typeface="Cambria Math" panose="02040503050406030204" pitchFamily="18" charset="0"/>
                      </a:rPr>
                      <m:t>−</m:t>
                    </m:r>
                    <m:sSup>
                      <m:sSupPr>
                        <m:ctrlPr>
                          <a:rPr lang="en-GB" sz="11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𝟏</m:t>
                        </m:r>
                        <m: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𝑷</m:t>
                            </m:r>
                          </m:e>
                          <m:sub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𝒊𝒍𝒍</m:t>
                            </m:r>
                          </m:sub>
                        </m:sSub>
                        <m: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e>
                      <m:sup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𝒏</m:t>
                        </m:r>
                      </m:sup>
                    </m:sSup>
                  </m:oMath>
                </m:oMathPara>
              </a14:m>
              <a:endParaRPr lang="en-GB" sz="1100" b="1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981200" y="8427720"/>
              <a:ext cx="1392882" cy="185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1" i="0">
                  <a:latin typeface="Cambria Math" panose="02040503050406030204" pitchFamily="18" charset="0"/>
                </a:rPr>
                <a:t>𝑷_𝒊𝒏𝒇=𝟏−〖</a:t>
              </a:r>
              <a:r>
                <a:rPr lang="en-GB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(𝟏−𝑷_𝒊𝒍𝒍)〗^</a:t>
              </a:r>
              <a:r>
                <a:rPr lang="en-GB" sz="1100" b="1" i="0">
                  <a:latin typeface="Cambria Math" panose="02040503050406030204" pitchFamily="18" charset="0"/>
                </a:rPr>
                <a:t>𝒏</a:t>
              </a:r>
              <a:endParaRPr lang="en-GB" sz="1100" b="1"/>
            </a:p>
          </xdr:txBody>
        </xdr:sp>
      </mc:Fallback>
    </mc:AlternateContent>
    <xdr:clientData/>
  </xdr:oneCellAnchor>
  <xdr:oneCellAnchor>
    <xdr:from>
      <xdr:col>25</xdr:col>
      <xdr:colOff>213360</xdr:colOff>
      <xdr:row>34</xdr:row>
      <xdr:rowOff>60960</xdr:rowOff>
    </xdr:from>
    <xdr:ext cx="1994136" cy="3956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15453360" y="6278880"/>
              <a:ext cx="1994136" cy="3956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𝑷</m:t>
                        </m:r>
                      </m:e>
                      <m:sub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𝒊𝒍𝒍</m:t>
                        </m:r>
                      </m:sub>
                    </m:sSub>
                    <m:r>
                      <a:rPr lang="en-GB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GB" sz="1100" b="1" i="1">
                        <a:latin typeface="Cambria Math" panose="02040503050406030204" pitchFamily="18" charset="0"/>
                      </a:rPr>
                      <m:t>𝟏</m:t>
                    </m:r>
                    <m:r>
                      <a:rPr lang="en-GB" sz="1100" b="1" i="1">
                        <a:latin typeface="Cambria Math" panose="02040503050406030204" pitchFamily="18" charset="0"/>
                      </a:rPr>
                      <m:t>−</m:t>
                    </m:r>
                    <m:sSup>
                      <m:sSupPr>
                        <m:ctrlP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begChr m:val="["/>
                            <m:endChr m:val="]"/>
                            <m:ctrlPr>
                              <a:rPr lang="en-GB" sz="1100" b="1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𝟏</m:t>
                            </m:r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+</m:t>
                            </m:r>
                            <m:f>
                              <m:fPr>
                                <m:ctrlP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𝑫</m:t>
                                </m:r>
                              </m:num>
                              <m:den>
                                <m:sSub>
                                  <m:sSubPr>
                                    <m:ctrlPr>
                                      <a:rPr lang="en-GB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𝑵</m:t>
                                    </m:r>
                                  </m:e>
                                  <m:sub>
                                    <m:r>
                                      <a:rPr lang="en-GB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𝟓𝟎</m:t>
                                    </m:r>
                                  </m:sub>
                                </m:sSub>
                              </m:den>
                            </m:f>
                            <m:d>
                              <m:dPr>
                                <m:ctrlP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p>
                                  <m:sSupPr>
                                    <m:ctrlPr>
                                      <a:rPr lang="en-GB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r>
                                      <a:rPr lang="en-GB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𝟐</m:t>
                                    </m:r>
                                  </m:e>
                                  <m:sup>
                                    <m:f>
                                      <m:fPr>
                                        <m:ctrlPr>
                                          <a:rPr lang="en-GB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GB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𝟏</m:t>
                                        </m:r>
                                      </m:num>
                                      <m:den>
                                        <m:r>
                                          <a:rPr lang="en-GB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𝜶</m:t>
                                        </m:r>
                                      </m:den>
                                    </m:f>
                                  </m:sup>
                                </m:sSup>
                                <m: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𝟏</m:t>
                                </m:r>
                              </m:e>
                            </m:d>
                          </m:e>
                        </m:d>
                      </m:e>
                      <m:sup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GB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𝜶</m:t>
                        </m:r>
                      </m:sup>
                    </m:sSup>
                  </m:oMath>
                </m:oMathPara>
              </a14:m>
              <a:endParaRPr lang="en-GB" sz="1100" b="1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15453360" y="6278880"/>
              <a:ext cx="1994136" cy="3956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1" i="0">
                  <a:latin typeface="Cambria Math" panose="02040503050406030204" pitchFamily="18" charset="0"/>
                </a:rPr>
                <a:t>𝑷_𝒊𝒍𝒍=𝟏−[</a:t>
              </a:r>
              <a:r>
                <a:rPr lang="en-GB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𝟏+𝑫/𝑵_𝟓𝟎  (𝟐^(𝟏/𝜶)−𝟏)]^(</a:t>
              </a:r>
              <a:r>
                <a:rPr lang="en-GB" sz="1100" b="1" i="0">
                  <a:latin typeface="Cambria Math" panose="02040503050406030204" pitchFamily="18" charset="0"/>
                </a:rPr>
                <a:t>−</a:t>
              </a:r>
              <a:r>
                <a:rPr lang="en-GB" sz="11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𝜶</a:t>
              </a:r>
              <a:r>
                <a:rPr lang="en-GB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endParaRPr lang="en-GB" sz="1100" b="1"/>
            </a:p>
          </xdr:txBody>
        </xdr:sp>
      </mc:Fallback>
    </mc:AlternateContent>
    <xdr:clientData/>
  </xdr:oneCellAnchor>
  <xdr:oneCellAnchor>
    <xdr:from>
      <xdr:col>18</xdr:col>
      <xdr:colOff>152400</xdr:colOff>
      <xdr:row>46</xdr:row>
      <xdr:rowOff>15240</xdr:rowOff>
    </xdr:from>
    <xdr:ext cx="1392882" cy="1856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11125200" y="8427720"/>
              <a:ext cx="1392882" cy="185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𝑷</m:t>
                        </m:r>
                      </m:e>
                      <m:sub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𝒊𝒏𝒇</m:t>
                        </m:r>
                      </m:sub>
                    </m:sSub>
                    <m:r>
                      <a:rPr lang="en-GB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GB" sz="1100" b="1" i="1">
                        <a:latin typeface="Cambria Math" panose="02040503050406030204" pitchFamily="18" charset="0"/>
                      </a:rPr>
                      <m:t>𝟏</m:t>
                    </m:r>
                    <m:r>
                      <a:rPr lang="en-GB" sz="1100" b="1" i="1">
                        <a:latin typeface="Cambria Math" panose="02040503050406030204" pitchFamily="18" charset="0"/>
                      </a:rPr>
                      <m:t>−</m:t>
                    </m:r>
                    <m:sSup>
                      <m:sSupPr>
                        <m:ctrlPr>
                          <a:rPr lang="en-GB" sz="11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𝟏</m:t>
                        </m:r>
                        <m: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𝑷</m:t>
                            </m:r>
                          </m:e>
                          <m:sub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𝒊𝒍𝒍</m:t>
                            </m:r>
                          </m:sub>
                        </m:sSub>
                        <m: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e>
                      <m:sup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𝒏</m:t>
                        </m:r>
                      </m:sup>
                    </m:sSup>
                  </m:oMath>
                </m:oMathPara>
              </a14:m>
              <a:endParaRPr lang="en-GB" sz="1100" b="1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11125200" y="8427720"/>
              <a:ext cx="1392882" cy="185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1" i="0">
                  <a:latin typeface="Cambria Math" panose="02040503050406030204" pitchFamily="18" charset="0"/>
                </a:rPr>
                <a:t>𝑷_𝒊𝒏𝒇=𝟏−〖</a:t>
              </a:r>
              <a:r>
                <a:rPr lang="en-GB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(𝟏−𝑷_𝒊𝒍𝒍)〗^</a:t>
              </a:r>
              <a:r>
                <a:rPr lang="en-GB" sz="1100" b="1" i="0">
                  <a:latin typeface="Cambria Math" panose="02040503050406030204" pitchFamily="18" charset="0"/>
                </a:rPr>
                <a:t>𝒏</a:t>
              </a:r>
              <a:endParaRPr lang="en-GB" sz="1100" b="1"/>
            </a:p>
          </xdr:txBody>
        </xdr:sp>
      </mc:Fallback>
    </mc:AlternateContent>
    <xdr:clientData/>
  </xdr:oneCellAnchor>
  <xdr:twoCellAnchor>
    <xdr:from>
      <xdr:col>20</xdr:col>
      <xdr:colOff>152399</xdr:colOff>
      <xdr:row>21</xdr:row>
      <xdr:rowOff>139148</xdr:rowOff>
    </xdr:from>
    <xdr:to>
      <xdr:col>23</xdr:col>
      <xdr:colOff>437321</xdr:colOff>
      <xdr:row>25</xdr:row>
      <xdr:rowOff>19878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2344399" y="3979628"/>
          <a:ext cx="2113722" cy="612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Accidental ingestion of dust (polluted by microorganism) in the air</a:t>
          </a:r>
          <a:r>
            <a:rPr lang="en-GB"/>
            <a:t> </a:t>
          </a:r>
          <a:endParaRPr lang="en-GB" sz="1100"/>
        </a:p>
      </xdr:txBody>
    </xdr:sp>
    <xdr:clientData/>
  </xdr:twoCellAnchor>
  <xdr:oneCellAnchor>
    <xdr:from>
      <xdr:col>43</xdr:col>
      <xdr:colOff>213360</xdr:colOff>
      <xdr:row>34</xdr:row>
      <xdr:rowOff>60960</xdr:rowOff>
    </xdr:from>
    <xdr:ext cx="1994136" cy="3956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 txBox="1"/>
          </xdr:nvSpPr>
          <xdr:spPr>
            <a:xfrm>
              <a:off x="26426160" y="6278880"/>
              <a:ext cx="1994136" cy="3956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𝑷</m:t>
                        </m:r>
                      </m:e>
                      <m:sub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𝒊𝒍𝒍</m:t>
                        </m:r>
                      </m:sub>
                    </m:sSub>
                    <m:r>
                      <a:rPr lang="en-GB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GB" sz="1100" b="1" i="1">
                        <a:latin typeface="Cambria Math" panose="02040503050406030204" pitchFamily="18" charset="0"/>
                      </a:rPr>
                      <m:t>𝟏</m:t>
                    </m:r>
                    <m:r>
                      <a:rPr lang="en-GB" sz="1100" b="1" i="1">
                        <a:latin typeface="Cambria Math" panose="02040503050406030204" pitchFamily="18" charset="0"/>
                      </a:rPr>
                      <m:t>−</m:t>
                    </m:r>
                    <m:sSup>
                      <m:sSupPr>
                        <m:ctrlP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begChr m:val="["/>
                            <m:endChr m:val="]"/>
                            <m:ctrlPr>
                              <a:rPr lang="en-GB" sz="1100" b="1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𝟏</m:t>
                            </m:r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+</m:t>
                            </m:r>
                            <m:f>
                              <m:fPr>
                                <m:ctrlP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𝑫</m:t>
                                </m:r>
                              </m:num>
                              <m:den>
                                <m:sSub>
                                  <m:sSubPr>
                                    <m:ctrlPr>
                                      <a:rPr lang="en-GB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𝑵</m:t>
                                    </m:r>
                                  </m:e>
                                  <m:sub>
                                    <m:r>
                                      <a:rPr lang="en-GB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𝟓𝟎</m:t>
                                    </m:r>
                                  </m:sub>
                                </m:sSub>
                              </m:den>
                            </m:f>
                            <m:d>
                              <m:dPr>
                                <m:ctrlP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p>
                                  <m:sSupPr>
                                    <m:ctrlPr>
                                      <a:rPr lang="en-GB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r>
                                      <a:rPr lang="en-GB" sz="1100" b="1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𝟐</m:t>
                                    </m:r>
                                  </m:e>
                                  <m:sup>
                                    <m:f>
                                      <m:fPr>
                                        <m:ctrlPr>
                                          <a:rPr lang="en-GB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GB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𝟏</m:t>
                                        </m:r>
                                      </m:num>
                                      <m:den>
                                        <m:r>
                                          <a:rPr lang="en-GB" sz="1100" b="1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𝜶</m:t>
                                        </m:r>
                                      </m:den>
                                    </m:f>
                                  </m:sup>
                                </m:sSup>
                                <m: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a:rPr lang="en-GB" sz="1100" b="1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𝟏</m:t>
                                </m:r>
                              </m:e>
                            </m:d>
                          </m:e>
                        </m:d>
                      </m:e>
                      <m:sup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GB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𝜶</m:t>
                        </m:r>
                      </m:sup>
                    </m:sSup>
                  </m:oMath>
                </m:oMathPara>
              </a14:m>
              <a:endParaRPr lang="en-GB" sz="1100" b="1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26426160" y="6278880"/>
              <a:ext cx="1994136" cy="3956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1" i="0">
                  <a:latin typeface="Cambria Math" panose="02040503050406030204" pitchFamily="18" charset="0"/>
                </a:rPr>
                <a:t>𝑷_𝒊𝒍𝒍=𝟏−[</a:t>
              </a:r>
              <a:r>
                <a:rPr lang="en-GB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𝟏+𝑫/𝑵_𝟓𝟎  (𝟐^(𝟏/𝜶)−𝟏)]^(</a:t>
              </a:r>
              <a:r>
                <a:rPr lang="en-GB" sz="1100" b="1" i="0">
                  <a:latin typeface="Cambria Math" panose="02040503050406030204" pitchFamily="18" charset="0"/>
                </a:rPr>
                <a:t>−</a:t>
              </a:r>
              <a:r>
                <a:rPr lang="en-GB" sz="11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𝜶</a:t>
              </a:r>
              <a:r>
                <a:rPr lang="en-GB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endParaRPr lang="en-GB" sz="1100" b="1"/>
            </a:p>
          </xdr:txBody>
        </xdr:sp>
      </mc:Fallback>
    </mc:AlternateContent>
    <xdr:clientData/>
  </xdr:oneCellAnchor>
  <xdr:oneCellAnchor>
    <xdr:from>
      <xdr:col>36</xdr:col>
      <xdr:colOff>152400</xdr:colOff>
      <xdr:row>46</xdr:row>
      <xdr:rowOff>15240</xdr:rowOff>
    </xdr:from>
    <xdr:ext cx="1392882" cy="1856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22098000" y="8427720"/>
              <a:ext cx="1392882" cy="185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b="1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𝑷</m:t>
                        </m:r>
                      </m:e>
                      <m:sub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𝒊𝒏𝒇</m:t>
                        </m:r>
                      </m:sub>
                    </m:sSub>
                    <m:r>
                      <a:rPr lang="en-GB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GB" sz="1100" b="1" i="1">
                        <a:latin typeface="Cambria Math" panose="02040503050406030204" pitchFamily="18" charset="0"/>
                      </a:rPr>
                      <m:t>𝟏</m:t>
                    </m:r>
                    <m:r>
                      <a:rPr lang="en-GB" sz="1100" b="1" i="1">
                        <a:latin typeface="Cambria Math" panose="02040503050406030204" pitchFamily="18" charset="0"/>
                      </a:rPr>
                      <m:t>−</m:t>
                    </m:r>
                    <m:sSup>
                      <m:sSupPr>
                        <m:ctrlPr>
                          <a:rPr lang="en-GB" sz="11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𝟏</m:t>
                        </m:r>
                        <m: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𝑷</m:t>
                            </m:r>
                          </m:e>
                          <m:sub>
                            <m:r>
                              <a:rPr lang="en-GB" sz="11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𝒊𝒍𝒍</m:t>
                            </m:r>
                          </m:sub>
                        </m:sSub>
                        <m:r>
                          <a:rPr lang="en-GB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</m:t>
                        </m:r>
                      </m:e>
                      <m:sup>
                        <m:r>
                          <a:rPr lang="en-GB" sz="1100" b="1" i="1">
                            <a:latin typeface="Cambria Math" panose="02040503050406030204" pitchFamily="18" charset="0"/>
                          </a:rPr>
                          <m:t>𝒏</m:t>
                        </m:r>
                      </m:sup>
                    </m:sSup>
                  </m:oMath>
                </m:oMathPara>
              </a14:m>
              <a:endParaRPr lang="en-GB" sz="1100" b="1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22098000" y="8427720"/>
              <a:ext cx="1392882" cy="185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1" i="0">
                  <a:latin typeface="Cambria Math" panose="02040503050406030204" pitchFamily="18" charset="0"/>
                </a:rPr>
                <a:t>𝑷_𝒊𝒏𝒇=𝟏−〖</a:t>
              </a:r>
              <a:r>
                <a:rPr lang="en-GB" sz="11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(𝟏−𝑷_𝒊𝒍𝒍)〗^</a:t>
              </a:r>
              <a:r>
                <a:rPr lang="en-GB" sz="1100" b="1" i="0">
                  <a:latin typeface="Cambria Math" panose="02040503050406030204" pitchFamily="18" charset="0"/>
                </a:rPr>
                <a:t>𝒏</a:t>
              </a:r>
              <a:endParaRPr lang="en-GB" sz="1100" b="1"/>
            </a:p>
          </xdr:txBody>
        </xdr:sp>
      </mc:Fallback>
    </mc:AlternateContent>
    <xdr:clientData/>
  </xdr:oneCellAnchor>
  <xdr:twoCellAnchor>
    <xdr:from>
      <xdr:col>38</xdr:col>
      <xdr:colOff>152399</xdr:colOff>
      <xdr:row>21</xdr:row>
      <xdr:rowOff>139148</xdr:rowOff>
    </xdr:from>
    <xdr:to>
      <xdr:col>41</xdr:col>
      <xdr:colOff>437321</xdr:colOff>
      <xdr:row>25</xdr:row>
      <xdr:rowOff>19878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23317199" y="3979628"/>
          <a:ext cx="2113722" cy="612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Accidental ingestion of dust (polluted by microorganism) in the air</a:t>
          </a:r>
          <a:r>
            <a:rPr lang="en-GB"/>
            <a:t> </a:t>
          </a:r>
          <a:endParaRPr lang="en-GB" sz="1100"/>
        </a:p>
      </xdr:txBody>
    </xdr:sp>
    <xdr:clientData/>
  </xdr:twoCellAnchor>
  <xdr:twoCellAnchor>
    <xdr:from>
      <xdr:col>5</xdr:col>
      <xdr:colOff>212034</xdr:colOff>
      <xdr:row>21</xdr:row>
      <xdr:rowOff>79513</xdr:rowOff>
    </xdr:from>
    <xdr:to>
      <xdr:col>8</xdr:col>
      <xdr:colOff>496956</xdr:colOff>
      <xdr:row>24</xdr:row>
      <xdr:rowOff>145774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3260034" y="3919993"/>
          <a:ext cx="2113722" cy="6149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Accidental ingestion of untreated</a:t>
          </a:r>
          <a:r>
            <a:rPr lang="en-GB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sieve (containing cellulose) </a:t>
          </a:r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4</xdr:row>
      <xdr:rowOff>167640</xdr:rowOff>
    </xdr:from>
    <xdr:to>
      <xdr:col>17</xdr:col>
      <xdr:colOff>190500</xdr:colOff>
      <xdr:row>25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56"/>
  <sheetViews>
    <sheetView tabSelected="1" zoomScale="114" zoomScaleNormal="115" workbookViewId="0">
      <selection activeCell="L8" sqref="L8"/>
    </sheetView>
  </sheetViews>
  <sheetFormatPr baseColWidth="10" defaultColWidth="8.83203125" defaultRowHeight="15" x14ac:dyDescent="0.2"/>
  <cols>
    <col min="1" max="2" width="8.83203125" style="1"/>
    <col min="3" max="3" width="12.83203125" style="1" customWidth="1"/>
    <col min="4" max="4" width="12.1640625" style="1" customWidth="1"/>
    <col min="5" max="5" width="10.33203125" style="1" customWidth="1"/>
    <col min="6" max="16" width="8.83203125" style="1"/>
    <col min="17" max="17" width="20.33203125" style="1" customWidth="1"/>
    <col min="18" max="18" width="12.33203125" style="1" customWidth="1"/>
    <col min="19" max="19" width="8.83203125" style="1" customWidth="1"/>
    <col min="20" max="21" width="8.83203125" style="1"/>
    <col min="22" max="22" width="11" style="1" customWidth="1"/>
    <col min="23" max="24" width="8.83203125" style="1"/>
    <col min="25" max="25" width="17.33203125" style="1" customWidth="1"/>
    <col min="26" max="35" width="8.83203125" style="1"/>
    <col min="36" max="36" width="15.1640625" style="1" customWidth="1"/>
    <col min="37" max="37" width="8.83203125" style="1"/>
    <col min="38" max="38" width="12.5" style="1" customWidth="1"/>
    <col min="39" max="42" width="8.83203125" style="1"/>
    <col min="43" max="43" width="13.6640625" style="1" customWidth="1"/>
    <col min="44" max="16384" width="8.83203125" style="1"/>
  </cols>
  <sheetData>
    <row r="1" spans="1:23" ht="16" thickBot="1" x14ac:dyDescent="0.25">
      <c r="A1" s="27" t="s">
        <v>61</v>
      </c>
      <c r="B1" s="27"/>
      <c r="C1" s="27"/>
      <c r="D1" s="27"/>
      <c r="E1" s="27"/>
    </row>
    <row r="2" spans="1:23" ht="16" thickBot="1" x14ac:dyDescent="0.25">
      <c r="A2" s="26" t="s">
        <v>60</v>
      </c>
      <c r="B2" s="26"/>
      <c r="C2" s="26"/>
      <c r="D2" s="26"/>
      <c r="E2" s="26"/>
      <c r="Q2" s="44" t="s">
        <v>59</v>
      </c>
      <c r="R2" s="41" t="s">
        <v>58</v>
      </c>
      <c r="S2" s="42"/>
      <c r="T2" s="43"/>
      <c r="U2" s="41" t="s">
        <v>57</v>
      </c>
      <c r="V2" s="42"/>
      <c r="W2" s="43"/>
    </row>
    <row r="3" spans="1:23" ht="16" thickBot="1" x14ac:dyDescent="0.25">
      <c r="Q3" s="45" t="s">
        <v>56</v>
      </c>
      <c r="R3" s="22" t="s">
        <v>53</v>
      </c>
      <c r="S3" s="15" t="s">
        <v>55</v>
      </c>
      <c r="T3" s="15" t="s">
        <v>54</v>
      </c>
      <c r="U3" s="22" t="s">
        <v>53</v>
      </c>
      <c r="V3" s="15" t="s">
        <v>52</v>
      </c>
      <c r="W3" s="15" t="s">
        <v>51</v>
      </c>
    </row>
    <row r="4" spans="1:23" ht="16" thickBot="1" x14ac:dyDescent="0.25">
      <c r="A4" s="28" t="s">
        <v>50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Q4" s="46" t="s">
        <v>49</v>
      </c>
      <c r="R4" s="47">
        <f>1.6*10^10</f>
        <v>16000000000</v>
      </c>
      <c r="S4" s="48">
        <f>7.5*10^9</f>
        <v>7500000000</v>
      </c>
      <c r="T4" s="48">
        <f>3.4*10^4</f>
        <v>34000</v>
      </c>
      <c r="U4" s="47">
        <f>1.3*10^9</f>
        <v>1300000000</v>
      </c>
      <c r="V4" s="48">
        <f>1.1*10^5</f>
        <v>110000.00000000001</v>
      </c>
      <c r="W4" s="48">
        <f>5*10^5</f>
        <v>500000</v>
      </c>
    </row>
    <row r="5" spans="1:23" ht="16" thickBot="1" x14ac:dyDescent="0.25">
      <c r="Q5" s="49" t="s">
        <v>48</v>
      </c>
      <c r="R5" s="22">
        <f>9.6*10^6</f>
        <v>9600000</v>
      </c>
      <c r="S5" s="15">
        <f>1.1*10^6</f>
        <v>1100000</v>
      </c>
      <c r="T5" s="15">
        <f t="shared" ref="T5:T11" si="0">4.4*10^3</f>
        <v>4400</v>
      </c>
      <c r="U5" s="22">
        <v>0</v>
      </c>
      <c r="V5" s="15">
        <v>0</v>
      </c>
      <c r="W5" s="15">
        <v>0</v>
      </c>
    </row>
    <row r="6" spans="1:23" ht="16" thickBot="1" x14ac:dyDescent="0.25">
      <c r="Q6" s="49" t="s">
        <v>47</v>
      </c>
      <c r="R6" s="22">
        <f>1.3*10^5</f>
        <v>130000</v>
      </c>
      <c r="S6" s="15">
        <f>1.4*10^5</f>
        <v>140000</v>
      </c>
      <c r="T6" s="15">
        <f t="shared" si="0"/>
        <v>4400</v>
      </c>
      <c r="U6" s="22">
        <f>5.7*10^2</f>
        <v>570</v>
      </c>
      <c r="V6" s="15">
        <v>0</v>
      </c>
      <c r="W6" s="15">
        <v>0</v>
      </c>
    </row>
    <row r="7" spans="1:23" ht="16" thickBot="1" x14ac:dyDescent="0.25">
      <c r="Q7" s="49" t="s">
        <v>46</v>
      </c>
      <c r="R7" s="22">
        <f>2*10^6</f>
        <v>2000000</v>
      </c>
      <c r="S7" s="15">
        <f>5.2*10^5</f>
        <v>520000</v>
      </c>
      <c r="T7" s="15">
        <f t="shared" si="0"/>
        <v>4400</v>
      </c>
      <c r="U7" s="22">
        <f>4*10^4</f>
        <v>40000</v>
      </c>
      <c r="V7" s="15">
        <v>0</v>
      </c>
      <c r="W7" s="15">
        <f>3.7*10^2</f>
        <v>370</v>
      </c>
    </row>
    <row r="8" spans="1:23" ht="16" thickBot="1" x14ac:dyDescent="0.25">
      <c r="A8" s="23" t="s">
        <v>45</v>
      </c>
      <c r="B8" s="29" t="s">
        <v>44</v>
      </c>
      <c r="C8" s="29"/>
      <c r="D8" s="29"/>
      <c r="E8" s="29"/>
      <c r="F8" s="29"/>
      <c r="G8" s="29"/>
      <c r="H8" s="29"/>
      <c r="Q8" s="49" t="s">
        <v>43</v>
      </c>
      <c r="R8" s="22">
        <f>4.6*10^6</f>
        <v>4600000</v>
      </c>
      <c r="S8" s="15">
        <f>4.7*10^6</f>
        <v>4700000</v>
      </c>
      <c r="T8" s="15">
        <f t="shared" si="0"/>
        <v>4400</v>
      </c>
      <c r="U8" s="22">
        <f>5.5*10^4</f>
        <v>55000</v>
      </c>
      <c r="V8" s="15">
        <v>0</v>
      </c>
      <c r="W8" s="15">
        <f>1.7*10^2</f>
        <v>170</v>
      </c>
    </row>
    <row r="9" spans="1:23" ht="16" thickBot="1" x14ac:dyDescent="0.25">
      <c r="A9" s="23"/>
      <c r="B9" s="23" t="s">
        <v>42</v>
      </c>
      <c r="C9" s="29" t="s">
        <v>41</v>
      </c>
      <c r="D9" s="29"/>
      <c r="E9" s="29"/>
      <c r="F9" s="29"/>
      <c r="G9" s="29"/>
      <c r="H9" s="29"/>
      <c r="Q9" s="49" t="s">
        <v>40</v>
      </c>
      <c r="R9" s="22">
        <f>6.5*10^6</f>
        <v>6500000</v>
      </c>
      <c r="S9" s="15">
        <f>2*10^5</f>
        <v>200000</v>
      </c>
      <c r="T9" s="15">
        <f t="shared" si="0"/>
        <v>4400</v>
      </c>
      <c r="U9" s="22">
        <f>5.2*10^3</f>
        <v>5200</v>
      </c>
      <c r="V9" s="15">
        <v>0</v>
      </c>
      <c r="W9" s="15">
        <v>0</v>
      </c>
    </row>
    <row r="10" spans="1:23" ht="16" thickBot="1" x14ac:dyDescent="0.25">
      <c r="A10" s="23"/>
      <c r="B10" s="23"/>
      <c r="C10" s="31" t="s">
        <v>39</v>
      </c>
      <c r="D10" s="31"/>
      <c r="E10" s="31"/>
      <c r="F10" s="31"/>
      <c r="G10" s="31"/>
      <c r="H10" s="31"/>
      <c r="Q10" s="49" t="s">
        <v>38</v>
      </c>
      <c r="R10" s="22">
        <f>8.4*10^6</f>
        <v>8400000</v>
      </c>
      <c r="S10" s="15">
        <f>1.2*10^6</f>
        <v>1200000</v>
      </c>
      <c r="T10" s="15">
        <f t="shared" si="0"/>
        <v>4400</v>
      </c>
      <c r="U10" s="22">
        <f>7.7*10^5</f>
        <v>770000</v>
      </c>
      <c r="V10" s="15">
        <f>6.3*10^3</f>
        <v>6300</v>
      </c>
      <c r="W10" s="15">
        <f>1.2*10^3</f>
        <v>1200</v>
      </c>
    </row>
    <row r="11" spans="1:23" ht="16" thickBot="1" x14ac:dyDescent="0.25">
      <c r="A11" s="23"/>
      <c r="B11" s="23" t="s">
        <v>37</v>
      </c>
      <c r="C11" s="32" t="s">
        <v>36</v>
      </c>
      <c r="D11" s="32"/>
      <c r="E11" s="32"/>
      <c r="F11" s="32"/>
      <c r="G11" s="32"/>
      <c r="H11" s="32"/>
      <c r="Q11" s="49" t="s">
        <v>35</v>
      </c>
      <c r="R11" s="22">
        <f>4*10^6</f>
        <v>4000000</v>
      </c>
      <c r="S11" s="15">
        <f>5.9*10^6</f>
        <v>5900000</v>
      </c>
      <c r="T11" s="15">
        <f t="shared" si="0"/>
        <v>4400</v>
      </c>
      <c r="U11" s="22">
        <v>0</v>
      </c>
      <c r="V11" s="15">
        <v>0</v>
      </c>
      <c r="W11" s="15">
        <v>0</v>
      </c>
    </row>
    <row r="12" spans="1:23" ht="16" thickBot="1" x14ac:dyDescent="0.25">
      <c r="A12" s="23"/>
      <c r="B12" s="23"/>
      <c r="C12" s="31" t="s">
        <v>34</v>
      </c>
      <c r="D12" s="31"/>
      <c r="E12" s="31"/>
      <c r="F12" s="31"/>
      <c r="G12" s="31"/>
      <c r="H12" s="31"/>
      <c r="Q12" s="46" t="s">
        <v>33</v>
      </c>
      <c r="R12" s="47">
        <f>1.8*10^8</f>
        <v>180000000</v>
      </c>
      <c r="S12" s="48">
        <f>5.1*10^7</f>
        <v>51000000</v>
      </c>
      <c r="T12" s="48">
        <f>1.5*10^3</f>
        <v>1500</v>
      </c>
      <c r="U12" s="50" t="s">
        <v>32</v>
      </c>
      <c r="V12" s="51" t="s">
        <v>32</v>
      </c>
      <c r="W12" s="51" t="s">
        <v>32</v>
      </c>
    </row>
    <row r="15" spans="1:23" x14ac:dyDescent="0.2">
      <c r="S15" s="18"/>
    </row>
    <row r="16" spans="1:23" x14ac:dyDescent="0.2">
      <c r="A16" s="28" t="s">
        <v>31</v>
      </c>
      <c r="B16" s="28"/>
      <c r="C16" s="28"/>
      <c r="D16" s="28"/>
      <c r="E16" s="28"/>
      <c r="F16" s="28"/>
      <c r="G16" s="28"/>
      <c r="H16" s="28"/>
      <c r="I16" s="28"/>
      <c r="J16" s="28"/>
      <c r="S16" s="18"/>
    </row>
    <row r="22" spans="1:38" x14ac:dyDescent="0.2">
      <c r="A22" s="25" t="s">
        <v>30</v>
      </c>
      <c r="B22" s="25"/>
      <c r="C22" s="25"/>
      <c r="Q22" s="25" t="s">
        <v>30</v>
      </c>
      <c r="R22" s="25"/>
      <c r="AI22" s="25" t="s">
        <v>30</v>
      </c>
      <c r="AJ22" s="25"/>
    </row>
    <row r="24" spans="1:38" x14ac:dyDescent="0.2">
      <c r="A24" s="33" t="s">
        <v>29</v>
      </c>
      <c r="B24" s="28" t="s">
        <v>28</v>
      </c>
      <c r="C24" s="28"/>
      <c r="P24" s="33" t="s">
        <v>29</v>
      </c>
      <c r="Q24" s="28" t="s">
        <v>28</v>
      </c>
      <c r="R24" s="28"/>
      <c r="AH24" s="33" t="s">
        <v>29</v>
      </c>
      <c r="AI24" s="28" t="s">
        <v>28</v>
      </c>
      <c r="AJ24" s="28"/>
    </row>
    <row r="25" spans="1:38" x14ac:dyDescent="0.2">
      <c r="A25" s="33"/>
      <c r="B25" s="28" t="s">
        <v>27</v>
      </c>
      <c r="C25" s="28"/>
      <c r="D25" s="28"/>
      <c r="E25" s="28"/>
      <c r="P25" s="33"/>
      <c r="Q25" s="28" t="s">
        <v>26</v>
      </c>
      <c r="R25" s="28"/>
      <c r="S25" s="28"/>
      <c r="T25" s="28"/>
      <c r="AH25" s="33"/>
      <c r="AI25" s="28" t="s">
        <v>25</v>
      </c>
      <c r="AJ25" s="28"/>
      <c r="AK25" s="28"/>
      <c r="AL25" s="28"/>
    </row>
    <row r="28" spans="1:38" x14ac:dyDescent="0.2">
      <c r="B28" s="23" t="s">
        <v>5</v>
      </c>
      <c r="C28" s="23"/>
      <c r="D28" s="23"/>
      <c r="E28" s="23"/>
      <c r="Q28" s="23" t="s">
        <v>5</v>
      </c>
      <c r="R28" s="23"/>
      <c r="S28" s="23"/>
      <c r="T28" s="23"/>
      <c r="AI28" s="23" t="s">
        <v>5</v>
      </c>
      <c r="AJ28" s="23"/>
      <c r="AK28" s="23"/>
      <c r="AL28" s="23"/>
    </row>
    <row r="29" spans="1:38" x14ac:dyDescent="0.2">
      <c r="B29" s="23" t="s">
        <v>15</v>
      </c>
      <c r="C29" s="23"/>
      <c r="D29" s="5" t="s">
        <v>14</v>
      </c>
      <c r="E29" s="5" t="s">
        <v>13</v>
      </c>
      <c r="Q29" s="23" t="s">
        <v>15</v>
      </c>
      <c r="R29" s="23"/>
      <c r="S29" s="5" t="s">
        <v>14</v>
      </c>
      <c r="T29" s="5" t="s">
        <v>13</v>
      </c>
      <c r="AI29" s="23" t="s">
        <v>15</v>
      </c>
      <c r="AJ29" s="23"/>
      <c r="AK29" s="5" t="s">
        <v>14</v>
      </c>
      <c r="AL29" s="5" t="s">
        <v>13</v>
      </c>
    </row>
    <row r="30" spans="1:38" x14ac:dyDescent="0.2">
      <c r="B30" s="23" t="s">
        <v>24</v>
      </c>
      <c r="C30" s="23"/>
      <c r="D30" s="5">
        <f>U10</f>
        <v>770000</v>
      </c>
      <c r="E30" s="5" t="s">
        <v>23</v>
      </c>
      <c r="Q30" s="23" t="s">
        <v>24</v>
      </c>
      <c r="R30" s="23"/>
      <c r="S30" s="5">
        <f>V10</f>
        <v>6300</v>
      </c>
      <c r="T30" s="5" t="s">
        <v>23</v>
      </c>
      <c r="AI30" s="23" t="s">
        <v>24</v>
      </c>
      <c r="AJ30" s="23"/>
      <c r="AK30" s="5">
        <f>W10</f>
        <v>1200</v>
      </c>
      <c r="AL30" s="5" t="s">
        <v>23</v>
      </c>
    </row>
    <row r="31" spans="1:38" x14ac:dyDescent="0.2">
      <c r="B31" s="23" t="s">
        <v>22</v>
      </c>
      <c r="C31" s="23"/>
      <c r="D31" s="5">
        <v>0.03</v>
      </c>
      <c r="E31" s="5" t="s">
        <v>21</v>
      </c>
      <c r="Q31" s="23" t="s">
        <v>22</v>
      </c>
      <c r="R31" s="23"/>
      <c r="S31" s="5">
        <v>0.03</v>
      </c>
      <c r="T31" s="5" t="s">
        <v>21</v>
      </c>
      <c r="AI31" s="23" t="s">
        <v>22</v>
      </c>
      <c r="AJ31" s="23"/>
      <c r="AK31" s="5">
        <f>100</f>
        <v>100</v>
      </c>
      <c r="AL31" s="5" t="s">
        <v>21</v>
      </c>
    </row>
    <row r="32" spans="1:38" x14ac:dyDescent="0.2">
      <c r="B32" s="23" t="s">
        <v>20</v>
      </c>
      <c r="C32" s="23"/>
      <c r="D32" s="5">
        <v>10</v>
      </c>
      <c r="E32" s="5" t="s">
        <v>8</v>
      </c>
      <c r="Q32" s="23" t="s">
        <v>20</v>
      </c>
      <c r="R32" s="23"/>
      <c r="S32" s="5">
        <v>10</v>
      </c>
      <c r="T32" s="5" t="s">
        <v>8</v>
      </c>
      <c r="AI32" s="23" t="s">
        <v>20</v>
      </c>
      <c r="AJ32" s="23"/>
      <c r="AK32" s="5">
        <f>1</f>
        <v>1</v>
      </c>
      <c r="AL32" s="5" t="s">
        <v>8</v>
      </c>
    </row>
    <row r="33" spans="2:43" x14ac:dyDescent="0.2">
      <c r="B33" s="34" t="s">
        <v>19</v>
      </c>
      <c r="C33" s="34"/>
      <c r="D33" s="2">
        <f>D30*D31*D32</f>
        <v>231000</v>
      </c>
      <c r="E33" s="2" t="s">
        <v>18</v>
      </c>
      <c r="Q33" s="34" t="s">
        <v>19</v>
      </c>
      <c r="R33" s="34"/>
      <c r="S33" s="7">
        <f>S30*S31*S32</f>
        <v>1890</v>
      </c>
      <c r="T33" s="8" t="s">
        <v>18</v>
      </c>
      <c r="AI33" s="34" t="s">
        <v>19</v>
      </c>
      <c r="AJ33" s="34"/>
      <c r="AK33" s="7">
        <f>AK30*AK31*AK32</f>
        <v>120000</v>
      </c>
      <c r="AL33" s="7" t="s">
        <v>18</v>
      </c>
    </row>
    <row r="36" spans="2:43" x14ac:dyDescent="0.2">
      <c r="B36" s="24" t="s">
        <v>17</v>
      </c>
      <c r="C36" s="24"/>
      <c r="D36" s="26" t="s">
        <v>16</v>
      </c>
      <c r="E36" s="26"/>
      <c r="F36" s="26"/>
      <c r="G36" s="26"/>
      <c r="H36" s="26"/>
      <c r="I36" s="26"/>
      <c r="J36" s="26"/>
      <c r="Q36" s="24" t="s">
        <v>17</v>
      </c>
      <c r="R36" s="24"/>
      <c r="S36" s="26" t="s">
        <v>16</v>
      </c>
      <c r="T36" s="26"/>
      <c r="U36" s="26"/>
      <c r="V36" s="26"/>
      <c r="W36" s="26"/>
      <c r="X36" s="26"/>
      <c r="Y36" s="26"/>
      <c r="AI36" s="24" t="s">
        <v>17</v>
      </c>
      <c r="AJ36" s="24"/>
      <c r="AK36" s="26" t="s">
        <v>16</v>
      </c>
      <c r="AL36" s="26"/>
      <c r="AM36" s="26"/>
      <c r="AN36" s="26"/>
      <c r="AO36" s="26"/>
      <c r="AP36" s="26"/>
      <c r="AQ36" s="26"/>
    </row>
    <row r="39" spans="2:43" x14ac:dyDescent="0.2">
      <c r="B39" s="35" t="s">
        <v>5</v>
      </c>
      <c r="C39" s="36"/>
      <c r="D39" s="37"/>
      <c r="Q39" s="35" t="s">
        <v>5</v>
      </c>
      <c r="R39" s="36"/>
      <c r="S39" s="37"/>
      <c r="AI39" s="35" t="s">
        <v>5</v>
      </c>
      <c r="AJ39" s="36"/>
      <c r="AK39" s="37"/>
    </row>
    <row r="40" spans="2:43" x14ac:dyDescent="0.2">
      <c r="B40" s="5" t="s">
        <v>15</v>
      </c>
      <c r="C40" s="5" t="s">
        <v>14</v>
      </c>
      <c r="D40" s="5" t="s">
        <v>13</v>
      </c>
      <c r="Q40" s="5" t="s">
        <v>15</v>
      </c>
      <c r="R40" s="5" t="s">
        <v>14</v>
      </c>
      <c r="S40" s="5" t="s">
        <v>13</v>
      </c>
      <c r="AI40" s="5" t="s">
        <v>15</v>
      </c>
      <c r="AJ40" s="5" t="s">
        <v>14</v>
      </c>
      <c r="AK40" s="5" t="s">
        <v>13</v>
      </c>
    </row>
    <row r="41" spans="2:43" x14ac:dyDescent="0.2">
      <c r="B41" s="5" t="s">
        <v>12</v>
      </c>
      <c r="C41" s="5">
        <f>D33</f>
        <v>231000</v>
      </c>
      <c r="D41" s="5" t="s">
        <v>11</v>
      </c>
      <c r="Q41" s="5" t="s">
        <v>12</v>
      </c>
      <c r="R41" s="5">
        <f>S33</f>
        <v>1890</v>
      </c>
      <c r="S41" s="5" t="s">
        <v>11</v>
      </c>
      <c r="AI41" s="5" t="s">
        <v>12</v>
      </c>
      <c r="AJ41" s="5">
        <f>AK33</f>
        <v>120000</v>
      </c>
      <c r="AK41" s="5" t="s">
        <v>11</v>
      </c>
    </row>
    <row r="42" spans="2:43" x14ac:dyDescent="0.2">
      <c r="B42" s="6" t="s">
        <v>10</v>
      </c>
      <c r="C42" s="5">
        <f>1.55*10^-1</f>
        <v>0.15500000000000003</v>
      </c>
      <c r="D42" s="5" t="s">
        <v>8</v>
      </c>
      <c r="Q42" s="6" t="s">
        <v>10</v>
      </c>
      <c r="R42" s="5">
        <f>1.55*10^-1</f>
        <v>0.15500000000000003</v>
      </c>
      <c r="S42" s="5" t="s">
        <v>8</v>
      </c>
      <c r="AI42" s="6" t="s">
        <v>10</v>
      </c>
      <c r="AJ42" s="5">
        <f>1.55*10^-1</f>
        <v>0.15500000000000003</v>
      </c>
      <c r="AK42" s="5" t="s">
        <v>8</v>
      </c>
    </row>
    <row r="43" spans="2:43" x14ac:dyDescent="0.2">
      <c r="B43" s="5" t="s">
        <v>9</v>
      </c>
      <c r="C43" s="5">
        <f>2.11*10^6</f>
        <v>2110000</v>
      </c>
      <c r="D43" s="5" t="s">
        <v>8</v>
      </c>
      <c r="Q43" s="5" t="s">
        <v>9</v>
      </c>
      <c r="R43" s="5">
        <f>2.11*10^6</f>
        <v>2110000</v>
      </c>
      <c r="S43" s="5" t="s">
        <v>8</v>
      </c>
      <c r="AI43" s="5" t="s">
        <v>9</v>
      </c>
      <c r="AJ43" s="5">
        <f>2.11*10^6</f>
        <v>2110000</v>
      </c>
      <c r="AK43" s="5" t="s">
        <v>8</v>
      </c>
    </row>
    <row r="44" spans="2:43" x14ac:dyDescent="0.2">
      <c r="B44" s="2" t="s">
        <v>4</v>
      </c>
      <c r="C44" s="2">
        <f>1-(1+D33/C43*(2^(1/C42)-1))^(-C42)</f>
        <v>0.30514894589885777</v>
      </c>
      <c r="D44" s="5"/>
      <c r="Q44" s="2" t="s">
        <v>4</v>
      </c>
      <c r="R44" s="2">
        <f>1-(1+R41/R43*(2^(1/R42)-1))^-R42</f>
        <v>1.1503485617102682E-2</v>
      </c>
      <c r="S44" s="5"/>
      <c r="AI44" s="2" t="s">
        <v>4</v>
      </c>
      <c r="AJ44" s="2">
        <f>1-(1+AJ41/AJ43*(2^(1/AJ42)-1))^-AJ42</f>
        <v>0.24093172290998388</v>
      </c>
      <c r="AK44" s="5"/>
    </row>
    <row r="47" spans="2:43" x14ac:dyDescent="0.2">
      <c r="B47" s="25" t="s">
        <v>7</v>
      </c>
      <c r="C47" s="25"/>
      <c r="Q47" s="25" t="s">
        <v>7</v>
      </c>
      <c r="R47" s="25"/>
      <c r="AI47" s="25" t="s">
        <v>7</v>
      </c>
      <c r="AJ47" s="25"/>
    </row>
    <row r="50" spans="2:38" x14ac:dyDescent="0.2">
      <c r="B50" s="30" t="s">
        <v>6</v>
      </c>
      <c r="C50" s="30"/>
      <c r="D50" s="30"/>
      <c r="E50" s="30"/>
      <c r="Q50" s="30" t="s">
        <v>6</v>
      </c>
      <c r="R50" s="30"/>
      <c r="S50" s="30"/>
      <c r="T50" s="30"/>
      <c r="AI50" s="30" t="s">
        <v>6</v>
      </c>
      <c r="AJ50" s="30"/>
      <c r="AK50" s="30"/>
      <c r="AL50" s="30"/>
    </row>
    <row r="52" spans="2:38" x14ac:dyDescent="0.2">
      <c r="B52" s="29" t="s">
        <v>5</v>
      </c>
      <c r="C52" s="29"/>
      <c r="Q52" s="29" t="s">
        <v>5</v>
      </c>
      <c r="R52" s="29"/>
      <c r="AI52" s="29" t="s">
        <v>5</v>
      </c>
      <c r="AJ52" s="29"/>
    </row>
    <row r="53" spans="2:38" x14ac:dyDescent="0.2">
      <c r="B53" s="4" t="s">
        <v>4</v>
      </c>
      <c r="C53" s="4">
        <f>C44</f>
        <v>0.30514894589885777</v>
      </c>
      <c r="Q53" s="4" t="s">
        <v>4</v>
      </c>
      <c r="R53" s="4">
        <f>R44</f>
        <v>1.1503485617102682E-2</v>
      </c>
      <c r="AI53" s="4" t="s">
        <v>4</v>
      </c>
      <c r="AJ53" s="4">
        <f>AJ44</f>
        <v>0.24093172290998388</v>
      </c>
    </row>
    <row r="54" spans="2:38" x14ac:dyDescent="0.2">
      <c r="B54" s="4" t="s">
        <v>3</v>
      </c>
      <c r="C54" s="4">
        <f>1/365*80</f>
        <v>0.21917808219178081</v>
      </c>
      <c r="Q54" s="4" t="s">
        <v>3</v>
      </c>
      <c r="R54" s="4">
        <f>1/365*80</f>
        <v>0.21917808219178081</v>
      </c>
      <c r="AI54" s="4" t="s">
        <v>3</v>
      </c>
      <c r="AJ54" s="4">
        <f>1/365</f>
        <v>2.7397260273972603E-3</v>
      </c>
    </row>
    <row r="55" spans="2:38" x14ac:dyDescent="0.2">
      <c r="B55" s="3" t="s">
        <v>2</v>
      </c>
      <c r="C55" s="3">
        <f>1-(1-C53)^C54</f>
        <v>7.6692994879078769E-2</v>
      </c>
      <c r="D55" s="25" t="s">
        <v>1</v>
      </c>
      <c r="E55" s="25"/>
      <c r="Q55" s="3" t="s">
        <v>2</v>
      </c>
      <c r="R55" s="3">
        <f>1-(1-R53)^R54</f>
        <v>2.5327132933181673E-3</v>
      </c>
      <c r="S55" s="25" t="s">
        <v>1</v>
      </c>
      <c r="T55" s="25"/>
      <c r="AI55" s="3" t="s">
        <v>2</v>
      </c>
      <c r="AJ55" s="3">
        <f>1-(1-AJ53)^AJ54</f>
        <v>7.5495747606946217E-4</v>
      </c>
      <c r="AK55" s="25" t="s">
        <v>1</v>
      </c>
      <c r="AL55" s="25"/>
    </row>
    <row r="56" spans="2:38" x14ac:dyDescent="0.2">
      <c r="B56" s="2" t="s">
        <v>0</v>
      </c>
      <c r="C56" s="2">
        <f>10^-4</f>
        <v>1E-4</v>
      </c>
      <c r="Q56" s="2" t="s">
        <v>0</v>
      </c>
      <c r="R56" s="2">
        <f>10^-4</f>
        <v>1E-4</v>
      </c>
      <c r="AI56" s="2" t="s">
        <v>0</v>
      </c>
      <c r="AJ56" s="2">
        <f>10^-4</f>
        <v>1E-4</v>
      </c>
    </row>
  </sheetData>
  <mergeCells count="65">
    <mergeCell ref="AI29:AJ29"/>
    <mergeCell ref="S36:Y36"/>
    <mergeCell ref="Q39:S39"/>
    <mergeCell ref="Q47:R47"/>
    <mergeCell ref="AI30:AJ30"/>
    <mergeCell ref="AI31:AJ31"/>
    <mergeCell ref="AI32:AJ32"/>
    <mergeCell ref="AI33:AJ33"/>
    <mergeCell ref="AI36:AJ36"/>
    <mergeCell ref="AI39:AK39"/>
    <mergeCell ref="AI50:AL50"/>
    <mergeCell ref="AK36:AQ36"/>
    <mergeCell ref="AI52:AJ52"/>
    <mergeCell ref="Q52:R52"/>
    <mergeCell ref="Q22:R22"/>
    <mergeCell ref="Q29:R29"/>
    <mergeCell ref="Q30:R30"/>
    <mergeCell ref="Q31:R31"/>
    <mergeCell ref="Q32:R32"/>
    <mergeCell ref="Q33:R33"/>
    <mergeCell ref="AI22:AJ22"/>
    <mergeCell ref="AH24:AH25"/>
    <mergeCell ref="AI24:AJ24"/>
    <mergeCell ref="AI25:AL25"/>
    <mergeCell ref="AI28:AL28"/>
    <mergeCell ref="AI47:AJ47"/>
    <mergeCell ref="U2:W2"/>
    <mergeCell ref="P24:P25"/>
    <mergeCell ref="Q24:R24"/>
    <mergeCell ref="Q25:T25"/>
    <mergeCell ref="Q36:R36"/>
    <mergeCell ref="Q28:T28"/>
    <mergeCell ref="R2:T2"/>
    <mergeCell ref="Q50:T50"/>
    <mergeCell ref="C10:H10"/>
    <mergeCell ref="B11:B12"/>
    <mergeCell ref="C11:H11"/>
    <mergeCell ref="C12:H12"/>
    <mergeCell ref="A22:C22"/>
    <mergeCell ref="A24:A25"/>
    <mergeCell ref="B30:C30"/>
    <mergeCell ref="B31:C31"/>
    <mergeCell ref="B32:C32"/>
    <mergeCell ref="B33:C33"/>
    <mergeCell ref="B28:E28"/>
    <mergeCell ref="D36:J36"/>
    <mergeCell ref="B39:D39"/>
    <mergeCell ref="B47:C47"/>
    <mergeCell ref="B50:E50"/>
    <mergeCell ref="B29:C29"/>
    <mergeCell ref="B36:C36"/>
    <mergeCell ref="AK55:AL55"/>
    <mergeCell ref="A2:E2"/>
    <mergeCell ref="A1:E1"/>
    <mergeCell ref="A4:M4"/>
    <mergeCell ref="A8:A12"/>
    <mergeCell ref="B8:H8"/>
    <mergeCell ref="B9:B10"/>
    <mergeCell ref="C9:H9"/>
    <mergeCell ref="B24:C24"/>
    <mergeCell ref="B25:E25"/>
    <mergeCell ref="A16:J16"/>
    <mergeCell ref="D55:E55"/>
    <mergeCell ref="S55:T55"/>
    <mergeCell ref="B52:C52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8"/>
  <sheetViews>
    <sheetView workbookViewId="0">
      <selection activeCell="C4" sqref="C4"/>
    </sheetView>
  </sheetViews>
  <sheetFormatPr baseColWidth="10" defaultColWidth="8.83203125" defaultRowHeight="15" x14ac:dyDescent="0.2"/>
  <cols>
    <col min="1" max="1" width="14" customWidth="1"/>
  </cols>
  <sheetData>
    <row r="1" spans="1:16" ht="15" customHeight="1" thickBot="1" x14ac:dyDescent="0.25">
      <c r="A1" s="17" t="s">
        <v>59</v>
      </c>
      <c r="B1" s="38" t="s">
        <v>58</v>
      </c>
      <c r="C1" s="39"/>
      <c r="D1" s="40"/>
      <c r="E1" s="19"/>
      <c r="F1" s="19"/>
      <c r="G1" s="19"/>
      <c r="H1" s="19"/>
      <c r="I1" s="19"/>
      <c r="J1" s="19"/>
      <c r="K1" s="19"/>
      <c r="L1" s="41" t="s">
        <v>57</v>
      </c>
      <c r="M1" s="42"/>
      <c r="N1" s="43"/>
    </row>
    <row r="2" spans="1:16" ht="16" thickBot="1" x14ac:dyDescent="0.25">
      <c r="A2" s="16" t="s">
        <v>56</v>
      </c>
      <c r="B2" s="15" t="s">
        <v>53</v>
      </c>
      <c r="C2" s="15" t="s">
        <v>55</v>
      </c>
      <c r="D2" s="15" t="s">
        <v>54</v>
      </c>
      <c r="E2" s="15" t="s">
        <v>73</v>
      </c>
      <c r="F2" s="15" t="s">
        <v>74</v>
      </c>
      <c r="L2" s="15" t="s">
        <v>53</v>
      </c>
      <c r="M2" s="15" t="s">
        <v>52</v>
      </c>
      <c r="N2" s="15" t="s">
        <v>51</v>
      </c>
      <c r="O2" s="15" t="s">
        <v>73</v>
      </c>
      <c r="P2" s="15" t="s">
        <v>74</v>
      </c>
    </row>
    <row r="3" spans="1:16" ht="31.25" customHeight="1" thickBot="1" x14ac:dyDescent="0.25">
      <c r="A3" s="11" t="s">
        <v>49</v>
      </c>
      <c r="B3" s="10">
        <f>1.6*10^10</f>
        <v>16000000000</v>
      </c>
      <c r="C3" s="10">
        <f>7.5*10^9</f>
        <v>7500000000</v>
      </c>
      <c r="D3" s="10">
        <f>3.4*10^4</f>
        <v>34000</v>
      </c>
      <c r="E3" s="10">
        <f>LOG(B3/C3)</f>
        <v>0.32905871926422475</v>
      </c>
      <c r="F3" s="10">
        <f>LOG(B3/D3)</f>
        <v>5.6726410656136697</v>
      </c>
      <c r="L3" s="9">
        <f>1.3*10^9</f>
        <v>1300000000</v>
      </c>
      <c r="M3" s="9">
        <f>1.1*10^5</f>
        <v>110000.00000000001</v>
      </c>
      <c r="N3" s="9">
        <f>5*10^5</f>
        <v>500000</v>
      </c>
      <c r="O3" s="10">
        <f>LOG(L3/M3)</f>
        <v>4.0725506671486116</v>
      </c>
      <c r="P3" s="10">
        <f>LOG(L3/N3)</f>
        <v>3.4149733479708178</v>
      </c>
    </row>
    <row r="4" spans="1:16" ht="16" thickBot="1" x14ac:dyDescent="0.25">
      <c r="A4" s="14" t="s">
        <v>48</v>
      </c>
      <c r="B4" s="13">
        <f>9.6*10^6</f>
        <v>9600000</v>
      </c>
      <c r="C4" s="13">
        <f>1.1*10^6</f>
        <v>1100000</v>
      </c>
      <c r="D4" s="13">
        <f t="shared" ref="D4:D10" si="0">4.4*10^3</f>
        <v>4400</v>
      </c>
      <c r="E4" s="10">
        <f t="shared" ref="E4:E10" si="1">LOG(B4/C4)</f>
        <v>0.94087854788134329</v>
      </c>
      <c r="F4" s="10">
        <f t="shared" ref="F4:F10" si="2">LOG(B4/D4)</f>
        <v>3.338818556553381</v>
      </c>
      <c r="L4" s="12">
        <v>0</v>
      </c>
      <c r="M4" s="12">
        <v>0</v>
      </c>
      <c r="N4" s="12">
        <v>0</v>
      </c>
      <c r="O4" s="10" t="e">
        <f t="shared" ref="O4:O11" si="3">LOG(L4/M4)</f>
        <v>#DIV/0!</v>
      </c>
      <c r="P4" s="10" t="e">
        <f t="shared" ref="P4:P11" si="4">LOG(L4/N4)</f>
        <v>#DIV/0!</v>
      </c>
    </row>
    <row r="5" spans="1:16" ht="21" customHeight="1" thickBot="1" x14ac:dyDescent="0.25">
      <c r="A5" s="14" t="s">
        <v>47</v>
      </c>
      <c r="B5" s="13">
        <f>1.3*10^5</f>
        <v>130000</v>
      </c>
      <c r="C5" s="13">
        <f>1.4*10^5</f>
        <v>140000</v>
      </c>
      <c r="D5" s="13">
        <f t="shared" si="0"/>
        <v>4400</v>
      </c>
      <c r="E5" s="10">
        <f t="shared" si="1"/>
        <v>-3.2184683371401242E-2</v>
      </c>
      <c r="F5" s="10">
        <f t="shared" si="2"/>
        <v>1.4704906758206493</v>
      </c>
      <c r="L5" s="12">
        <f>5.7*10^2</f>
        <v>570</v>
      </c>
      <c r="M5" s="12">
        <v>0</v>
      </c>
      <c r="N5" s="12">
        <v>0</v>
      </c>
      <c r="O5" s="10" t="e">
        <f t="shared" si="3"/>
        <v>#DIV/0!</v>
      </c>
      <c r="P5" s="10" t="e">
        <f t="shared" si="4"/>
        <v>#DIV/0!</v>
      </c>
    </row>
    <row r="6" spans="1:16" ht="16" thickBot="1" x14ac:dyDescent="0.25">
      <c r="A6" s="14" t="s">
        <v>46</v>
      </c>
      <c r="B6" s="13">
        <f>2*10^6</f>
        <v>2000000</v>
      </c>
      <c r="C6" s="13">
        <f>5.2*10^5</f>
        <v>520000</v>
      </c>
      <c r="D6" s="13">
        <f t="shared" si="0"/>
        <v>4400</v>
      </c>
      <c r="E6" s="10">
        <f t="shared" si="1"/>
        <v>0.58502665202918203</v>
      </c>
      <c r="F6" s="10">
        <f t="shared" si="2"/>
        <v>2.6575773191777938</v>
      </c>
      <c r="L6" s="12">
        <f>4*10^4</f>
        <v>40000</v>
      </c>
      <c r="M6" s="12">
        <v>0</v>
      </c>
      <c r="N6" s="12">
        <f>3.7*10^2</f>
        <v>370</v>
      </c>
      <c r="O6" s="10" t="e">
        <f t="shared" si="3"/>
        <v>#DIV/0!</v>
      </c>
      <c r="P6" s="10">
        <f t="shared" si="4"/>
        <v>2.0338582672609675</v>
      </c>
    </row>
    <row r="7" spans="1:16" ht="16" thickBot="1" x14ac:dyDescent="0.25">
      <c r="A7" s="14" t="s">
        <v>43</v>
      </c>
      <c r="B7" s="13">
        <f>4.6*10^6</f>
        <v>4600000</v>
      </c>
      <c r="C7" s="13">
        <f>4.7*10^6</f>
        <v>4700000</v>
      </c>
      <c r="D7" s="13">
        <f t="shared" si="0"/>
        <v>4400</v>
      </c>
      <c r="E7" s="10">
        <f t="shared" si="1"/>
        <v>-9.3400262541434038E-3</v>
      </c>
      <c r="F7" s="10">
        <f t="shared" si="2"/>
        <v>3.0193051551953864</v>
      </c>
      <c r="L7" s="12">
        <f>5.5*10^4</f>
        <v>55000</v>
      </c>
      <c r="M7" s="12">
        <v>0</v>
      </c>
      <c r="N7" s="12">
        <f>1.7*10^2</f>
        <v>170</v>
      </c>
      <c r="O7" s="10" t="e">
        <f t="shared" si="3"/>
        <v>#DIV/0!</v>
      </c>
      <c r="P7" s="10">
        <f t="shared" si="4"/>
        <v>2.50991376811597</v>
      </c>
    </row>
    <row r="8" spans="1:16" ht="21" customHeight="1" thickBot="1" x14ac:dyDescent="0.25">
      <c r="A8" s="14" t="s">
        <v>40</v>
      </c>
      <c r="B8" s="13">
        <f>6.5*10^6</f>
        <v>6500000</v>
      </c>
      <c r="C8" s="13">
        <f>2*10^5</f>
        <v>200000</v>
      </c>
      <c r="D8" s="13">
        <f t="shared" si="0"/>
        <v>4400</v>
      </c>
      <c r="E8" s="10">
        <f t="shared" si="1"/>
        <v>1.5118833609788744</v>
      </c>
      <c r="F8" s="10">
        <f t="shared" si="2"/>
        <v>3.1694606801566683</v>
      </c>
      <c r="L8" s="12">
        <f>5.2*10^3</f>
        <v>5200</v>
      </c>
      <c r="M8" s="12">
        <v>0</v>
      </c>
      <c r="N8" s="12">
        <v>0</v>
      </c>
      <c r="O8" s="10" t="e">
        <f t="shared" si="3"/>
        <v>#DIV/0!</v>
      </c>
      <c r="P8" s="10" t="e">
        <f t="shared" si="4"/>
        <v>#DIV/0!</v>
      </c>
    </row>
    <row r="9" spans="1:16" ht="21" customHeight="1" thickBot="1" x14ac:dyDescent="0.25">
      <c r="A9" s="14" t="s">
        <v>38</v>
      </c>
      <c r="B9" s="13">
        <f>8.4*10^6</f>
        <v>8400000</v>
      </c>
      <c r="C9" s="13">
        <f>1.2*10^6</f>
        <v>1200000</v>
      </c>
      <c r="D9" s="13">
        <f t="shared" si="0"/>
        <v>4400</v>
      </c>
      <c r="E9" s="10">
        <f t="shared" si="1"/>
        <v>0.84509804001425681</v>
      </c>
      <c r="F9" s="10">
        <f t="shared" si="2"/>
        <v>3.2808266095756942</v>
      </c>
      <c r="L9" s="12">
        <f>7.7*10^5</f>
        <v>770000</v>
      </c>
      <c r="M9" s="12">
        <f>6.3*10^3</f>
        <v>6300</v>
      </c>
      <c r="N9" s="12">
        <f>1.2*10^3</f>
        <v>1200</v>
      </c>
      <c r="O9" s="10">
        <f t="shared" si="3"/>
        <v>2.0871501757189002</v>
      </c>
      <c r="P9" s="10">
        <f t="shared" si="4"/>
        <v>2.8073094791248572</v>
      </c>
    </row>
    <row r="10" spans="1:16" ht="21" customHeight="1" thickBot="1" x14ac:dyDescent="0.25">
      <c r="A10" s="14" t="s">
        <v>35</v>
      </c>
      <c r="B10" s="13">
        <f>4*10^6</f>
        <v>4000000</v>
      </c>
      <c r="C10" s="13">
        <f>5.9*10^6</f>
        <v>5900000</v>
      </c>
      <c r="D10" s="13">
        <f t="shared" si="0"/>
        <v>4400</v>
      </c>
      <c r="E10" s="10">
        <f t="shared" si="1"/>
        <v>-0.16879202031418181</v>
      </c>
      <c r="F10" s="10">
        <f t="shared" si="2"/>
        <v>2.9586073148417751</v>
      </c>
      <c r="L10" s="12">
        <v>0</v>
      </c>
      <c r="M10" s="12">
        <v>0</v>
      </c>
      <c r="N10" s="12">
        <v>0</v>
      </c>
      <c r="O10" s="10" t="e">
        <f t="shared" si="3"/>
        <v>#DIV/0!</v>
      </c>
      <c r="P10" s="10" t="e">
        <f t="shared" si="4"/>
        <v>#DIV/0!</v>
      </c>
    </row>
    <row r="11" spans="1:16" ht="21" customHeight="1" thickBot="1" x14ac:dyDescent="0.25">
      <c r="A11" s="11" t="s">
        <v>33</v>
      </c>
      <c r="B11" s="10">
        <f>1.8*10^8</f>
        <v>180000000</v>
      </c>
      <c r="C11" s="10">
        <f>5.1*10^7</f>
        <v>51000000</v>
      </c>
      <c r="D11" s="10">
        <f>1.5*10^3</f>
        <v>1500</v>
      </c>
      <c r="E11" s="10">
        <f>SUM(E4:E10)</f>
        <v>3.6725698709639301</v>
      </c>
      <c r="F11" s="10">
        <f>SUM(F4:F10)</f>
        <v>19.895086311321347</v>
      </c>
      <c r="L11" s="9" t="s">
        <v>32</v>
      </c>
      <c r="M11" s="9" t="s">
        <v>32</v>
      </c>
      <c r="N11" s="9" t="s">
        <v>32</v>
      </c>
      <c r="O11" s="10" t="e">
        <f t="shared" si="3"/>
        <v>#VALUE!</v>
      </c>
      <c r="P11" s="10" t="e">
        <f t="shared" si="4"/>
        <v>#VALUE!</v>
      </c>
    </row>
    <row r="14" spans="1:16" x14ac:dyDescent="0.2">
      <c r="A14" t="s">
        <v>75</v>
      </c>
    </row>
    <row r="15" spans="1:16" x14ac:dyDescent="0.2">
      <c r="A15" t="s">
        <v>76</v>
      </c>
      <c r="B15">
        <v>7.8899999999999998E-2</v>
      </c>
      <c r="C15" t="s">
        <v>77</v>
      </c>
    </row>
    <row r="16" spans="1:16" x14ac:dyDescent="0.2">
      <c r="A16" t="s">
        <v>78</v>
      </c>
      <c r="B16">
        <f>0.1325/60</f>
        <v>2.2083333333333334E-3</v>
      </c>
      <c r="C16" t="s">
        <v>79</v>
      </c>
      <c r="D16" t="s">
        <v>84</v>
      </c>
    </row>
    <row r="17" spans="1:4" x14ac:dyDescent="0.2">
      <c r="A17" t="s">
        <v>80</v>
      </c>
      <c r="B17">
        <v>1.9E-2</v>
      </c>
      <c r="C17" t="s">
        <v>81</v>
      </c>
    </row>
    <row r="18" spans="1:4" x14ac:dyDescent="0.2">
      <c r="A18" t="s">
        <v>82</v>
      </c>
      <c r="B18">
        <f>(120+300)/2</f>
        <v>210</v>
      </c>
      <c r="C18" t="s">
        <v>83</v>
      </c>
      <c r="D18" t="s">
        <v>85</v>
      </c>
    </row>
  </sheetData>
  <mergeCells count="2">
    <mergeCell ref="B1:D1"/>
    <mergeCell ref="L1:N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"/>
  <sheetViews>
    <sheetView workbookViewId="0">
      <selection activeCell="U3" sqref="U3"/>
    </sheetView>
  </sheetViews>
  <sheetFormatPr baseColWidth="10" defaultColWidth="8.83203125" defaultRowHeight="15" x14ac:dyDescent="0.2"/>
  <cols>
    <col min="1" max="1" width="15.1640625" bestFit="1" customWidth="1"/>
    <col min="2" max="3" width="9.33203125" bestFit="1" customWidth="1"/>
  </cols>
  <sheetData>
    <row r="1" spans="1:4" x14ac:dyDescent="0.2">
      <c r="A1" s="20" t="s">
        <v>62</v>
      </c>
      <c r="B1" s="20" t="s">
        <v>63</v>
      </c>
      <c r="C1" s="20" t="s">
        <v>64</v>
      </c>
      <c r="D1" s="20" t="s">
        <v>65</v>
      </c>
    </row>
    <row r="2" spans="1:4" x14ac:dyDescent="0.2">
      <c r="A2" s="20" t="s">
        <v>66</v>
      </c>
      <c r="B2" s="20" t="s">
        <v>67</v>
      </c>
      <c r="C2" s="20" t="s">
        <v>68</v>
      </c>
      <c r="D2" s="20"/>
    </row>
    <row r="3" spans="1:4" x14ac:dyDescent="0.2">
      <c r="A3" s="20" t="s">
        <v>70</v>
      </c>
      <c r="B3" s="21">
        <v>6.3968999999999997E-9</v>
      </c>
      <c r="C3" s="21">
        <v>5.7472999999999997E-5</v>
      </c>
      <c r="D3" s="21">
        <v>1E-4</v>
      </c>
    </row>
    <row r="4" spans="1:4" x14ac:dyDescent="0.2">
      <c r="A4" s="20" t="s">
        <v>71</v>
      </c>
      <c r="B4" s="21">
        <v>8.7105999999999993E-9</v>
      </c>
      <c r="C4" s="21">
        <v>6.6727E-5</v>
      </c>
      <c r="D4" s="21">
        <v>1E-4</v>
      </c>
    </row>
    <row r="5" spans="1:4" x14ac:dyDescent="0.2">
      <c r="A5" s="20" t="s">
        <v>72</v>
      </c>
      <c r="B5" s="21">
        <v>6.5301999999999996E-9</v>
      </c>
      <c r="C5" s="21">
        <v>5.7451999999999998E-5</v>
      </c>
      <c r="D5" s="21">
        <v>1E-4</v>
      </c>
    </row>
    <row r="6" spans="1:4" x14ac:dyDescent="0.2">
      <c r="A6" s="20" t="s">
        <v>69</v>
      </c>
      <c r="B6" s="20"/>
      <c r="C6" s="20"/>
      <c r="D6" s="20"/>
    </row>
    <row r="7" spans="1:4" x14ac:dyDescent="0.2">
      <c r="A7" s="20"/>
      <c r="B7" s="20"/>
      <c r="C7" s="20"/>
      <c r="D7" s="20"/>
    </row>
    <row r="8" spans="1:4" x14ac:dyDescent="0.2">
      <c r="A8" s="20"/>
      <c r="B8" s="20"/>
      <c r="C8" s="20"/>
      <c r="D8" s="20"/>
    </row>
    <row r="9" spans="1:4" x14ac:dyDescent="0.2">
      <c r="A9" s="20"/>
      <c r="B9" s="20"/>
      <c r="C9" s="20"/>
      <c r="D9" s="20"/>
    </row>
    <row r="10" spans="1:4" x14ac:dyDescent="0.2">
      <c r="A10" s="20"/>
      <c r="B10" s="20"/>
      <c r="C10" s="20"/>
      <c r="D10" s="20"/>
    </row>
    <row r="11" spans="1:4" x14ac:dyDescent="0.2">
      <c r="A11" s="20"/>
      <c r="B11" s="20"/>
      <c r="C11" s="20"/>
      <c r="D11" s="20"/>
    </row>
    <row r="12" spans="1:4" x14ac:dyDescent="0.2">
      <c r="A12" s="20"/>
      <c r="B12" s="21"/>
      <c r="C12" s="21"/>
      <c r="D12" s="20"/>
    </row>
    <row r="13" spans="1:4" x14ac:dyDescent="0.2">
      <c r="A13" s="20"/>
      <c r="B13" s="21"/>
      <c r="C13" s="21"/>
      <c r="D13" s="20"/>
    </row>
    <row r="14" spans="1:4" x14ac:dyDescent="0.2">
      <c r="A14" s="20"/>
      <c r="B14" s="21"/>
      <c r="C14" s="21"/>
      <c r="D14" s="20"/>
    </row>
    <row r="15" spans="1:4" x14ac:dyDescent="0.2">
      <c r="A15" s="20"/>
      <c r="B15" s="21"/>
      <c r="C15" s="21"/>
      <c r="D15" s="2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Modele_Exposure_Sieve</vt:lpstr>
      <vt:lpstr>Sheet2</vt:lpstr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Arianna Nativio</dc:creator>
  <cp:lastModifiedBy>Arianna Nativio</cp:lastModifiedBy>
  <dcterms:created xsi:type="dcterms:W3CDTF">2022-10-24T14:25:37Z</dcterms:created>
  <dcterms:modified xsi:type="dcterms:W3CDTF">2024-02-13T10:48:48Z</dcterms:modified>
</cp:coreProperties>
</file>