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Experiments\Temperature gradients\"/>
    </mc:Choice>
  </mc:AlternateContent>
  <bookViews>
    <workbookView xWindow="0" yWindow="0" windowWidth="22152" windowHeight="9972"/>
  </bookViews>
  <sheets>
    <sheet name="Cations" sheetId="1" r:id="rId1"/>
    <sheet name="Anions" sheetId="2" r:id="rId2"/>
    <sheet name="Compare" sheetId="3" r:id="rId3"/>
    <sheet name="Averaged Value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I34" i="1"/>
  <c r="J34" i="1" s="1"/>
  <c r="M34" i="1" s="1"/>
  <c r="D34" i="1"/>
  <c r="E34" i="1"/>
  <c r="F34" i="1"/>
  <c r="D37" i="2" l="1"/>
  <c r="E37" i="2"/>
  <c r="F37" i="2"/>
  <c r="D97" i="3" l="1"/>
  <c r="E97" i="3"/>
  <c r="G97" i="3"/>
  <c r="C97" i="3"/>
  <c r="G90" i="3"/>
  <c r="D90" i="3"/>
  <c r="E90" i="3"/>
  <c r="C90" i="3"/>
  <c r="G96" i="3"/>
  <c r="K89" i="3"/>
  <c r="N91" i="3"/>
  <c r="J88" i="3"/>
  <c r="G91" i="3"/>
  <c r="D88" i="3"/>
  <c r="C88" i="3"/>
  <c r="G76" i="3"/>
  <c r="G75" i="3"/>
  <c r="G74" i="3"/>
  <c r="G73" i="3"/>
  <c r="G72" i="3"/>
  <c r="G70" i="3"/>
  <c r="N90" i="3" s="1"/>
  <c r="G71" i="3"/>
  <c r="G99" i="3" s="1"/>
  <c r="G69" i="3"/>
  <c r="G67" i="3"/>
  <c r="G66" i="3"/>
  <c r="G65" i="3"/>
  <c r="N98" i="3" s="1"/>
  <c r="G64" i="3"/>
  <c r="G63" i="3"/>
  <c r="G61" i="3"/>
  <c r="N97" i="3" s="1"/>
  <c r="G62" i="3"/>
  <c r="G60" i="3"/>
  <c r="N89" i="3" s="1"/>
  <c r="G59" i="3"/>
  <c r="G58" i="3"/>
  <c r="G56" i="3"/>
  <c r="G57" i="3"/>
  <c r="G55" i="3"/>
  <c r="G54" i="3"/>
  <c r="G88" i="3" s="1"/>
  <c r="G53" i="3"/>
  <c r="D54" i="3"/>
  <c r="D55" i="3"/>
  <c r="D56" i="3"/>
  <c r="D57" i="3"/>
  <c r="E57" i="3" s="1"/>
  <c r="D58" i="3"/>
  <c r="E58" i="3" s="1"/>
  <c r="D59" i="3"/>
  <c r="E59" i="3" s="1"/>
  <c r="D60" i="3"/>
  <c r="D61" i="3"/>
  <c r="E61" i="3" s="1"/>
  <c r="D62" i="3"/>
  <c r="D63" i="3"/>
  <c r="D64" i="3"/>
  <c r="D65" i="3"/>
  <c r="E65" i="3" s="1"/>
  <c r="D66" i="3"/>
  <c r="E66" i="3" s="1"/>
  <c r="D67" i="3"/>
  <c r="E67" i="3" s="1"/>
  <c r="D68" i="3"/>
  <c r="D69" i="3"/>
  <c r="E69" i="3" s="1"/>
  <c r="L98" i="3" s="1"/>
  <c r="D70" i="3"/>
  <c r="D71" i="3"/>
  <c r="D72" i="3"/>
  <c r="D73" i="3"/>
  <c r="E73" i="3" s="1"/>
  <c r="D74" i="3"/>
  <c r="E74" i="3" s="1"/>
  <c r="D75" i="3"/>
  <c r="E75" i="3" s="1"/>
  <c r="D76" i="3"/>
  <c r="C76" i="3"/>
  <c r="J91" i="3" s="1"/>
  <c r="C75" i="3"/>
  <c r="C74" i="3"/>
  <c r="C73" i="3"/>
  <c r="C72" i="3"/>
  <c r="C91" i="3" s="1"/>
  <c r="C71" i="3"/>
  <c r="J99" i="3" s="1"/>
  <c r="C70" i="3"/>
  <c r="C69" i="3"/>
  <c r="C98" i="3" s="1"/>
  <c r="C68" i="3"/>
  <c r="J90" i="3" s="1"/>
  <c r="C67" i="3"/>
  <c r="C66" i="3"/>
  <c r="C65" i="3"/>
  <c r="J98" i="3" s="1"/>
  <c r="C64" i="3"/>
  <c r="C63" i="3"/>
  <c r="C62" i="3"/>
  <c r="C61" i="3"/>
  <c r="J97" i="3" s="1"/>
  <c r="C60" i="3"/>
  <c r="C89" i="3" s="1"/>
  <c r="C59" i="3"/>
  <c r="C58" i="3"/>
  <c r="C57" i="3"/>
  <c r="C56" i="3"/>
  <c r="C55" i="3"/>
  <c r="C54" i="3"/>
  <c r="D53" i="3"/>
  <c r="K96" i="3" s="1"/>
  <c r="C53" i="3"/>
  <c r="E53" i="3" s="1"/>
  <c r="D6" i="2"/>
  <c r="E6" i="2" s="1"/>
  <c r="F6" i="2" s="1"/>
  <c r="D7" i="2"/>
  <c r="E7" i="2"/>
  <c r="F7" i="2"/>
  <c r="D8" i="2"/>
  <c r="E8" i="2"/>
  <c r="F8" i="2"/>
  <c r="D10" i="2"/>
  <c r="E10" i="2" s="1"/>
  <c r="F10" i="2" s="1"/>
  <c r="D9" i="2"/>
  <c r="E9" i="2"/>
  <c r="F9" i="2" s="1"/>
  <c r="D14" i="2"/>
  <c r="E14" i="2"/>
  <c r="F14" i="2" s="1"/>
  <c r="D15" i="2"/>
  <c r="E15" i="2"/>
  <c r="F15" i="2" s="1"/>
  <c r="D17" i="2"/>
  <c r="E17" i="2" s="1"/>
  <c r="F17" i="2" s="1"/>
  <c r="D16" i="2"/>
  <c r="E16" i="2"/>
  <c r="F16" i="2" s="1"/>
  <c r="D18" i="2"/>
  <c r="E18" i="2" s="1"/>
  <c r="F18" i="2" s="1"/>
  <c r="D23" i="2"/>
  <c r="E23" i="2"/>
  <c r="F23" i="2"/>
  <c r="D25" i="2"/>
  <c r="E25" i="2" s="1"/>
  <c r="F25" i="2" s="1"/>
  <c r="D24" i="2"/>
  <c r="E24" i="2"/>
  <c r="F24" i="2" s="1"/>
  <c r="D26" i="2"/>
  <c r="E26" i="2" s="1"/>
  <c r="F26" i="2" s="1"/>
  <c r="D27" i="2"/>
  <c r="E27" i="2" s="1"/>
  <c r="F27" i="2" s="1"/>
  <c r="D32" i="2"/>
  <c r="E32" i="2"/>
  <c r="F32" i="2" s="1"/>
  <c r="D31" i="2"/>
  <c r="E31" i="2" s="1"/>
  <c r="F31" i="2" s="1"/>
  <c r="D33" i="2"/>
  <c r="E33" i="2" s="1"/>
  <c r="F33" i="2" s="1"/>
  <c r="D34" i="2"/>
  <c r="E34" i="2" s="1"/>
  <c r="F34" i="2" s="1"/>
  <c r="D36" i="2"/>
  <c r="E36" i="2" s="1"/>
  <c r="F36" i="2" s="1"/>
  <c r="D35" i="2"/>
  <c r="E35" i="2"/>
  <c r="F35" i="2"/>
  <c r="B41" i="2"/>
  <c r="E41" i="2"/>
  <c r="F41" i="2"/>
  <c r="B42" i="2"/>
  <c r="E42" i="2"/>
  <c r="F42" i="2"/>
  <c r="B43" i="2"/>
  <c r="E43" i="2"/>
  <c r="F43" i="2"/>
  <c r="G43" i="2"/>
  <c r="B44" i="2"/>
  <c r="E44" i="2"/>
  <c r="F44" i="2"/>
  <c r="B45" i="2"/>
  <c r="E45" i="2"/>
  <c r="F45" i="2"/>
  <c r="G45" i="2"/>
  <c r="I8" i="1"/>
  <c r="J8" i="1" s="1"/>
  <c r="M8" i="1" s="1"/>
  <c r="I9" i="1"/>
  <c r="J9" i="1" s="1"/>
  <c r="H8" i="1"/>
  <c r="H9" i="1"/>
  <c r="H7" i="1"/>
  <c r="I7" i="1" s="1"/>
  <c r="J7" i="1" s="1"/>
  <c r="M7" i="1" s="1"/>
  <c r="H6" i="1"/>
  <c r="I6" i="1" s="1"/>
  <c r="J6" i="1" s="1"/>
  <c r="M6" i="1" s="1"/>
  <c r="H5" i="1"/>
  <c r="I5" i="1" s="1"/>
  <c r="J5" i="1" s="1"/>
  <c r="M5" i="1" s="1"/>
  <c r="H13" i="1"/>
  <c r="I13" i="1"/>
  <c r="J13" i="1"/>
  <c r="M13" i="1" s="1"/>
  <c r="H14" i="1"/>
  <c r="I14" i="1"/>
  <c r="J14" i="1"/>
  <c r="M14" i="1"/>
  <c r="H16" i="1"/>
  <c r="I16" i="1"/>
  <c r="J16" i="1"/>
  <c r="H15" i="1"/>
  <c r="I15" i="1"/>
  <c r="J15" i="1"/>
  <c r="M15" i="1" s="1"/>
  <c r="H17" i="1"/>
  <c r="I17" i="1"/>
  <c r="J17" i="1" s="1"/>
  <c r="M17" i="1" s="1"/>
  <c r="H20" i="1"/>
  <c r="I20" i="1"/>
  <c r="J20" i="1" s="1"/>
  <c r="M20" i="1" s="1"/>
  <c r="H22" i="1"/>
  <c r="I22" i="1"/>
  <c r="J22" i="1" s="1"/>
  <c r="H21" i="1"/>
  <c r="I21" i="1"/>
  <c r="J21" i="1" s="1"/>
  <c r="M21" i="1" s="1"/>
  <c r="H23" i="1"/>
  <c r="I23" i="1"/>
  <c r="J23" i="1" s="1"/>
  <c r="M23" i="1" s="1"/>
  <c r="H24" i="1"/>
  <c r="I24" i="1"/>
  <c r="J24" i="1" s="1"/>
  <c r="M24" i="1" s="1"/>
  <c r="H29" i="1"/>
  <c r="I29" i="1" s="1"/>
  <c r="J29" i="1" s="1"/>
  <c r="M29" i="1" s="1"/>
  <c r="H28" i="1"/>
  <c r="I28" i="1" s="1"/>
  <c r="J28" i="1" s="1"/>
  <c r="H30" i="1"/>
  <c r="I30" i="1"/>
  <c r="J30" i="1" s="1"/>
  <c r="M30" i="1" s="1"/>
  <c r="H31" i="1"/>
  <c r="I31" i="1"/>
  <c r="J31" i="1"/>
  <c r="H33" i="1"/>
  <c r="I33" i="1" s="1"/>
  <c r="J33" i="1" s="1"/>
  <c r="H32" i="1"/>
  <c r="I32" i="1"/>
  <c r="J32" i="1" s="1"/>
  <c r="M32" i="1" s="1"/>
  <c r="D5" i="1"/>
  <c r="E5" i="1" s="1"/>
  <c r="F5" i="1" s="1"/>
  <c r="D6" i="1"/>
  <c r="E6" i="1"/>
  <c r="F6" i="1" s="1"/>
  <c r="D7" i="1"/>
  <c r="E7" i="1" s="1"/>
  <c r="F7" i="1" s="1"/>
  <c r="D9" i="1"/>
  <c r="E9" i="1" s="1"/>
  <c r="F9" i="1" s="1"/>
  <c r="D8" i="1"/>
  <c r="E8" i="1"/>
  <c r="F8" i="1" s="1"/>
  <c r="D13" i="1"/>
  <c r="E13" i="1" s="1"/>
  <c r="F13" i="1" s="1"/>
  <c r="D14" i="1"/>
  <c r="E14" i="1" s="1"/>
  <c r="F14" i="1" s="1"/>
  <c r="D16" i="1"/>
  <c r="E16" i="1"/>
  <c r="F16" i="1"/>
  <c r="D15" i="1"/>
  <c r="E15" i="1" s="1"/>
  <c r="F15" i="1" s="1"/>
  <c r="D17" i="1"/>
  <c r="E17" i="1"/>
  <c r="F17" i="1" s="1"/>
  <c r="D20" i="1"/>
  <c r="E20" i="1" s="1"/>
  <c r="F20" i="1" s="1"/>
  <c r="D22" i="1"/>
  <c r="E22" i="1"/>
  <c r="F22" i="1" s="1"/>
  <c r="D21" i="1"/>
  <c r="E21" i="1" s="1"/>
  <c r="F21" i="1" s="1"/>
  <c r="D23" i="1"/>
  <c r="E23" i="1" s="1"/>
  <c r="F23" i="1" s="1"/>
  <c r="D24" i="1"/>
  <c r="E24" i="1"/>
  <c r="F24" i="1" s="1"/>
  <c r="D29" i="1"/>
  <c r="E29" i="1" s="1"/>
  <c r="F29" i="1" s="1"/>
  <c r="D28" i="1"/>
  <c r="E28" i="1"/>
  <c r="F28" i="1" s="1"/>
  <c r="D30" i="1"/>
  <c r="E30" i="1"/>
  <c r="F30" i="1" s="1"/>
  <c r="D31" i="1"/>
  <c r="E31" i="1" s="1"/>
  <c r="F31" i="1" s="1"/>
  <c r="D33" i="1"/>
  <c r="E33" i="1" s="1"/>
  <c r="F33" i="1" s="1"/>
  <c r="D32" i="1"/>
  <c r="E32" i="1" s="1"/>
  <c r="F32" i="1" s="1"/>
  <c r="C96" i="3" l="1"/>
  <c r="E98" i="3"/>
  <c r="E76" i="3"/>
  <c r="E60" i="3"/>
  <c r="D98" i="3"/>
  <c r="J89" i="3"/>
  <c r="N88" i="3"/>
  <c r="K98" i="3"/>
  <c r="K88" i="3"/>
  <c r="N99" i="3"/>
  <c r="E72" i="3"/>
  <c r="E56" i="3"/>
  <c r="D89" i="3"/>
  <c r="N96" i="3"/>
  <c r="E71" i="3"/>
  <c r="E63" i="3"/>
  <c r="L96" i="3"/>
  <c r="G89" i="3"/>
  <c r="D99" i="3"/>
  <c r="E96" i="3"/>
  <c r="K99" i="3"/>
  <c r="L90" i="3"/>
  <c r="D91" i="3"/>
  <c r="K91" i="3"/>
  <c r="C99" i="3"/>
  <c r="J96" i="3"/>
  <c r="K97" i="3"/>
  <c r="E64" i="3"/>
  <c r="K90" i="3"/>
  <c r="E70" i="3"/>
  <c r="E62" i="3"/>
  <c r="E54" i="3"/>
  <c r="G98" i="3"/>
  <c r="D96" i="3"/>
  <c r="M9" i="1"/>
  <c r="M22" i="1"/>
  <c r="M31" i="1"/>
  <c r="M16" i="1"/>
  <c r="M33" i="1"/>
  <c r="M28" i="1"/>
  <c r="L89" i="3" l="1"/>
  <c r="E89" i="3"/>
  <c r="L91" i="3"/>
  <c r="E91" i="3"/>
  <c r="L97" i="3"/>
  <c r="L88" i="3"/>
  <c r="E88" i="3"/>
  <c r="L99" i="3"/>
  <c r="E99" i="3"/>
  <c r="D3" i="2" l="1"/>
  <c r="D4" i="2"/>
  <c r="D5" i="2"/>
  <c r="E5" i="2" s="1"/>
  <c r="F5" i="2" s="1"/>
  <c r="D11" i="2"/>
  <c r="E11" i="2" s="1"/>
  <c r="F11" i="2" s="1"/>
  <c r="D12" i="2"/>
  <c r="E12" i="2" s="1"/>
  <c r="F12" i="2" s="1"/>
  <c r="D13" i="2"/>
  <c r="D19" i="2"/>
  <c r="E19" i="2" s="1"/>
  <c r="F19" i="2" s="1"/>
  <c r="D20" i="2"/>
  <c r="E20" i="2" s="1"/>
  <c r="F20" i="2" s="1"/>
  <c r="D21" i="2"/>
  <c r="E21" i="2" s="1"/>
  <c r="F21" i="2" s="1"/>
  <c r="D22" i="2"/>
  <c r="D28" i="2"/>
  <c r="E28" i="2" s="1"/>
  <c r="F28" i="2" s="1"/>
  <c r="D29" i="2"/>
  <c r="E29" i="2" s="1"/>
  <c r="F29" i="2" s="1"/>
  <c r="D30" i="2"/>
  <c r="E30" i="2" s="1"/>
  <c r="F30" i="2" s="1"/>
  <c r="D2" i="2"/>
  <c r="E2" i="2" s="1"/>
  <c r="F2" i="2" s="1"/>
  <c r="E13" i="2"/>
  <c r="F13" i="2" s="1"/>
  <c r="E3" i="2"/>
  <c r="F3" i="2" s="1"/>
  <c r="E22" i="2"/>
  <c r="F22" i="2" s="1"/>
  <c r="E4" i="2"/>
  <c r="F4" i="2" s="1"/>
  <c r="J3" i="1" l="1"/>
  <c r="J12" i="1"/>
  <c r="J18" i="1"/>
  <c r="J26" i="1"/>
  <c r="I3" i="1"/>
  <c r="I4" i="1"/>
  <c r="J4" i="1" s="1"/>
  <c r="I10" i="1"/>
  <c r="J10" i="1" s="1"/>
  <c r="I12" i="1"/>
  <c r="I18" i="1"/>
  <c r="I26" i="1"/>
  <c r="I27" i="1"/>
  <c r="J27" i="1" s="1"/>
  <c r="I2" i="1"/>
  <c r="J2" i="1" s="1"/>
  <c r="H3" i="1"/>
  <c r="H4" i="1"/>
  <c r="H10" i="1"/>
  <c r="H11" i="1"/>
  <c r="I11" i="1" s="1"/>
  <c r="J11" i="1" s="1"/>
  <c r="H12" i="1"/>
  <c r="H18" i="1"/>
  <c r="H19" i="1"/>
  <c r="I19" i="1" s="1"/>
  <c r="J19" i="1" s="1"/>
  <c r="H25" i="1"/>
  <c r="I25" i="1" s="1"/>
  <c r="J25" i="1" s="1"/>
  <c r="H26" i="1"/>
  <c r="H27" i="1"/>
  <c r="H2" i="1"/>
  <c r="D3" i="1" l="1"/>
  <c r="D4" i="1"/>
  <c r="D10" i="1"/>
  <c r="D11" i="1"/>
  <c r="D12" i="1"/>
  <c r="D18" i="1"/>
  <c r="D19" i="1"/>
  <c r="D25" i="1"/>
  <c r="D26" i="1"/>
  <c r="D27" i="1"/>
  <c r="D2" i="1"/>
  <c r="G42" i="1"/>
  <c r="F55" i="1" l="1"/>
  <c r="E55" i="1"/>
  <c r="B55" i="1"/>
  <c r="F54" i="1"/>
  <c r="E54" i="1"/>
  <c r="B54" i="1"/>
  <c r="G53" i="1"/>
  <c r="F53" i="1"/>
  <c r="E53" i="1"/>
  <c r="B53" i="1"/>
  <c r="F52" i="1"/>
  <c r="E52" i="1"/>
  <c r="B52" i="1"/>
  <c r="G51" i="1"/>
  <c r="F51" i="1"/>
  <c r="E51" i="1"/>
  <c r="B51" i="1"/>
  <c r="F50" i="1"/>
  <c r="E50" i="1"/>
  <c r="F46" i="1"/>
  <c r="E46" i="1"/>
  <c r="B46" i="1"/>
  <c r="F45" i="1"/>
  <c r="E45" i="1"/>
  <c r="B45" i="1"/>
  <c r="G44" i="1"/>
  <c r="E18" i="1" s="1"/>
  <c r="F18" i="1" s="1"/>
  <c r="M18" i="1" s="1"/>
  <c r="F44" i="1"/>
  <c r="E44" i="1"/>
  <c r="B44" i="1"/>
  <c r="F43" i="1"/>
  <c r="E43" i="1"/>
  <c r="B43" i="1"/>
  <c r="F42" i="1"/>
  <c r="E42" i="1"/>
  <c r="B42" i="1"/>
  <c r="F41" i="1"/>
  <c r="E41" i="1"/>
  <c r="F40" i="1"/>
  <c r="E40" i="1"/>
  <c r="B40" i="1"/>
  <c r="E2" i="1" l="1"/>
  <c r="F2" i="1" s="1"/>
  <c r="M2" i="1" s="1"/>
  <c r="E10" i="1"/>
  <c r="F10" i="1" s="1"/>
  <c r="M10" i="1" s="1"/>
  <c r="E27" i="1"/>
  <c r="F27" i="1" s="1"/>
  <c r="M27" i="1" s="1"/>
  <c r="E4" i="1"/>
  <c r="F4" i="1" s="1"/>
  <c r="M4" i="1" s="1"/>
  <c r="E12" i="1"/>
  <c r="F12" i="1" s="1"/>
  <c r="M12" i="1" s="1"/>
  <c r="E11" i="1"/>
  <c r="F11" i="1" s="1"/>
  <c r="M11" i="1" s="1"/>
  <c r="E26" i="1"/>
  <c r="F26" i="1" s="1"/>
  <c r="M26" i="1" s="1"/>
  <c r="E3" i="1"/>
  <c r="F3" i="1" s="1"/>
  <c r="M3" i="1" s="1"/>
  <c r="E25" i="1"/>
  <c r="F25" i="1" s="1"/>
  <c r="M25" i="1" s="1"/>
  <c r="E19" i="1"/>
  <c r="F19" i="1" s="1"/>
  <c r="M19" i="1" s="1"/>
</calcChain>
</file>

<file path=xl/sharedStrings.xml><?xml version="1.0" encoding="utf-8"?>
<sst xmlns="http://schemas.openxmlformats.org/spreadsheetml/2006/main" count="293" uniqueCount="73">
  <si>
    <t>Sample</t>
  </si>
  <si>
    <t>Na</t>
  </si>
  <si>
    <t>K</t>
  </si>
  <si>
    <t>13SHL2</t>
  </si>
  <si>
    <t>14RHL2</t>
  </si>
  <si>
    <t>19SHH2</t>
  </si>
  <si>
    <t>20RHH2</t>
  </si>
  <si>
    <t>STD concentration (wt%)</t>
  </si>
  <si>
    <t>Area1</t>
  </si>
  <si>
    <t>Area2</t>
  </si>
  <si>
    <t>Error %</t>
  </si>
  <si>
    <t>Average area</t>
  </si>
  <si>
    <t>Linear fit</t>
  </si>
  <si>
    <t>STD0</t>
  </si>
  <si>
    <t>STD1</t>
  </si>
  <si>
    <t>A</t>
  </si>
  <si>
    <t>STD2</t>
  </si>
  <si>
    <t>STD3</t>
  </si>
  <si>
    <t>B</t>
  </si>
  <si>
    <t>STD4</t>
  </si>
  <si>
    <t>STD5</t>
  </si>
  <si>
    <t>STD6</t>
  </si>
  <si>
    <t>Concentration (wt%)</t>
  </si>
  <si>
    <t>Concentration (g/L)</t>
  </si>
  <si>
    <t>Concentration (mol/L)</t>
  </si>
  <si>
    <t>Molar mass</t>
  </si>
  <si>
    <t>Totaal (mol/L)</t>
  </si>
  <si>
    <t>Start</t>
  </si>
  <si>
    <t>Cl area</t>
  </si>
  <si>
    <t>Cl</t>
  </si>
  <si>
    <t>Cl concentration (wt%)</t>
  </si>
  <si>
    <t>01SLL2</t>
  </si>
  <si>
    <t>08RLH2</t>
  </si>
  <si>
    <t>07SLH2</t>
  </si>
  <si>
    <t>02RLL2</t>
  </si>
  <si>
    <t>[Na+] (mol/L)</t>
  </si>
  <si>
    <t>[K+] (mol/L)</t>
  </si>
  <si>
    <t>[Cl-] (mol/L)</t>
  </si>
  <si>
    <t>[Cat+] (mol/L)</t>
  </si>
  <si>
    <t xml:space="preserve">River water is consistently lower in concentration as we are depleting these streams. </t>
  </si>
  <si>
    <t>No significant difference between the concentrations in the different set-ups of the temperature gradient.</t>
  </si>
  <si>
    <t>Higher total concentration of ions than inlet concentration (leaking from the electrolyte?)</t>
  </si>
  <si>
    <t xml:space="preserve">No significant change in selectivity. Not enough CP for selectivity to change. </t>
  </si>
  <si>
    <t>INLET</t>
  </si>
  <si>
    <t>LL</t>
  </si>
  <si>
    <t>LH</t>
  </si>
  <si>
    <t>HL</t>
  </si>
  <si>
    <t>HH</t>
  </si>
  <si>
    <t>24RHH4</t>
  </si>
  <si>
    <t>23SHH4</t>
  </si>
  <si>
    <t>22RHH3</t>
  </si>
  <si>
    <t>21SHH3</t>
  </si>
  <si>
    <t>18RHL4</t>
  </si>
  <si>
    <t>17SHL4</t>
  </si>
  <si>
    <t>16RHL3</t>
  </si>
  <si>
    <t>12RHL4</t>
  </si>
  <si>
    <t>11SLH4</t>
  </si>
  <si>
    <t>10RLH3</t>
  </si>
  <si>
    <t>15SHL3</t>
  </si>
  <si>
    <t>09SLH3</t>
  </si>
  <si>
    <t>06RLL4</t>
  </si>
  <si>
    <t>05SLL4</t>
  </si>
  <si>
    <t>04RLL3</t>
  </si>
  <si>
    <t>03SLL3</t>
  </si>
  <si>
    <t>Average concentration Desalted (River)</t>
  </si>
  <si>
    <t>Average concentration Enrichment (Sea)</t>
  </si>
  <si>
    <t>12RLH4</t>
  </si>
  <si>
    <t>Standard deviation desalted (River)</t>
  </si>
  <si>
    <t>Na+</t>
  </si>
  <si>
    <t>K+</t>
  </si>
  <si>
    <t>Tot+</t>
  </si>
  <si>
    <t>Cl-</t>
  </si>
  <si>
    <t>Begin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</si>
</sst>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"/>
    <numFmt numFmtId="165" formatCode="0.0"/>
    <numFmt numFmtId="166" formatCode="0.000"/>
    <numFmt numFmtId="167" formatCode="0.0000"/>
    <numFmt numFmtId="168" formatCode="0.00000000"/>
    <numFmt numFmtId="169" formatCode="0.00000E+00"/>
  </numFmts>
  <fonts count="2" x14ac:knownFonts="1">
    <font>
      <sz val="11"/>
      <color theme="1"/>
      <name val="Calibri"/>
      <family val="2"/>
      <scheme val="minor"/>
    </font>
    <font>
      <sz val="8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/>
    <xf numFmtId="166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0" fillId="0" borderId="0" xfId="0" applyNumberFormat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Anions Sea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Compare!$H$96:$H$99</c:f>
              <c:strCache>
                <c:ptCount val="4"/>
                <c:pt idx="0">
                  <c:v>LL</c:v>
                </c:pt>
                <c:pt idx="1">
                  <c:v>LH</c:v>
                </c:pt>
                <c:pt idx="2">
                  <c:v>HL</c:v>
                </c:pt>
                <c:pt idx="3">
                  <c:v>HH</c:v>
                </c:pt>
              </c:strCache>
            </c:strRef>
          </c:xVal>
          <c:yVal>
            <c:numRef>
              <c:f>Compare!$G$96:$G$99</c:f>
              <c:numCache>
                <c:formatCode>0.00E+00</c:formatCode>
                <c:ptCount val="4"/>
                <c:pt idx="0">
                  <c:v>2.7573674595204514E-2</c:v>
                </c:pt>
                <c:pt idx="1">
                  <c:v>2.745705867136812E-2</c:v>
                </c:pt>
                <c:pt idx="2" formatCode="General">
                  <c:v>2.7523522125999057E-2</c:v>
                </c:pt>
                <c:pt idx="3" formatCode="General">
                  <c:v>2.6732515552421246E-2</c:v>
                </c:pt>
              </c:numCache>
            </c:numRef>
          </c:yVal>
          <c:smooth val="0"/>
        </c:ser>
        <c:ser>
          <c:idx val="1"/>
          <c:order val="1"/>
          <c:tx>
            <c:v>Anions river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Compare!$H$88:$H$91</c:f>
              <c:strCache>
                <c:ptCount val="4"/>
                <c:pt idx="0">
                  <c:v>LL</c:v>
                </c:pt>
                <c:pt idx="1">
                  <c:v>LH</c:v>
                </c:pt>
                <c:pt idx="2">
                  <c:v>HL</c:v>
                </c:pt>
                <c:pt idx="3">
                  <c:v>HH</c:v>
                </c:pt>
              </c:strCache>
            </c:strRef>
          </c:xVal>
          <c:yVal>
            <c:numRef>
              <c:f>Compare!$G$88:$G$91</c:f>
              <c:numCache>
                <c:formatCode>General</c:formatCode>
                <c:ptCount val="4"/>
                <c:pt idx="0" formatCode="0.00E+00">
                  <c:v>1.2019701820404323E-2</c:v>
                </c:pt>
                <c:pt idx="1">
                  <c:v>1.237579959567466E-2</c:v>
                </c:pt>
                <c:pt idx="2" formatCode="0.00000E+00">
                  <c:v>1.2390281311706629E-2</c:v>
                </c:pt>
                <c:pt idx="3">
                  <c:v>1.243479353361542E-2</c:v>
                </c:pt>
              </c:numCache>
            </c:numRef>
          </c:yVal>
          <c:smooth val="0"/>
        </c:ser>
        <c:ser>
          <c:idx val="2"/>
          <c:order val="2"/>
          <c:tx>
            <c:v>Cations river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Compare!$E$88:$E$91</c:f>
              <c:numCache>
                <c:formatCode>General</c:formatCode>
                <c:ptCount val="4"/>
                <c:pt idx="0" formatCode="0.00E+00">
                  <c:v>1.3934552131778424E-2</c:v>
                </c:pt>
                <c:pt idx="1">
                  <c:v>1.3530935453795351E-2</c:v>
                </c:pt>
                <c:pt idx="2">
                  <c:v>1.3814831569067999E-2</c:v>
                </c:pt>
                <c:pt idx="3">
                  <c:v>1.3634286125638074E-2</c:v>
                </c:pt>
              </c:numCache>
            </c:numRef>
          </c:yVal>
          <c:smooth val="0"/>
        </c:ser>
        <c:ser>
          <c:idx val="3"/>
          <c:order val="3"/>
          <c:tx>
            <c:v>Cations Sea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Compare!$E$96:$E$99</c:f>
              <c:numCache>
                <c:formatCode>0.00E+00</c:formatCode>
                <c:ptCount val="4"/>
                <c:pt idx="0">
                  <c:v>2.8498728259940164E-2</c:v>
                </c:pt>
                <c:pt idx="1">
                  <c:v>2.8187132187737218E-2</c:v>
                </c:pt>
                <c:pt idx="2" formatCode="General">
                  <c:v>2.829623676000181E-2</c:v>
                </c:pt>
                <c:pt idx="3" formatCode="General">
                  <c:v>2.7593106815972861E-2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734768"/>
        <c:axId val="508735160"/>
      </c:scatterChart>
      <c:valAx>
        <c:axId val="508734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08735160"/>
        <c:crosses val="autoZero"/>
        <c:crossBetween val="midCat"/>
      </c:valAx>
      <c:valAx>
        <c:axId val="50873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0873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Cations depleted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Compare!$L$88:$L$91</c:f>
                <c:numCache>
                  <c:formatCode>General</c:formatCode>
                  <c:ptCount val="4"/>
                  <c:pt idx="0">
                    <c:v>9.3121886708845273E-4</c:v>
                  </c:pt>
                  <c:pt idx="1">
                    <c:v>1.3724915567847821E-4</c:v>
                  </c:pt>
                  <c:pt idx="2">
                    <c:v>1.4214248695115623E-4</c:v>
                  </c:pt>
                  <c:pt idx="3">
                    <c:v>1.0948745443468899E-4</c:v>
                  </c:pt>
                </c:numCache>
              </c:numRef>
            </c:plus>
            <c:minus>
              <c:numRef>
                <c:f>Compare!$L$88:$L$91</c:f>
                <c:numCache>
                  <c:formatCode>General</c:formatCode>
                  <c:ptCount val="4"/>
                  <c:pt idx="0">
                    <c:v>9.3121886708845273E-4</c:v>
                  </c:pt>
                  <c:pt idx="1">
                    <c:v>1.3724915567847821E-4</c:v>
                  </c:pt>
                  <c:pt idx="2">
                    <c:v>1.4214248695115623E-4</c:v>
                  </c:pt>
                  <c:pt idx="3">
                    <c:v>1.0948745443468899E-4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Ref>
              <c:f>Compare!$H$88:$H$91</c:f>
              <c:strCache>
                <c:ptCount val="4"/>
                <c:pt idx="0">
                  <c:v>LL</c:v>
                </c:pt>
                <c:pt idx="1">
                  <c:v>LH</c:v>
                </c:pt>
                <c:pt idx="2">
                  <c:v>HL</c:v>
                </c:pt>
                <c:pt idx="3">
                  <c:v>HH</c:v>
                </c:pt>
              </c:strCache>
            </c:strRef>
          </c:xVal>
          <c:yVal>
            <c:numRef>
              <c:f>Compare!$E$88:$E$91</c:f>
              <c:numCache>
                <c:formatCode>General</c:formatCode>
                <c:ptCount val="4"/>
                <c:pt idx="0" formatCode="0.00E+00">
                  <c:v>1.3934552131778424E-2</c:v>
                </c:pt>
                <c:pt idx="1">
                  <c:v>1.3530935453795351E-2</c:v>
                </c:pt>
                <c:pt idx="2">
                  <c:v>1.3814831569067999E-2</c:v>
                </c:pt>
                <c:pt idx="3">
                  <c:v>1.3634286125638074E-2</c:v>
                </c:pt>
              </c:numCache>
            </c:numRef>
          </c:yVal>
          <c:smooth val="0"/>
        </c:ser>
        <c:ser>
          <c:idx val="1"/>
          <c:order val="1"/>
          <c:tx>
            <c:v>Anions depleted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Compare!$N$88:$N$91</c:f>
                <c:numCache>
                  <c:formatCode>General</c:formatCode>
                  <c:ptCount val="4"/>
                  <c:pt idx="0">
                    <c:v>6.4060046064970269E-4</c:v>
                  </c:pt>
                  <c:pt idx="1">
                    <c:v>5.0370082328026432E-4</c:v>
                  </c:pt>
                  <c:pt idx="2">
                    <c:v>5.8271670114258274E-4</c:v>
                  </c:pt>
                  <c:pt idx="3">
                    <c:v>3.4305822771564596E-4</c:v>
                  </c:pt>
                </c:numCache>
              </c:numRef>
            </c:plus>
            <c:minus>
              <c:numRef>
                <c:f>Compare!$N$88:$N$91</c:f>
                <c:numCache>
                  <c:formatCode>General</c:formatCode>
                  <c:ptCount val="4"/>
                  <c:pt idx="0">
                    <c:v>6.4060046064970269E-4</c:v>
                  </c:pt>
                  <c:pt idx="1">
                    <c:v>5.0370082328026432E-4</c:v>
                  </c:pt>
                  <c:pt idx="2">
                    <c:v>5.8271670114258274E-4</c:v>
                  </c:pt>
                  <c:pt idx="3">
                    <c:v>3.4305822771564596E-4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Ref>
              <c:f>Compare!$H$88:$H$91</c:f>
              <c:strCache>
                <c:ptCount val="4"/>
                <c:pt idx="0">
                  <c:v>LL</c:v>
                </c:pt>
                <c:pt idx="1">
                  <c:v>LH</c:v>
                </c:pt>
                <c:pt idx="2">
                  <c:v>HL</c:v>
                </c:pt>
                <c:pt idx="3">
                  <c:v>HH</c:v>
                </c:pt>
              </c:strCache>
            </c:strRef>
          </c:xVal>
          <c:yVal>
            <c:numRef>
              <c:f>Compare!$G$88:$G$91</c:f>
              <c:numCache>
                <c:formatCode>General</c:formatCode>
                <c:ptCount val="4"/>
                <c:pt idx="0" formatCode="0.00E+00">
                  <c:v>1.2019701820404323E-2</c:v>
                </c:pt>
                <c:pt idx="1">
                  <c:v>1.237579959567466E-2</c:v>
                </c:pt>
                <c:pt idx="2" formatCode="0.00000E+00">
                  <c:v>1.2390281311706629E-2</c:v>
                </c:pt>
                <c:pt idx="3">
                  <c:v>1.243479353361542E-2</c:v>
                </c:pt>
              </c:numCache>
            </c:numRef>
          </c:yVal>
          <c:smooth val="0"/>
        </c:ser>
        <c:ser>
          <c:idx val="2"/>
          <c:order val="2"/>
          <c:tx>
            <c:v>Cations enriched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Compare!$L$96:$L$99</c:f>
                <c:numCache>
                  <c:formatCode>General</c:formatCode>
                  <c:ptCount val="4"/>
                  <c:pt idx="0">
                    <c:v>1.9475140103478639E-4</c:v>
                  </c:pt>
                  <c:pt idx="1">
                    <c:v>2.4818420555873202E-4</c:v>
                  </c:pt>
                  <c:pt idx="2">
                    <c:v>7.2528754174204274E-4</c:v>
                  </c:pt>
                  <c:pt idx="3">
                    <c:v>1.199118296790927E-3</c:v>
                  </c:pt>
                </c:numCache>
              </c:numRef>
            </c:plus>
            <c:minus>
              <c:numRef>
                <c:f>Compare!$L$96:$L$99</c:f>
                <c:numCache>
                  <c:formatCode>General</c:formatCode>
                  <c:ptCount val="4"/>
                  <c:pt idx="0">
                    <c:v>1.9475140103478639E-4</c:v>
                  </c:pt>
                  <c:pt idx="1">
                    <c:v>2.4818420555873202E-4</c:v>
                  </c:pt>
                  <c:pt idx="2">
                    <c:v>7.2528754174204274E-4</c:v>
                  </c:pt>
                  <c:pt idx="3">
                    <c:v>1.199118296790927E-3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Ref>
              <c:f>Compare!$H$96:$H$99</c:f>
              <c:strCache>
                <c:ptCount val="4"/>
                <c:pt idx="0">
                  <c:v>LL</c:v>
                </c:pt>
                <c:pt idx="1">
                  <c:v>LH</c:v>
                </c:pt>
                <c:pt idx="2">
                  <c:v>HL</c:v>
                </c:pt>
                <c:pt idx="3">
                  <c:v>HH</c:v>
                </c:pt>
              </c:strCache>
            </c:strRef>
          </c:xVal>
          <c:yVal>
            <c:numRef>
              <c:f>Compare!$E$96:$E$99</c:f>
              <c:numCache>
                <c:formatCode>0.00E+00</c:formatCode>
                <c:ptCount val="4"/>
                <c:pt idx="0">
                  <c:v>2.8498728259940164E-2</c:v>
                </c:pt>
                <c:pt idx="1">
                  <c:v>2.8187132187737218E-2</c:v>
                </c:pt>
                <c:pt idx="2" formatCode="General">
                  <c:v>2.829623676000181E-2</c:v>
                </c:pt>
                <c:pt idx="3" formatCode="General">
                  <c:v>2.7593106815972861E-2</c:v>
                </c:pt>
              </c:numCache>
            </c:numRef>
          </c:yVal>
          <c:smooth val="0"/>
        </c:ser>
        <c:ser>
          <c:idx val="3"/>
          <c:order val="3"/>
          <c:tx>
            <c:v>Anions enriched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Compare!$N$96:$N$99</c:f>
                <c:numCache>
                  <c:formatCode>General</c:formatCode>
                  <c:ptCount val="4"/>
                  <c:pt idx="0">
                    <c:v>7.0511394943124721E-4</c:v>
                  </c:pt>
                  <c:pt idx="1">
                    <c:v>8.2987651809268931E-4</c:v>
                  </c:pt>
                  <c:pt idx="2">
                    <c:v>8.5075290133713761E-4</c:v>
                  </c:pt>
                  <c:pt idx="3">
                    <c:v>9.6221019128847607E-4</c:v>
                  </c:pt>
                </c:numCache>
              </c:numRef>
            </c:plus>
            <c:minus>
              <c:numRef>
                <c:f>Compare!$N$96:$N$99</c:f>
                <c:numCache>
                  <c:formatCode>General</c:formatCode>
                  <c:ptCount val="4"/>
                  <c:pt idx="0">
                    <c:v>7.0511394943124721E-4</c:v>
                  </c:pt>
                  <c:pt idx="1">
                    <c:v>8.2987651809268931E-4</c:v>
                  </c:pt>
                  <c:pt idx="2">
                    <c:v>8.5075290133713761E-4</c:v>
                  </c:pt>
                  <c:pt idx="3">
                    <c:v>9.6221019128847607E-4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Ref>
              <c:f>Compare!$H$88:$H$91</c:f>
              <c:strCache>
                <c:ptCount val="4"/>
                <c:pt idx="0">
                  <c:v>LL</c:v>
                </c:pt>
                <c:pt idx="1">
                  <c:v>LH</c:v>
                </c:pt>
                <c:pt idx="2">
                  <c:v>HL</c:v>
                </c:pt>
                <c:pt idx="3">
                  <c:v>HH</c:v>
                </c:pt>
              </c:strCache>
            </c:strRef>
          </c:xVal>
          <c:yVal>
            <c:numRef>
              <c:f>Compare!$G$96:$G$99</c:f>
              <c:numCache>
                <c:formatCode>0.00E+00</c:formatCode>
                <c:ptCount val="4"/>
                <c:pt idx="0">
                  <c:v>2.7573674595204514E-2</c:v>
                </c:pt>
                <c:pt idx="1">
                  <c:v>2.745705867136812E-2</c:v>
                </c:pt>
                <c:pt idx="2" formatCode="General">
                  <c:v>2.7523522125999057E-2</c:v>
                </c:pt>
                <c:pt idx="3" formatCode="General">
                  <c:v>2.6732515552421246E-2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735944"/>
        <c:axId val="448142352"/>
      </c:scatterChart>
      <c:valAx>
        <c:axId val="508735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8142352"/>
        <c:crosses val="autoZero"/>
        <c:crossBetween val="midCat"/>
      </c:valAx>
      <c:valAx>
        <c:axId val="44814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08735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21</xdr:row>
      <xdr:rowOff>80010</xdr:rowOff>
    </xdr:from>
    <xdr:to>
      <xdr:col>15</xdr:col>
      <xdr:colOff>0</xdr:colOff>
      <xdr:row>36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69</xdr:row>
      <xdr:rowOff>87630</xdr:rowOff>
    </xdr:from>
    <xdr:to>
      <xdr:col>16</xdr:col>
      <xdr:colOff>472440</xdr:colOff>
      <xdr:row>84</xdr:row>
      <xdr:rowOff>87630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topLeftCell="E7" workbookViewId="0">
      <selection activeCell="G35" sqref="G35"/>
    </sheetView>
  </sheetViews>
  <sheetFormatPr defaultRowHeight="14.4" x14ac:dyDescent="0.3"/>
  <cols>
    <col min="4" max="4" width="18" bestFit="1" customWidth="1"/>
    <col min="5" max="5" width="16.88671875" bestFit="1" customWidth="1"/>
    <col min="6" max="6" width="19.44140625" customWidth="1"/>
    <col min="7" max="7" width="11.88671875" bestFit="1" customWidth="1"/>
    <col min="8" max="8" width="18" bestFit="1" customWidth="1"/>
  </cols>
  <sheetData>
    <row r="1" spans="1:13" x14ac:dyDescent="0.3">
      <c r="A1" t="s">
        <v>0</v>
      </c>
      <c r="C1" t="s">
        <v>1</v>
      </c>
      <c r="D1" t="s">
        <v>22</v>
      </c>
      <c r="E1" t="s">
        <v>23</v>
      </c>
      <c r="F1" t="s">
        <v>24</v>
      </c>
      <c r="G1" t="s">
        <v>2</v>
      </c>
      <c r="H1" t="s">
        <v>22</v>
      </c>
      <c r="I1" t="s">
        <v>23</v>
      </c>
      <c r="J1" t="s">
        <v>24</v>
      </c>
      <c r="M1" t="s">
        <v>26</v>
      </c>
    </row>
    <row r="2" spans="1:13" x14ac:dyDescent="0.3">
      <c r="A2" t="s">
        <v>31</v>
      </c>
      <c r="C2" s="8">
        <v>4.4720000000000004</v>
      </c>
      <c r="D2" s="9">
        <f t="shared" ref="D2:D34" si="0">10*(C2*$G$42+$G$44)</f>
        <v>3.5200520480000011E-2</v>
      </c>
      <c r="E2" s="9">
        <f t="shared" ref="E2:E34" si="1">D2*10</f>
        <v>0.35200520480000008</v>
      </c>
      <c r="F2" s="9">
        <f t="shared" ref="F2:F34" si="2">E2/$J$40</f>
        <v>1.5311364378985467E-2</v>
      </c>
      <c r="G2" s="8">
        <v>3.5840000000000001</v>
      </c>
      <c r="H2" s="9">
        <f t="shared" ref="H2:H34" si="3">(G2*$G$51+$G$53)*10</f>
        <v>5.2621236599999996E-2</v>
      </c>
      <c r="I2" s="9">
        <f t="shared" ref="I2:I34" si="4">H2*10</f>
        <v>0.52621236599999999</v>
      </c>
      <c r="J2" s="9">
        <f t="shared" ref="J2:J34" si="5">I2/$J$49</f>
        <v>1.345870193844745E-2</v>
      </c>
      <c r="M2" s="9">
        <f t="shared" ref="M2:M34" si="6">J2+F2</f>
        <v>2.8770066317432917E-2</v>
      </c>
    </row>
    <row r="3" spans="1:13" x14ac:dyDescent="0.3">
      <c r="A3" t="s">
        <v>31</v>
      </c>
      <c r="C3" s="8">
        <v>4.444</v>
      </c>
      <c r="D3" s="9">
        <f t="shared" si="0"/>
        <v>3.4985897959999998E-2</v>
      </c>
      <c r="E3" s="9">
        <f t="shared" si="1"/>
        <v>0.34985897960000001</v>
      </c>
      <c r="F3" s="9">
        <f t="shared" si="2"/>
        <v>1.5218008838702382E-2</v>
      </c>
      <c r="G3" s="8">
        <v>3.5379999999999998</v>
      </c>
      <c r="H3" s="9">
        <f t="shared" si="3"/>
        <v>5.1941315199999991E-2</v>
      </c>
      <c r="I3" s="9">
        <f t="shared" si="4"/>
        <v>0.51941315199999993</v>
      </c>
      <c r="J3" s="9">
        <f t="shared" si="5"/>
        <v>1.3284801436379584E-2</v>
      </c>
      <c r="M3" s="9">
        <f t="shared" si="6"/>
        <v>2.8502810275081968E-2</v>
      </c>
    </row>
    <row r="4" spans="1:13" x14ac:dyDescent="0.3">
      <c r="A4" t="s">
        <v>34</v>
      </c>
      <c r="C4" s="8">
        <v>2.6259999999999999</v>
      </c>
      <c r="D4" s="9">
        <f t="shared" si="0"/>
        <v>2.105076434E-2</v>
      </c>
      <c r="E4" s="9">
        <f t="shared" si="1"/>
        <v>0.2105076434</v>
      </c>
      <c r="F4" s="9">
        <f t="shared" si="2"/>
        <v>9.15656697317941E-3</v>
      </c>
      <c r="G4" s="8">
        <v>1.571</v>
      </c>
      <c r="H4" s="9">
        <f t="shared" si="3"/>
        <v>2.28672849E-2</v>
      </c>
      <c r="I4" s="9">
        <f t="shared" si="4"/>
        <v>0.22867284900000001</v>
      </c>
      <c r="J4" s="9">
        <f t="shared" si="5"/>
        <v>5.8486647501298011E-3</v>
      </c>
      <c r="M4" s="9">
        <f t="shared" si="6"/>
        <v>1.5005231723309212E-2</v>
      </c>
    </row>
    <row r="5" spans="1:13" x14ac:dyDescent="0.3">
      <c r="A5" t="s">
        <v>63</v>
      </c>
      <c r="C5" s="8">
        <v>2.968</v>
      </c>
      <c r="D5" s="9">
        <f t="shared" si="0"/>
        <v>2.3672225120000001E-2</v>
      </c>
      <c r="E5" s="9">
        <f t="shared" si="1"/>
        <v>0.23672225120000001</v>
      </c>
      <c r="F5" s="9">
        <f t="shared" si="2"/>
        <v>1.0296838215208486E-2</v>
      </c>
      <c r="G5" s="8">
        <v>2.375</v>
      </c>
      <c r="H5" s="9">
        <f t="shared" si="3"/>
        <v>3.4751128499999999E-2</v>
      </c>
      <c r="I5" s="9">
        <f t="shared" si="4"/>
        <v>0.347511285</v>
      </c>
      <c r="J5" s="9">
        <f t="shared" si="5"/>
        <v>8.8881430906203075E-3</v>
      </c>
      <c r="M5" s="9">
        <f t="shared" si="6"/>
        <v>1.9184981305828793E-2</v>
      </c>
    </row>
    <row r="6" spans="1:13" x14ac:dyDescent="0.3">
      <c r="A6" t="s">
        <v>62</v>
      </c>
      <c r="C6" s="8">
        <v>2.1819999999999999</v>
      </c>
      <c r="D6" s="9">
        <f t="shared" si="0"/>
        <v>1.7647464380000002E-2</v>
      </c>
      <c r="E6" s="9">
        <f t="shared" si="1"/>
        <v>0.17647464380000003</v>
      </c>
      <c r="F6" s="9">
        <f t="shared" si="2"/>
        <v>7.6762148344048245E-3</v>
      </c>
      <c r="G6" s="8">
        <v>1.5149999999999999</v>
      </c>
      <c r="H6" s="9">
        <f t="shared" si="3"/>
        <v>2.2039554499999996E-2</v>
      </c>
      <c r="I6" s="9">
        <f t="shared" si="4"/>
        <v>0.22039554499999997</v>
      </c>
      <c r="J6" s="9">
        <f t="shared" si="5"/>
        <v>5.6369597910906604E-3</v>
      </c>
      <c r="M6" s="9">
        <f t="shared" si="6"/>
        <v>1.3313174625495486E-2</v>
      </c>
    </row>
    <row r="7" spans="1:13" x14ac:dyDescent="0.3">
      <c r="A7" t="s">
        <v>61</v>
      </c>
      <c r="C7" s="8">
        <v>4.3890000000000002</v>
      </c>
      <c r="D7" s="9">
        <f t="shared" si="0"/>
        <v>3.4564318010000004E-2</v>
      </c>
      <c r="E7" s="9">
        <f t="shared" si="1"/>
        <v>0.34564318010000006</v>
      </c>
      <c r="F7" s="9">
        <f t="shared" si="2"/>
        <v>1.5034631884574901E-2</v>
      </c>
      <c r="G7" s="8">
        <v>3.5489999999999999</v>
      </c>
      <c r="H7" s="9">
        <f t="shared" si="3"/>
        <v>5.2103905099999993E-2</v>
      </c>
      <c r="I7" s="9">
        <f t="shared" si="4"/>
        <v>0.52103905099999992</v>
      </c>
      <c r="J7" s="9">
        <f t="shared" si="5"/>
        <v>1.3326386339047987E-2</v>
      </c>
      <c r="M7" s="9">
        <f t="shared" si="6"/>
        <v>2.8361018223622886E-2</v>
      </c>
    </row>
    <row r="8" spans="1:13" x14ac:dyDescent="0.3">
      <c r="A8" t="s">
        <v>60</v>
      </c>
      <c r="C8" s="8">
        <v>2.218</v>
      </c>
      <c r="D8" s="9">
        <f t="shared" si="0"/>
        <v>1.7923407620000002E-2</v>
      </c>
      <c r="E8" s="9">
        <f t="shared" si="1"/>
        <v>0.17923407620000001</v>
      </c>
      <c r="F8" s="9">
        <f t="shared" si="2"/>
        <v>7.7962433861973575E-3</v>
      </c>
      <c r="G8" s="8">
        <v>1.544</v>
      </c>
      <c r="H8" s="9">
        <f t="shared" si="3"/>
        <v>2.2468200599999998E-2</v>
      </c>
      <c r="I8" s="9">
        <f t="shared" si="4"/>
        <v>0.22468200599999999</v>
      </c>
      <c r="J8" s="9">
        <f t="shared" si="5"/>
        <v>5.7465927163073581E-3</v>
      </c>
      <c r="M8" s="9">
        <f t="shared" si="6"/>
        <v>1.3542836102504716E-2</v>
      </c>
    </row>
    <row r="9" spans="1:13" x14ac:dyDescent="0.3">
      <c r="A9" t="s">
        <v>60</v>
      </c>
      <c r="C9" s="8">
        <v>2.2050000000000001</v>
      </c>
      <c r="D9" s="9">
        <f t="shared" si="0"/>
        <v>1.7823761450000003E-2</v>
      </c>
      <c r="E9" s="9">
        <f t="shared" si="1"/>
        <v>0.17823761450000003</v>
      </c>
      <c r="F9" s="9">
        <f t="shared" si="2"/>
        <v>7.7528997424944996E-3</v>
      </c>
      <c r="G9" s="8">
        <v>1.5249999999999999</v>
      </c>
      <c r="H9" s="9">
        <f t="shared" si="3"/>
        <v>2.2187363499999998E-2</v>
      </c>
      <c r="I9" s="9">
        <f t="shared" si="4"/>
        <v>0.22187363499999999</v>
      </c>
      <c r="J9" s="9">
        <f t="shared" si="5"/>
        <v>5.6747642480619353E-3</v>
      </c>
      <c r="M9" s="9">
        <f t="shared" si="6"/>
        <v>1.3427663990556435E-2</v>
      </c>
    </row>
    <row r="10" spans="1:13" x14ac:dyDescent="0.3">
      <c r="A10" t="s">
        <v>33</v>
      </c>
      <c r="C10" s="8">
        <v>4.3470000000000004</v>
      </c>
      <c r="D10" s="9">
        <f t="shared" si="0"/>
        <v>3.4242384230000006E-2</v>
      </c>
      <c r="E10" s="9">
        <f t="shared" si="1"/>
        <v>0.34242384230000006</v>
      </c>
      <c r="F10" s="9">
        <f t="shared" si="2"/>
        <v>1.4894598574150278E-2</v>
      </c>
      <c r="G10" s="8">
        <v>3.609</v>
      </c>
      <c r="H10" s="9">
        <f t="shared" si="3"/>
        <v>5.2990759099999993E-2</v>
      </c>
      <c r="I10" s="9">
        <f t="shared" si="4"/>
        <v>0.52990759099999996</v>
      </c>
      <c r="J10" s="9">
        <f t="shared" si="5"/>
        <v>1.3553213080875638E-2</v>
      </c>
      <c r="M10" s="9">
        <f t="shared" si="6"/>
        <v>2.8447811655025915E-2</v>
      </c>
    </row>
    <row r="11" spans="1:13" x14ac:dyDescent="0.3">
      <c r="A11" t="s">
        <v>32</v>
      </c>
      <c r="C11" s="8">
        <v>2.1619999999999999</v>
      </c>
      <c r="D11" s="9">
        <f t="shared" si="0"/>
        <v>1.7494162580000003E-2</v>
      </c>
      <c r="E11" s="9">
        <f t="shared" si="1"/>
        <v>0.17494162580000003</v>
      </c>
      <c r="F11" s="9">
        <f t="shared" si="2"/>
        <v>7.6095323056311944E-3</v>
      </c>
      <c r="G11" s="8">
        <v>1.5549999999999999</v>
      </c>
      <c r="H11" s="9">
        <f t="shared" si="3"/>
        <v>2.2630790499999998E-2</v>
      </c>
      <c r="I11" s="9">
        <f t="shared" si="4"/>
        <v>0.22630790499999998</v>
      </c>
      <c r="J11" s="9">
        <f t="shared" si="5"/>
        <v>5.7881776189757598E-3</v>
      </c>
      <c r="M11" s="9">
        <f t="shared" si="6"/>
        <v>1.3397709924606954E-2</v>
      </c>
    </row>
    <row r="12" spans="1:13" x14ac:dyDescent="0.3">
      <c r="A12" t="s">
        <v>32</v>
      </c>
      <c r="C12" s="8">
        <v>2.1520000000000001</v>
      </c>
      <c r="D12" s="9">
        <f t="shared" si="0"/>
        <v>1.7417511680000004E-2</v>
      </c>
      <c r="E12" s="9">
        <f t="shared" si="1"/>
        <v>0.17417511680000003</v>
      </c>
      <c r="F12" s="9">
        <f t="shared" si="2"/>
        <v>7.5761910412443798E-3</v>
      </c>
      <c r="G12" s="8">
        <v>1.554</v>
      </c>
      <c r="H12" s="9">
        <f t="shared" si="3"/>
        <v>2.26160096E-2</v>
      </c>
      <c r="I12" s="9">
        <f t="shared" si="4"/>
        <v>0.226160096</v>
      </c>
      <c r="J12" s="9">
        <f t="shared" si="5"/>
        <v>5.7843971732786338E-3</v>
      </c>
      <c r="M12" s="9">
        <f t="shared" si="6"/>
        <v>1.3360588214523014E-2</v>
      </c>
    </row>
    <row r="13" spans="1:13" x14ac:dyDescent="0.3">
      <c r="A13" t="s">
        <v>59</v>
      </c>
      <c r="C13" s="8">
        <v>4.306</v>
      </c>
      <c r="D13" s="9">
        <f t="shared" si="0"/>
        <v>3.3928115540000005E-2</v>
      </c>
      <c r="E13" s="9">
        <f t="shared" si="1"/>
        <v>0.33928115540000003</v>
      </c>
      <c r="F13" s="9">
        <f t="shared" si="2"/>
        <v>1.4757899390164336E-2</v>
      </c>
      <c r="G13" s="8">
        <v>3.569</v>
      </c>
      <c r="H13" s="9">
        <f t="shared" si="3"/>
        <v>5.2399523099999998E-2</v>
      </c>
      <c r="I13" s="9">
        <f t="shared" si="4"/>
        <v>0.52399523100000001</v>
      </c>
      <c r="J13" s="9">
        <f t="shared" si="5"/>
        <v>1.3401995252990538E-2</v>
      </c>
      <c r="M13" s="9">
        <f t="shared" si="6"/>
        <v>2.8159894643154874E-2</v>
      </c>
    </row>
    <row r="14" spans="1:13" x14ac:dyDescent="0.3">
      <c r="A14" t="s">
        <v>57</v>
      </c>
      <c r="C14" s="8">
        <v>2.1800000000000002</v>
      </c>
      <c r="D14" s="9">
        <f t="shared" si="0"/>
        <v>1.7632134200000003E-2</v>
      </c>
      <c r="E14" s="9">
        <f t="shared" si="1"/>
        <v>0.17632134200000005</v>
      </c>
      <c r="F14" s="9">
        <f t="shared" si="2"/>
        <v>7.6695465815274626E-3</v>
      </c>
      <c r="G14" s="8">
        <v>1.5840000000000001</v>
      </c>
      <c r="H14" s="9">
        <f t="shared" si="3"/>
        <v>2.30594366E-2</v>
      </c>
      <c r="I14" s="9">
        <f t="shared" si="4"/>
        <v>0.230594366</v>
      </c>
      <c r="J14" s="9">
        <f t="shared" si="5"/>
        <v>5.8978105441924583E-3</v>
      </c>
      <c r="M14" s="9">
        <f t="shared" si="6"/>
        <v>1.3567357125719921E-2</v>
      </c>
    </row>
    <row r="15" spans="1:13" x14ac:dyDescent="0.3">
      <c r="A15" t="s">
        <v>56</v>
      </c>
      <c r="C15" s="8">
        <v>4.2750000000000004</v>
      </c>
      <c r="D15" s="9">
        <f t="shared" si="0"/>
        <v>3.3690497750000006E-2</v>
      </c>
      <c r="E15" s="9">
        <f t="shared" si="1"/>
        <v>0.33690497750000004</v>
      </c>
      <c r="F15" s="9">
        <f t="shared" si="2"/>
        <v>1.465454147056521E-2</v>
      </c>
      <c r="G15" s="8">
        <v>3.5089999999999999</v>
      </c>
      <c r="H15" s="9">
        <f t="shared" si="3"/>
        <v>5.1512669099999998E-2</v>
      </c>
      <c r="I15" s="9">
        <f t="shared" si="4"/>
        <v>0.51512669099999997</v>
      </c>
      <c r="J15" s="9">
        <f t="shared" si="5"/>
        <v>1.3175168511162887E-2</v>
      </c>
      <c r="M15" s="9">
        <f t="shared" si="6"/>
        <v>2.7829709981728096E-2</v>
      </c>
    </row>
    <row r="16" spans="1:13" x14ac:dyDescent="0.3">
      <c r="A16" t="s">
        <v>56</v>
      </c>
      <c r="C16" s="8">
        <v>4.2699999999999996</v>
      </c>
      <c r="D16" s="9">
        <f t="shared" si="0"/>
        <v>3.3652172300000005E-2</v>
      </c>
      <c r="E16" s="9">
        <f t="shared" si="1"/>
        <v>0.33652172300000005</v>
      </c>
      <c r="F16" s="9">
        <f t="shared" si="2"/>
        <v>1.4637870838371803E-2</v>
      </c>
      <c r="G16" s="8">
        <v>3.5790000000000002</v>
      </c>
      <c r="H16" s="9">
        <f t="shared" si="3"/>
        <v>5.2547332100000003E-2</v>
      </c>
      <c r="I16" s="9">
        <f t="shared" si="4"/>
        <v>0.52547332099999999</v>
      </c>
      <c r="J16" s="9">
        <f t="shared" si="5"/>
        <v>1.3439799709961814E-2</v>
      </c>
      <c r="M16" s="9">
        <f t="shared" si="6"/>
        <v>2.8077670548333617E-2</v>
      </c>
    </row>
    <row r="17" spans="1:13" x14ac:dyDescent="0.3">
      <c r="A17" t="s">
        <v>55</v>
      </c>
      <c r="C17" s="8">
        <v>2.181</v>
      </c>
      <c r="D17" s="9">
        <f t="shared" si="0"/>
        <v>1.7639799290000004E-2</v>
      </c>
      <c r="E17" s="9">
        <f t="shared" si="1"/>
        <v>0.17639799290000005</v>
      </c>
      <c r="F17" s="9">
        <f t="shared" si="2"/>
        <v>7.672880707966144E-3</v>
      </c>
      <c r="G17" s="8">
        <v>1.6040000000000001</v>
      </c>
      <c r="H17" s="9">
        <f t="shared" si="3"/>
        <v>2.3355054600000001E-2</v>
      </c>
      <c r="I17" s="9">
        <f t="shared" si="4"/>
        <v>0.23355054600000003</v>
      </c>
      <c r="J17" s="9">
        <f t="shared" si="5"/>
        <v>5.9734194581350089E-3</v>
      </c>
      <c r="M17" s="9">
        <f t="shared" si="6"/>
        <v>1.3646300166101154E-2</v>
      </c>
    </row>
    <row r="18" spans="1:13" x14ac:dyDescent="0.3">
      <c r="A18" t="s">
        <v>3</v>
      </c>
      <c r="C18" s="8">
        <v>4.37</v>
      </c>
      <c r="D18" s="9">
        <f t="shared" si="0"/>
        <v>3.4418681300000004E-2</v>
      </c>
      <c r="E18" s="9">
        <f t="shared" si="1"/>
        <v>0.34418681300000004</v>
      </c>
      <c r="F18" s="9">
        <f t="shared" si="2"/>
        <v>1.4971283482239953E-2</v>
      </c>
      <c r="G18" s="8">
        <v>3.75</v>
      </c>
      <c r="H18" s="9">
        <f t="shared" si="3"/>
        <v>5.5074865999999993E-2</v>
      </c>
      <c r="I18" s="9">
        <f t="shared" si="4"/>
        <v>0.55074865999999989</v>
      </c>
      <c r="J18" s="9">
        <f t="shared" si="5"/>
        <v>1.4086255924170612E-2</v>
      </c>
      <c r="M18" s="9">
        <f t="shared" si="6"/>
        <v>2.9057539406410565E-2</v>
      </c>
    </row>
    <row r="19" spans="1:13" x14ac:dyDescent="0.3">
      <c r="A19" t="s">
        <v>4</v>
      </c>
      <c r="C19" s="8">
        <v>2.198</v>
      </c>
      <c r="D19" s="9">
        <f t="shared" si="0"/>
        <v>1.777010582E-2</v>
      </c>
      <c r="E19" s="9">
        <f t="shared" si="1"/>
        <v>0.17770105819999998</v>
      </c>
      <c r="F19" s="9">
        <f t="shared" si="2"/>
        <v>7.7295608574237265E-3</v>
      </c>
      <c r="G19" s="8">
        <v>1.607</v>
      </c>
      <c r="H19" s="9">
        <f t="shared" si="3"/>
        <v>2.3399397299999999E-2</v>
      </c>
      <c r="I19" s="9">
        <f t="shared" si="4"/>
        <v>0.23399397299999999</v>
      </c>
      <c r="J19" s="9">
        <f t="shared" si="5"/>
        <v>5.9847607952263904E-3</v>
      </c>
      <c r="M19" s="9">
        <f t="shared" si="6"/>
        <v>1.3714321652650116E-2</v>
      </c>
    </row>
    <row r="20" spans="1:13" x14ac:dyDescent="0.3">
      <c r="A20" t="s">
        <v>58</v>
      </c>
      <c r="C20" s="8">
        <v>4.2270000000000003</v>
      </c>
      <c r="D20" s="9">
        <f t="shared" si="0"/>
        <v>3.3322573430000009E-2</v>
      </c>
      <c r="E20" s="9">
        <f t="shared" si="1"/>
        <v>0.33322573430000008</v>
      </c>
      <c r="F20" s="9">
        <f t="shared" si="2"/>
        <v>1.4494503401508499E-2</v>
      </c>
      <c r="G20" s="8">
        <v>3.6539999999999999</v>
      </c>
      <c r="H20" s="9">
        <f t="shared" si="3"/>
        <v>5.3655899599999994E-2</v>
      </c>
      <c r="I20" s="9">
        <f t="shared" si="4"/>
        <v>0.5365589959999999</v>
      </c>
      <c r="J20" s="9">
        <f t="shared" si="5"/>
        <v>1.3723333137246373E-2</v>
      </c>
      <c r="M20" s="9">
        <f t="shared" si="6"/>
        <v>2.821783653875487E-2</v>
      </c>
    </row>
    <row r="21" spans="1:13" x14ac:dyDescent="0.3">
      <c r="A21" t="s">
        <v>54</v>
      </c>
      <c r="C21" s="8">
        <v>1.371</v>
      </c>
      <c r="D21" s="9">
        <f t="shared" si="0"/>
        <v>1.1431076390000003E-2</v>
      </c>
      <c r="E21" s="9">
        <f t="shared" si="1"/>
        <v>0.11431076390000003</v>
      </c>
      <c r="F21" s="9">
        <f t="shared" si="2"/>
        <v>4.9722382926341265E-3</v>
      </c>
      <c r="G21" s="8">
        <v>1.044</v>
      </c>
      <c r="H21" s="9">
        <f t="shared" si="3"/>
        <v>1.5077750599999998E-2</v>
      </c>
      <c r="I21" s="9">
        <f t="shared" si="4"/>
        <v>0.15077750599999998</v>
      </c>
      <c r="J21" s="9">
        <f t="shared" si="5"/>
        <v>3.8563698677436097E-3</v>
      </c>
      <c r="M21" s="9">
        <f t="shared" si="6"/>
        <v>8.8286081603777371E-3</v>
      </c>
    </row>
    <row r="22" spans="1:13" x14ac:dyDescent="0.3">
      <c r="A22" t="s">
        <v>54</v>
      </c>
      <c r="C22" s="8">
        <v>1.3460000000000001</v>
      </c>
      <c r="D22" s="9">
        <f t="shared" si="0"/>
        <v>1.1239449140000003E-2</v>
      </c>
      <c r="E22" s="9">
        <f t="shared" si="1"/>
        <v>0.11239449140000003</v>
      </c>
      <c r="F22" s="9">
        <f t="shared" si="2"/>
        <v>4.8888851316670886E-3</v>
      </c>
      <c r="G22" s="8">
        <v>1.026</v>
      </c>
      <c r="H22" s="9">
        <f t="shared" si="3"/>
        <v>1.4811694399999999E-2</v>
      </c>
      <c r="I22" s="9">
        <f t="shared" si="4"/>
        <v>0.14811694399999997</v>
      </c>
      <c r="J22" s="9">
        <f t="shared" si="5"/>
        <v>3.7883218451953147E-3</v>
      </c>
      <c r="M22" s="9">
        <f t="shared" si="6"/>
        <v>8.6772069768624033E-3</v>
      </c>
    </row>
    <row r="23" spans="1:13" x14ac:dyDescent="0.3">
      <c r="A23" t="s">
        <v>53</v>
      </c>
      <c r="C23" s="8">
        <v>4.133</v>
      </c>
      <c r="D23" s="9">
        <f t="shared" si="0"/>
        <v>3.2602054970000002E-2</v>
      </c>
      <c r="E23" s="9">
        <f t="shared" si="1"/>
        <v>0.32602054970000005</v>
      </c>
      <c r="F23" s="9">
        <f t="shared" si="2"/>
        <v>1.4181095516272437E-2</v>
      </c>
      <c r="G23" s="8">
        <v>3.577</v>
      </c>
      <c r="H23" s="9">
        <f t="shared" si="3"/>
        <v>5.2517770300000002E-2</v>
      </c>
      <c r="I23" s="9">
        <f t="shared" si="4"/>
        <v>0.525177703</v>
      </c>
      <c r="J23" s="9">
        <f t="shared" si="5"/>
        <v>1.3432238818567558E-2</v>
      </c>
      <c r="M23" s="9">
        <f t="shared" si="6"/>
        <v>2.7613334334839996E-2</v>
      </c>
    </row>
    <row r="24" spans="1:13" x14ac:dyDescent="0.3">
      <c r="A24" t="s">
        <v>52</v>
      </c>
      <c r="C24" s="8">
        <v>2.2050000000000001</v>
      </c>
      <c r="D24" s="9">
        <f t="shared" si="0"/>
        <v>1.7823761450000003E-2</v>
      </c>
      <c r="E24" s="9">
        <f t="shared" si="1"/>
        <v>0.17823761450000003</v>
      </c>
      <c r="F24" s="9">
        <f t="shared" si="2"/>
        <v>7.7528997424944996E-3</v>
      </c>
      <c r="G24" s="8">
        <v>1.6539999999999999</v>
      </c>
      <c r="H24" s="9">
        <f t="shared" si="3"/>
        <v>2.4094099599999995E-2</v>
      </c>
      <c r="I24" s="9">
        <f t="shared" si="4"/>
        <v>0.24094099599999996</v>
      </c>
      <c r="J24" s="9">
        <f t="shared" si="5"/>
        <v>6.1624417429913822E-3</v>
      </c>
      <c r="M24" s="9">
        <f t="shared" si="6"/>
        <v>1.3915341485485882E-2</v>
      </c>
    </row>
    <row r="25" spans="1:13" x14ac:dyDescent="0.3">
      <c r="A25" t="s">
        <v>5</v>
      </c>
      <c r="C25" s="8">
        <v>4.2190000000000003</v>
      </c>
      <c r="D25" s="9">
        <f t="shared" si="0"/>
        <v>3.3261252710000008E-2</v>
      </c>
      <c r="E25" s="9">
        <f t="shared" si="1"/>
        <v>0.33261252710000011</v>
      </c>
      <c r="F25" s="9">
        <f t="shared" si="2"/>
        <v>1.4467830389999048E-2</v>
      </c>
      <c r="G25" s="8">
        <v>3.6749999999999998</v>
      </c>
      <c r="H25" s="9">
        <f t="shared" si="3"/>
        <v>5.3966298499999996E-2</v>
      </c>
      <c r="I25" s="9">
        <f t="shared" si="4"/>
        <v>0.53966298499999998</v>
      </c>
      <c r="J25" s="9">
        <f t="shared" si="5"/>
        <v>1.3802722496886053E-2</v>
      </c>
      <c r="M25" s="9">
        <f t="shared" si="6"/>
        <v>2.8270552886885101E-2</v>
      </c>
    </row>
    <row r="26" spans="1:13" x14ac:dyDescent="0.3">
      <c r="A26" t="s">
        <v>5</v>
      </c>
      <c r="C26" s="8">
        <v>4.2</v>
      </c>
      <c r="D26" s="9">
        <f t="shared" si="0"/>
        <v>3.3115616E-2</v>
      </c>
      <c r="E26" s="9">
        <f t="shared" si="1"/>
        <v>0.33115616000000003</v>
      </c>
      <c r="F26" s="9">
        <f t="shared" si="2"/>
        <v>1.4404481987664097E-2</v>
      </c>
      <c r="G26" s="8">
        <v>3.6659999999999999</v>
      </c>
      <c r="H26" s="9">
        <f t="shared" si="3"/>
        <v>5.3833270399999994E-2</v>
      </c>
      <c r="I26" s="9">
        <f t="shared" si="4"/>
        <v>0.53833270399999988</v>
      </c>
      <c r="J26" s="9">
        <f t="shared" si="5"/>
        <v>1.3768698485611902E-2</v>
      </c>
      <c r="M26" s="9">
        <f t="shared" si="6"/>
        <v>2.8173180473276001E-2</v>
      </c>
    </row>
    <row r="27" spans="1:13" x14ac:dyDescent="0.3">
      <c r="A27" t="s">
        <v>6</v>
      </c>
      <c r="C27" s="8">
        <v>2.0830000000000002</v>
      </c>
      <c r="D27" s="9">
        <f t="shared" si="0"/>
        <v>1.6888620470000004E-2</v>
      </c>
      <c r="E27" s="9">
        <f t="shared" si="1"/>
        <v>0.16888620470000004</v>
      </c>
      <c r="F27" s="9">
        <f t="shared" si="2"/>
        <v>7.3461363169753562E-3</v>
      </c>
      <c r="G27" s="8">
        <v>1.655</v>
      </c>
      <c r="H27" s="9">
        <f t="shared" si="3"/>
        <v>2.4108880499999999E-2</v>
      </c>
      <c r="I27" s="9">
        <f t="shared" si="4"/>
        <v>0.24108880499999999</v>
      </c>
      <c r="J27" s="9">
        <f t="shared" si="5"/>
        <v>6.16622218868851E-3</v>
      </c>
      <c r="M27" s="9">
        <f t="shared" si="6"/>
        <v>1.3512358505663867E-2</v>
      </c>
    </row>
    <row r="28" spans="1:13" x14ac:dyDescent="0.3">
      <c r="A28" t="s">
        <v>51</v>
      </c>
      <c r="C28" s="8">
        <v>3.8879999999999999</v>
      </c>
      <c r="D28" s="9">
        <f t="shared" si="0"/>
        <v>3.072410792E-2</v>
      </c>
      <c r="E28" s="9">
        <f t="shared" si="1"/>
        <v>0.30724107919999999</v>
      </c>
      <c r="F28" s="9">
        <f t="shared" si="2"/>
        <v>1.3364234538795466E-2</v>
      </c>
      <c r="G28" s="8">
        <v>3.423</v>
      </c>
      <c r="H28" s="9">
        <f t="shared" si="3"/>
        <v>5.0241511699999991E-2</v>
      </c>
      <c r="I28" s="9">
        <f t="shared" si="4"/>
        <v>0.50241511699999997</v>
      </c>
      <c r="J28" s="9">
        <f t="shared" si="5"/>
        <v>1.2850050181209924E-2</v>
      </c>
      <c r="M28" s="9">
        <f t="shared" si="6"/>
        <v>2.621428472000539E-2</v>
      </c>
    </row>
    <row r="29" spans="1:13" x14ac:dyDescent="0.3">
      <c r="A29" t="s">
        <v>51</v>
      </c>
      <c r="C29" s="8">
        <v>3.9140000000000001</v>
      </c>
      <c r="D29" s="9">
        <f t="shared" si="0"/>
        <v>3.0923400260000004E-2</v>
      </c>
      <c r="E29" s="9">
        <f t="shared" si="1"/>
        <v>0.30923400260000006</v>
      </c>
      <c r="F29" s="9">
        <f t="shared" si="2"/>
        <v>1.3450921826201188E-2</v>
      </c>
      <c r="G29" s="8">
        <v>3.3980000000000001</v>
      </c>
      <c r="H29" s="9">
        <f t="shared" si="3"/>
        <v>4.9871989199999994E-2</v>
      </c>
      <c r="I29" s="9">
        <f t="shared" si="4"/>
        <v>0.49871989199999994</v>
      </c>
      <c r="J29" s="9">
        <f t="shared" si="5"/>
        <v>1.2755539038781735E-2</v>
      </c>
      <c r="M29" s="9">
        <f t="shared" si="6"/>
        <v>2.6206460864982923E-2</v>
      </c>
    </row>
    <row r="30" spans="1:13" x14ac:dyDescent="0.3">
      <c r="A30" t="s">
        <v>50</v>
      </c>
      <c r="C30" s="8">
        <v>2.1419999999999999</v>
      </c>
      <c r="D30" s="9">
        <f t="shared" si="0"/>
        <v>1.7340860780000002E-2</v>
      </c>
      <c r="E30" s="9">
        <f t="shared" si="1"/>
        <v>0.1734086078</v>
      </c>
      <c r="F30" s="9">
        <f t="shared" si="2"/>
        <v>7.5428497768575634E-3</v>
      </c>
      <c r="G30" s="8">
        <v>1.659</v>
      </c>
      <c r="H30" s="9">
        <f t="shared" si="3"/>
        <v>2.4168004099999998E-2</v>
      </c>
      <c r="I30" s="9">
        <f t="shared" si="4"/>
        <v>0.24168004099999998</v>
      </c>
      <c r="J30" s="9">
        <f t="shared" si="5"/>
        <v>6.1813439714770201E-3</v>
      </c>
      <c r="M30" s="9">
        <f t="shared" si="6"/>
        <v>1.3724193748334584E-2</v>
      </c>
    </row>
    <row r="31" spans="1:13" x14ac:dyDescent="0.3">
      <c r="A31" t="s">
        <v>49</v>
      </c>
      <c r="C31" s="8">
        <v>4.2</v>
      </c>
      <c r="D31" s="9">
        <f t="shared" si="0"/>
        <v>3.3115616E-2</v>
      </c>
      <c r="E31" s="9">
        <f t="shared" si="1"/>
        <v>0.33115616000000003</v>
      </c>
      <c r="F31" s="9">
        <f t="shared" si="2"/>
        <v>1.4404481987664097E-2</v>
      </c>
      <c r="G31" s="8">
        <v>3.7120000000000002</v>
      </c>
      <c r="H31" s="9">
        <f t="shared" si="3"/>
        <v>5.4513191799999999E-2</v>
      </c>
      <c r="I31" s="9">
        <f t="shared" si="4"/>
        <v>0.54513191800000005</v>
      </c>
      <c r="J31" s="9">
        <f t="shared" si="5"/>
        <v>1.3942598987679772E-2</v>
      </c>
      <c r="M31" s="9">
        <f t="shared" si="6"/>
        <v>2.8347080975343868E-2</v>
      </c>
    </row>
    <row r="32" spans="1:13" x14ac:dyDescent="0.3">
      <c r="A32" t="s">
        <v>48</v>
      </c>
      <c r="C32" s="8">
        <v>2.11</v>
      </c>
      <c r="D32" s="9">
        <f t="shared" si="0"/>
        <v>1.7095577900000002E-2</v>
      </c>
      <c r="E32" s="9">
        <f t="shared" si="1"/>
        <v>0.17095577900000003</v>
      </c>
      <c r="F32" s="9">
        <f t="shared" si="2"/>
        <v>7.4361577308197568E-3</v>
      </c>
      <c r="G32" s="8">
        <v>1.659</v>
      </c>
      <c r="H32" s="9">
        <f t="shared" si="3"/>
        <v>2.4168004099999998E-2</v>
      </c>
      <c r="I32" s="9">
        <f t="shared" si="4"/>
        <v>0.24168004099999998</v>
      </c>
      <c r="J32" s="9">
        <f t="shared" si="5"/>
        <v>6.1813439714770201E-3</v>
      </c>
      <c r="M32" s="9">
        <f t="shared" si="6"/>
        <v>1.3617501702296777E-2</v>
      </c>
    </row>
    <row r="33" spans="1:13" x14ac:dyDescent="0.3">
      <c r="A33" t="s">
        <v>48</v>
      </c>
      <c r="C33" s="8">
        <v>2.12</v>
      </c>
      <c r="D33" s="9">
        <f t="shared" si="0"/>
        <v>1.7172228800000001E-2</v>
      </c>
      <c r="E33" s="9">
        <f t="shared" si="1"/>
        <v>0.171722288</v>
      </c>
      <c r="F33" s="9">
        <f t="shared" si="2"/>
        <v>7.4694989952065706E-3</v>
      </c>
      <c r="G33" s="8">
        <v>1.6759999999999999</v>
      </c>
      <c r="H33" s="9">
        <f t="shared" si="3"/>
        <v>2.4419279399999997E-2</v>
      </c>
      <c r="I33" s="9">
        <f t="shared" si="4"/>
        <v>0.24419279399999996</v>
      </c>
      <c r="J33" s="9">
        <f t="shared" si="5"/>
        <v>6.2456115483281865E-3</v>
      </c>
      <c r="M33" s="9">
        <f t="shared" si="6"/>
        <v>1.3715110543534758E-2</v>
      </c>
    </row>
    <row r="34" spans="1:13" x14ac:dyDescent="0.3">
      <c r="A34" t="s">
        <v>72</v>
      </c>
      <c r="C34" s="8">
        <v>3.2732999999999999</v>
      </c>
      <c r="D34" s="9">
        <f t="shared" si="0"/>
        <v>2.6012377097000002E-2</v>
      </c>
      <c r="E34" s="9">
        <f t="shared" si="1"/>
        <v>0.26012377097</v>
      </c>
      <c r="F34" s="9">
        <f t="shared" si="2"/>
        <v>1.1314747016937948E-2</v>
      </c>
      <c r="G34" s="8">
        <v>2.5933299999999999</v>
      </c>
      <c r="H34" s="9">
        <f t="shared" si="3"/>
        <v>3.7978242396999998E-2</v>
      </c>
      <c r="I34" s="9">
        <f t="shared" si="4"/>
        <v>0.37978242396999995</v>
      </c>
      <c r="J34" s="9">
        <f t="shared" si="5"/>
        <v>9.7135277996741529E-3</v>
      </c>
      <c r="M34" s="9">
        <f t="shared" si="6"/>
        <v>2.10282748166121E-2</v>
      </c>
    </row>
    <row r="35" spans="1:13" x14ac:dyDescent="0.3">
      <c r="A35" t="s">
        <v>27</v>
      </c>
      <c r="F35" s="9">
        <v>1.7000000000000001E-2</v>
      </c>
    </row>
    <row r="38" spans="1:13" x14ac:dyDescent="0.3">
      <c r="A38" s="1" t="s">
        <v>1</v>
      </c>
      <c r="C38" s="2"/>
      <c r="D38" s="2"/>
      <c r="F38" s="3"/>
    </row>
    <row r="39" spans="1:13" x14ac:dyDescent="0.3">
      <c r="B39" t="s">
        <v>7</v>
      </c>
      <c r="C39" t="s">
        <v>8</v>
      </c>
      <c r="D39" t="s">
        <v>9</v>
      </c>
      <c r="E39" t="s">
        <v>10</v>
      </c>
      <c r="F39" t="s">
        <v>11</v>
      </c>
      <c r="G39" t="s">
        <v>12</v>
      </c>
    </row>
    <row r="40" spans="1:13" x14ac:dyDescent="0.3">
      <c r="A40" t="s">
        <v>13</v>
      </c>
      <c r="B40" s="4">
        <f>0.1648/142.04*22.99*2/(0.1648+31.5327)*100</f>
        <v>0.16830247404617305</v>
      </c>
      <c r="C40" s="5">
        <v>219.93799999999999</v>
      </c>
      <c r="D40" s="5">
        <v>219.27600000000001</v>
      </c>
      <c r="E40" s="6">
        <f>(C40-D40)/C40*100</f>
        <v>0.30099391646735796</v>
      </c>
      <c r="F40" s="3">
        <f>(C40+D40)/2</f>
        <v>219.607</v>
      </c>
      <c r="I40" t="s">
        <v>25</v>
      </c>
      <c r="J40" s="10">
        <v>22.989799999999999</v>
      </c>
    </row>
    <row r="41" spans="1:13" x14ac:dyDescent="0.3">
      <c r="A41" t="s">
        <v>14</v>
      </c>
      <c r="B41" s="4">
        <v>0.1</v>
      </c>
      <c r="C41" s="5">
        <v>130.142</v>
      </c>
      <c r="D41" s="5">
        <v>130.08000000000001</v>
      </c>
      <c r="E41" s="6">
        <f>(C41-D41)/C41*100</f>
        <v>4.7640269859064256E-2</v>
      </c>
      <c r="F41" s="3">
        <f>(C41+D41)/2</f>
        <v>130.11099999999999</v>
      </c>
      <c r="G41" s="5" t="s">
        <v>15</v>
      </c>
    </row>
    <row r="42" spans="1:13" x14ac:dyDescent="0.3">
      <c r="A42" t="s">
        <v>16</v>
      </c>
      <c r="B42" s="4">
        <f>3.4979*0.1/(3.5693+3.4966+3.4979)</f>
        <v>3.3112137677729608E-2</v>
      </c>
      <c r="C42" s="5">
        <v>42.874000000000002</v>
      </c>
      <c r="D42" s="5">
        <v>42.991</v>
      </c>
      <c r="E42" s="6">
        <f t="shared" ref="E42:E43" si="7">(C42-D42)/C42*100</f>
        <v>-0.27289266221952074</v>
      </c>
      <c r="F42" s="3">
        <f>(C42+D42)/2</f>
        <v>42.932500000000005</v>
      </c>
      <c r="G42" s="7">
        <f>7.66509*10^-4</f>
        <v>7.6650900000000007E-4</v>
      </c>
    </row>
    <row r="43" spans="1:13" x14ac:dyDescent="0.3">
      <c r="A43" t="s">
        <v>17</v>
      </c>
      <c r="B43" s="4">
        <f>2.5109*0.1/(2.4989+2.5025+2.5109+2.5415)</f>
        <v>2.4974636455867436E-2</v>
      </c>
      <c r="C43" s="5">
        <v>32.466000000000001</v>
      </c>
      <c r="D43" s="5">
        <v>32.485999999999997</v>
      </c>
      <c r="E43" s="6">
        <f t="shared" si="7"/>
        <v>-6.1602907657229158E-2</v>
      </c>
      <c r="F43" s="3">
        <f>(C43+D43)/2</f>
        <v>32.475999999999999</v>
      </c>
      <c r="G43" s="5" t="s">
        <v>18</v>
      </c>
    </row>
    <row r="44" spans="1:13" x14ac:dyDescent="0.3">
      <c r="A44" t="s">
        <v>19</v>
      </c>
      <c r="B44" s="4">
        <f>0.9973*0.1/(1.0021+1.0092+0.9973+7.1702)</f>
        <v>9.7978150666090304E-3</v>
      </c>
      <c r="C44" s="5">
        <v>12.718</v>
      </c>
      <c r="D44" s="5">
        <v>12.688000000000001</v>
      </c>
      <c r="E44" s="6">
        <f>(C44-D44)/C44*100</f>
        <v>0.23588614562037552</v>
      </c>
      <c r="F44" s="3">
        <f t="shared" ref="F44:F46" si="8">(C44+D44)/2</f>
        <v>12.702999999999999</v>
      </c>
      <c r="G44" s="7">
        <f>9.22238*10^-5</f>
        <v>9.2223800000000003E-5</v>
      </c>
    </row>
    <row r="45" spans="1:13" x14ac:dyDescent="0.3">
      <c r="A45" t="s">
        <v>20</v>
      </c>
      <c r="B45" s="4">
        <f>0.501*0.1/(0.5177+0.5141+0.501+8.5065)</f>
        <v>4.9903877760401625E-3</v>
      </c>
      <c r="C45" s="5">
        <v>6.4610000000000003</v>
      </c>
      <c r="D45" s="5">
        <v>6.4550000000000001</v>
      </c>
      <c r="E45" s="6">
        <f>(C45-D45)/C45*100</f>
        <v>9.2864881597279472E-2</v>
      </c>
      <c r="F45" s="3">
        <f t="shared" si="8"/>
        <v>6.4580000000000002</v>
      </c>
    </row>
    <row r="46" spans="1:13" x14ac:dyDescent="0.3">
      <c r="A46" t="s">
        <v>21</v>
      </c>
      <c r="B46" s="4">
        <f>0.202*0.1/(0.1991+0.2057+0.202+9.4063)</f>
        <v>2.0173572619867977E-3</v>
      </c>
      <c r="C46" s="5">
        <v>2.6059999999999999</v>
      </c>
      <c r="D46" s="5">
        <v>2.609</v>
      </c>
      <c r="E46" s="6">
        <f>(C46-D46)/C46*100</f>
        <v>-0.11511895625480098</v>
      </c>
      <c r="F46" s="3">
        <f t="shared" si="8"/>
        <v>2.6074999999999999</v>
      </c>
    </row>
    <row r="48" spans="1:13" x14ac:dyDescent="0.3">
      <c r="A48" s="1" t="s">
        <v>2</v>
      </c>
      <c r="C48" s="2"/>
      <c r="D48" s="2"/>
      <c r="F48" s="3"/>
    </row>
    <row r="49" spans="1:10" x14ac:dyDescent="0.3">
      <c r="B49" t="s">
        <v>7</v>
      </c>
      <c r="C49" t="s">
        <v>8</v>
      </c>
      <c r="D49" t="s">
        <v>9</v>
      </c>
      <c r="E49" t="s">
        <v>10</v>
      </c>
      <c r="F49" t="s">
        <v>11</v>
      </c>
      <c r="G49" t="s">
        <v>12</v>
      </c>
      <c r="I49" t="s">
        <v>25</v>
      </c>
      <c r="J49" s="10">
        <v>39.098300000000002</v>
      </c>
    </row>
    <row r="50" spans="1:10" x14ac:dyDescent="0.3">
      <c r="A50" t="s">
        <v>14</v>
      </c>
      <c r="B50" s="4">
        <v>0.10009999999999999</v>
      </c>
      <c r="C50" s="5">
        <v>67.757000000000005</v>
      </c>
      <c r="D50" s="5">
        <v>67.677999999999997</v>
      </c>
      <c r="E50" s="6">
        <f>(C50-D50)/C50*100</f>
        <v>0.11659311953009686</v>
      </c>
      <c r="F50" s="3">
        <f>(C50+D50)/2</f>
        <v>67.717500000000001</v>
      </c>
      <c r="G50" s="5" t="s">
        <v>15</v>
      </c>
    </row>
    <row r="51" spans="1:10" x14ac:dyDescent="0.3">
      <c r="A51" t="s">
        <v>16</v>
      </c>
      <c r="B51" s="4">
        <f>3.4966*0.1001/(3.5693+3.4966+3.4979)</f>
        <v>3.3132931331528427E-2</v>
      </c>
      <c r="C51" s="5">
        <v>22.483000000000001</v>
      </c>
      <c r="D51" s="5">
        <v>22.48</v>
      </c>
      <c r="E51" s="6">
        <f t="shared" ref="E51:E52" si="9">(C51-D51)/C51*100</f>
        <v>1.3343415024685824E-2</v>
      </c>
      <c r="F51" s="3">
        <f>(C51+D51)/2</f>
        <v>22.4815</v>
      </c>
      <c r="G51" s="7">
        <f>1.47809*10^-3</f>
        <v>1.4780899999999998E-3</v>
      </c>
    </row>
    <row r="52" spans="1:10" x14ac:dyDescent="0.3">
      <c r="A52" t="s">
        <v>17</v>
      </c>
      <c r="B52" s="4">
        <f>2.5025*0.1001/(2.4989+2.5025+2.5109+2.5415)</f>
        <v>2.4915977043505937E-2</v>
      </c>
      <c r="C52" s="5">
        <v>16.952999999999999</v>
      </c>
      <c r="D52" s="5">
        <v>16.966999999999999</v>
      </c>
      <c r="E52" s="6">
        <f t="shared" si="9"/>
        <v>-8.2581254055325584E-2</v>
      </c>
      <c r="F52" s="3">
        <f>(C52+D52)/2</f>
        <v>16.96</v>
      </c>
      <c r="G52" s="5" t="s">
        <v>18</v>
      </c>
    </row>
    <row r="53" spans="1:10" x14ac:dyDescent="0.3">
      <c r="A53" t="s">
        <v>19</v>
      </c>
      <c r="B53" s="4">
        <f>1.0092*0.1001/(1.0021+1.0092+0.9973+7.1702)</f>
        <v>9.9246394466931259E-3</v>
      </c>
      <c r="C53" s="5">
        <v>6.6959999999999997</v>
      </c>
      <c r="D53" s="5">
        <v>6.742</v>
      </c>
      <c r="E53" s="6">
        <f>(C53-D53)/C53*100</f>
        <v>-0.68697729988052969</v>
      </c>
      <c r="F53" s="3">
        <f t="shared" ref="F53:F55" si="10">(C53+D53)/2</f>
        <v>6.7189999999999994</v>
      </c>
      <c r="G53" s="7">
        <f>-3.53509*10^-5</f>
        <v>-3.5350900000000001E-5</v>
      </c>
    </row>
    <row r="54" spans="1:10" x14ac:dyDescent="0.3">
      <c r="A54" t="s">
        <v>20</v>
      </c>
      <c r="B54" s="4">
        <f>0.5141*0.1001/(0.5177+0.5141+0.501+8.5065)</f>
        <v>5.1259958363630929E-3</v>
      </c>
      <c r="C54" s="5">
        <v>3.4670000000000001</v>
      </c>
      <c r="D54" s="5">
        <v>3.4260000000000002</v>
      </c>
      <c r="E54" s="6">
        <f>(C54-D54)/C54*100</f>
        <v>1.1825785982117083</v>
      </c>
      <c r="F54" s="3">
        <f t="shared" si="10"/>
        <v>3.4465000000000003</v>
      </c>
      <c r="G54" s="7"/>
    </row>
    <row r="55" spans="1:10" x14ac:dyDescent="0.3">
      <c r="A55" t="s">
        <v>21</v>
      </c>
      <c r="B55" s="4">
        <f>0.2057*0.1001/(0.1991+0.2057+0.202+9.4063)</f>
        <v>2.0563631642548262E-3</v>
      </c>
      <c r="C55" s="5">
        <v>1.385</v>
      </c>
      <c r="D55" s="5">
        <v>1.391</v>
      </c>
      <c r="E55" s="6">
        <f>(C55-D55)/C55*100</f>
        <v>-0.43321299638989202</v>
      </c>
      <c r="F55" s="3">
        <f t="shared" si="10"/>
        <v>1.3879999999999999</v>
      </c>
      <c r="G55" s="7"/>
    </row>
  </sheetData>
  <sortState ref="A2:M33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19" workbookViewId="0">
      <selection activeCell="A37" sqref="A37"/>
    </sheetView>
  </sheetViews>
  <sheetFormatPr defaultRowHeight="14.4" x14ac:dyDescent="0.3"/>
  <cols>
    <col min="4" max="4" width="19.77734375" bestFit="1" customWidth="1"/>
    <col min="5" max="5" width="16.88671875" bestFit="1" customWidth="1"/>
    <col min="6" max="6" width="18.77734375" customWidth="1"/>
    <col min="7" max="7" width="11.77734375" bestFit="1" customWidth="1"/>
  </cols>
  <sheetData>
    <row r="1" spans="1:6" x14ac:dyDescent="0.3">
      <c r="A1" t="s">
        <v>0</v>
      </c>
      <c r="C1" t="s">
        <v>28</v>
      </c>
      <c r="D1" t="s">
        <v>30</v>
      </c>
      <c r="E1" t="s">
        <v>23</v>
      </c>
      <c r="F1" t="s">
        <v>24</v>
      </c>
    </row>
    <row r="2" spans="1:6" x14ac:dyDescent="0.3">
      <c r="A2" t="s">
        <v>31</v>
      </c>
      <c r="C2">
        <v>30.359000000000002</v>
      </c>
      <c r="D2" s="7">
        <f t="shared" ref="D2:D37" si="0">(C2*$G$43+$G$45)*10</f>
        <v>9.4898624420000008E-2</v>
      </c>
      <c r="E2" s="7">
        <f t="shared" ref="E2:E37" si="1">D2*10</f>
        <v>0.94898624420000011</v>
      </c>
      <c r="F2" s="7">
        <f t="shared" ref="F2:F37" si="2">E2/$L$40</f>
        <v>2.6769710696755995E-2</v>
      </c>
    </row>
    <row r="3" spans="1:6" x14ac:dyDescent="0.3">
      <c r="A3" t="s">
        <v>31</v>
      </c>
      <c r="C3">
        <v>30.341000000000001</v>
      </c>
      <c r="D3" s="7">
        <f t="shared" si="0"/>
        <v>9.4840261580000002E-2</v>
      </c>
      <c r="E3" s="7">
        <f t="shared" si="1"/>
        <v>0.94840261580000007</v>
      </c>
      <c r="F3" s="7">
        <f t="shared" si="2"/>
        <v>2.6753247272214387E-2</v>
      </c>
    </row>
    <row r="4" spans="1:6" x14ac:dyDescent="0.3">
      <c r="A4" t="s">
        <v>34</v>
      </c>
      <c r="C4">
        <v>13.506</v>
      </c>
      <c r="D4" s="7">
        <f t="shared" si="0"/>
        <v>4.0254794280000006E-2</v>
      </c>
      <c r="E4" s="7">
        <f t="shared" si="1"/>
        <v>0.40254794280000006</v>
      </c>
      <c r="F4" s="7">
        <f t="shared" si="2"/>
        <v>1.1355372152327223E-2</v>
      </c>
    </row>
    <row r="5" spans="1:6" x14ac:dyDescent="0.3">
      <c r="A5" t="s">
        <v>34</v>
      </c>
      <c r="C5">
        <v>13.368</v>
      </c>
      <c r="D5" s="7">
        <f t="shared" si="0"/>
        <v>3.9807345840000008E-2</v>
      </c>
      <c r="E5" s="7">
        <f t="shared" si="1"/>
        <v>0.39807345840000008</v>
      </c>
      <c r="F5" s="7">
        <f t="shared" si="2"/>
        <v>1.1229152564174895E-2</v>
      </c>
    </row>
    <row r="6" spans="1:6" x14ac:dyDescent="0.3">
      <c r="A6" t="s">
        <v>63</v>
      </c>
      <c r="C6">
        <v>31.736000000000001</v>
      </c>
      <c r="D6" s="7">
        <f t="shared" si="0"/>
        <v>9.9363381680000001E-2</v>
      </c>
      <c r="E6" s="7">
        <f t="shared" si="1"/>
        <v>0.99363381680000007</v>
      </c>
      <c r="F6" s="7">
        <f t="shared" si="2"/>
        <v>2.8029162674189E-2</v>
      </c>
    </row>
    <row r="7" spans="1:6" x14ac:dyDescent="0.3">
      <c r="A7" t="s">
        <v>62</v>
      </c>
      <c r="C7">
        <v>14.503</v>
      </c>
      <c r="D7" s="7">
        <f t="shared" si="0"/>
        <v>4.3487447140000003E-2</v>
      </c>
      <c r="E7" s="7">
        <f t="shared" si="1"/>
        <v>0.43487447140000002</v>
      </c>
      <c r="F7" s="7">
        <f t="shared" si="2"/>
        <v>1.2267262944992948E-2</v>
      </c>
    </row>
    <row r="8" spans="1:6" x14ac:dyDescent="0.3">
      <c r="A8" t="s">
        <v>61</v>
      </c>
      <c r="C8">
        <v>31.628</v>
      </c>
      <c r="D8" s="7">
        <f t="shared" si="0"/>
        <v>9.9013204639999991E-2</v>
      </c>
      <c r="E8" s="7">
        <f t="shared" si="1"/>
        <v>0.99013204639999985</v>
      </c>
      <c r="F8" s="7">
        <f t="shared" si="2"/>
        <v>2.7930382126939345E-2</v>
      </c>
    </row>
    <row r="9" spans="1:6" x14ac:dyDescent="0.3">
      <c r="A9" t="s">
        <v>60</v>
      </c>
      <c r="C9">
        <v>14.754</v>
      </c>
      <c r="D9" s="7">
        <f t="shared" si="0"/>
        <v>4.4301284519999998E-2</v>
      </c>
      <c r="E9" s="7">
        <f t="shared" si="1"/>
        <v>0.44301284519999995</v>
      </c>
      <c r="F9" s="7">
        <f t="shared" si="2"/>
        <v>1.24968362538787E-2</v>
      </c>
    </row>
    <row r="10" spans="1:6" x14ac:dyDescent="0.3">
      <c r="A10" t="s">
        <v>60</v>
      </c>
      <c r="C10">
        <v>14.76</v>
      </c>
      <c r="D10" s="7">
        <f t="shared" si="0"/>
        <v>4.4320738799999995E-2</v>
      </c>
      <c r="E10" s="7">
        <f t="shared" si="1"/>
        <v>0.44320738799999992</v>
      </c>
      <c r="F10" s="7">
        <f t="shared" si="2"/>
        <v>1.2502324062059235E-2</v>
      </c>
    </row>
    <row r="11" spans="1:6" x14ac:dyDescent="0.3">
      <c r="A11" t="s">
        <v>33</v>
      </c>
      <c r="C11">
        <v>30.126999999999999</v>
      </c>
      <c r="D11" s="7">
        <f t="shared" si="0"/>
        <v>9.4146392259999989E-2</v>
      </c>
      <c r="E11" s="7">
        <f t="shared" si="1"/>
        <v>0.94146392259999989</v>
      </c>
      <c r="F11" s="7">
        <f t="shared" si="2"/>
        <v>2.6557515447108597E-2</v>
      </c>
    </row>
    <row r="12" spans="1:6" x14ac:dyDescent="0.3">
      <c r="A12" t="s">
        <v>33</v>
      </c>
      <c r="C12">
        <v>30.009</v>
      </c>
      <c r="D12" s="7">
        <f t="shared" si="0"/>
        <v>9.3763791419999992E-2</v>
      </c>
      <c r="E12" s="7">
        <f t="shared" si="1"/>
        <v>0.93763791419999998</v>
      </c>
      <c r="F12" s="7">
        <f t="shared" si="2"/>
        <v>2.6449588552891392E-2</v>
      </c>
    </row>
    <row r="13" spans="1:6" x14ac:dyDescent="0.3">
      <c r="A13" t="s">
        <v>32</v>
      </c>
      <c r="C13">
        <v>13.99</v>
      </c>
      <c r="D13" s="7">
        <f t="shared" si="0"/>
        <v>4.1824106200000002E-2</v>
      </c>
      <c r="E13" s="7">
        <f t="shared" si="1"/>
        <v>0.418241062</v>
      </c>
      <c r="F13" s="7">
        <f t="shared" si="2"/>
        <v>1.1798055345557121E-2</v>
      </c>
    </row>
    <row r="14" spans="1:6" x14ac:dyDescent="0.3">
      <c r="A14" t="s">
        <v>59</v>
      </c>
      <c r="C14">
        <v>31.722000000000001</v>
      </c>
      <c r="D14" s="7">
        <f t="shared" si="0"/>
        <v>9.9317988359999998E-2</v>
      </c>
      <c r="E14" s="7">
        <f t="shared" si="1"/>
        <v>0.99317988359999998</v>
      </c>
      <c r="F14" s="7">
        <f t="shared" si="2"/>
        <v>2.801635778843441E-2</v>
      </c>
    </row>
    <row r="15" spans="1:6" x14ac:dyDescent="0.3">
      <c r="A15" t="s">
        <v>57</v>
      </c>
      <c r="C15">
        <v>14.874000000000001</v>
      </c>
      <c r="D15" s="7">
        <f t="shared" si="0"/>
        <v>4.4690370120000003E-2</v>
      </c>
      <c r="E15" s="7">
        <f t="shared" si="1"/>
        <v>0.4469037012</v>
      </c>
      <c r="F15" s="7">
        <f t="shared" si="2"/>
        <v>1.2606592417489421E-2</v>
      </c>
    </row>
    <row r="16" spans="1:6" x14ac:dyDescent="0.3">
      <c r="A16" t="s">
        <v>56</v>
      </c>
      <c r="C16">
        <v>31.541</v>
      </c>
      <c r="D16" s="7">
        <f t="shared" si="0"/>
        <v>9.873111758E-2</v>
      </c>
      <c r="E16" s="7">
        <f t="shared" si="1"/>
        <v>0.98731117579999994</v>
      </c>
      <c r="F16" s="7">
        <f t="shared" si="2"/>
        <v>2.7850808908321575E-2</v>
      </c>
    </row>
    <row r="17" spans="1:6" x14ac:dyDescent="0.3">
      <c r="A17" t="s">
        <v>56</v>
      </c>
      <c r="C17">
        <v>31.542000000000002</v>
      </c>
      <c r="D17" s="7">
        <f t="shared" si="0"/>
        <v>9.8734359960000018E-2</v>
      </c>
      <c r="E17" s="7">
        <f t="shared" si="1"/>
        <v>0.98734359960000018</v>
      </c>
      <c r="F17" s="7">
        <f t="shared" si="2"/>
        <v>2.7851723543018337E-2</v>
      </c>
    </row>
    <row r="18" spans="1:6" x14ac:dyDescent="0.3">
      <c r="A18" t="s">
        <v>55</v>
      </c>
      <c r="C18">
        <v>15.000999999999999</v>
      </c>
      <c r="D18" s="7">
        <f t="shared" si="0"/>
        <v>4.5102152380000003E-2</v>
      </c>
      <c r="E18" s="7">
        <f t="shared" si="1"/>
        <v>0.45102152380000005</v>
      </c>
      <c r="F18" s="7">
        <f t="shared" si="2"/>
        <v>1.2722751023977434E-2</v>
      </c>
    </row>
    <row r="19" spans="1:6" x14ac:dyDescent="0.3">
      <c r="A19" t="s">
        <v>3</v>
      </c>
      <c r="C19">
        <v>30.408000000000001</v>
      </c>
      <c r="D19" s="7">
        <f t="shared" si="0"/>
        <v>9.5057501039999992E-2</v>
      </c>
      <c r="E19" s="7">
        <f t="shared" si="1"/>
        <v>0.95057501039999992</v>
      </c>
      <c r="F19" s="7">
        <f t="shared" si="2"/>
        <v>2.6814527796897032E-2</v>
      </c>
    </row>
    <row r="20" spans="1:6" x14ac:dyDescent="0.3">
      <c r="A20" t="s">
        <v>3</v>
      </c>
      <c r="C20">
        <v>30.018999999999998</v>
      </c>
      <c r="D20" s="7">
        <f t="shared" si="0"/>
        <v>9.3796215220000007E-2</v>
      </c>
      <c r="E20" s="7">
        <f t="shared" si="1"/>
        <v>0.93796215220000012</v>
      </c>
      <c r="F20" s="7">
        <f t="shared" si="2"/>
        <v>2.6458734899858959E-2</v>
      </c>
    </row>
    <row r="21" spans="1:6" x14ac:dyDescent="0.3">
      <c r="A21" t="s">
        <v>4</v>
      </c>
      <c r="C21">
        <v>14.218999999999999</v>
      </c>
      <c r="D21" s="7">
        <f t="shared" si="0"/>
        <v>4.2566611220000009E-2</v>
      </c>
      <c r="E21" s="7">
        <f t="shared" si="1"/>
        <v>0.42566611220000006</v>
      </c>
      <c r="F21" s="7">
        <f t="shared" si="2"/>
        <v>1.2007506691114247E-2</v>
      </c>
    </row>
    <row r="22" spans="1:6" x14ac:dyDescent="0.3">
      <c r="A22" t="s">
        <v>4</v>
      </c>
      <c r="C22">
        <v>14.154999999999999</v>
      </c>
      <c r="D22" s="7">
        <f t="shared" si="0"/>
        <v>4.2359098900000003E-2</v>
      </c>
      <c r="E22" s="7">
        <f t="shared" si="1"/>
        <v>0.42359098900000003</v>
      </c>
      <c r="F22" s="7">
        <f t="shared" si="2"/>
        <v>1.1948970070521862E-2</v>
      </c>
    </row>
    <row r="23" spans="1:6" x14ac:dyDescent="0.3">
      <c r="A23" t="s">
        <v>58</v>
      </c>
      <c r="C23">
        <v>32.067999999999998</v>
      </c>
      <c r="D23" s="7">
        <f t="shared" si="0"/>
        <v>0.10043985184</v>
      </c>
      <c r="E23" s="7">
        <f t="shared" si="1"/>
        <v>1.0043985183999999</v>
      </c>
      <c r="F23" s="7">
        <f t="shared" si="2"/>
        <v>2.8332821393511985E-2</v>
      </c>
    </row>
    <row r="24" spans="1:6" x14ac:dyDescent="0.3">
      <c r="A24" t="s">
        <v>54</v>
      </c>
      <c r="C24">
        <v>9.4359999999999999</v>
      </c>
      <c r="D24" s="7">
        <f t="shared" si="0"/>
        <v>2.7058307680000001E-2</v>
      </c>
      <c r="E24" s="7">
        <f t="shared" si="1"/>
        <v>0.27058307679999999</v>
      </c>
      <c r="F24" s="7">
        <f t="shared" si="2"/>
        <v>7.6328089365303234E-3</v>
      </c>
    </row>
    <row r="25" spans="1:6" x14ac:dyDescent="0.3">
      <c r="A25" t="s">
        <v>54</v>
      </c>
      <c r="C25">
        <v>9.4440000000000008</v>
      </c>
      <c r="D25" s="7">
        <f t="shared" si="0"/>
        <v>2.7084246720000003E-2</v>
      </c>
      <c r="E25" s="7">
        <f t="shared" si="1"/>
        <v>0.27084246720000005</v>
      </c>
      <c r="F25" s="7">
        <f t="shared" si="2"/>
        <v>7.6401260141043727E-3</v>
      </c>
    </row>
    <row r="26" spans="1:6" x14ac:dyDescent="0.3">
      <c r="A26" t="s">
        <v>53</v>
      </c>
      <c r="C26">
        <v>31.268000000000001</v>
      </c>
      <c r="D26" s="7">
        <f t="shared" si="0"/>
        <v>9.7845947839999989E-2</v>
      </c>
      <c r="E26" s="7">
        <f t="shared" si="1"/>
        <v>0.97845947839999992</v>
      </c>
      <c r="F26" s="7">
        <f t="shared" si="2"/>
        <v>2.7601113636107188E-2</v>
      </c>
    </row>
    <row r="27" spans="1:6" x14ac:dyDescent="0.3">
      <c r="A27" t="s">
        <v>52</v>
      </c>
      <c r="C27">
        <v>15.087999999999999</v>
      </c>
      <c r="D27" s="7">
        <f t="shared" si="0"/>
        <v>4.5384239440000002E-2</v>
      </c>
      <c r="E27" s="7">
        <f t="shared" si="1"/>
        <v>0.45384239440000002</v>
      </c>
      <c r="F27" s="7">
        <f t="shared" si="2"/>
        <v>1.2802324242595205E-2</v>
      </c>
    </row>
    <row r="28" spans="1:6" x14ac:dyDescent="0.3">
      <c r="A28" t="s">
        <v>5</v>
      </c>
      <c r="C28">
        <v>30.324999999999999</v>
      </c>
      <c r="D28" s="7">
        <f t="shared" si="0"/>
        <v>9.478838349999999E-2</v>
      </c>
      <c r="E28" s="7">
        <f t="shared" si="1"/>
        <v>0.94788383499999984</v>
      </c>
      <c r="F28" s="7">
        <f t="shared" si="2"/>
        <v>2.6738613117066285E-2</v>
      </c>
    </row>
    <row r="29" spans="1:6" x14ac:dyDescent="0.3">
      <c r="A29" t="s">
        <v>6</v>
      </c>
      <c r="C29">
        <v>14.250999999999999</v>
      </c>
      <c r="D29" s="7">
        <f t="shared" si="0"/>
        <v>4.2670367379999997E-2</v>
      </c>
      <c r="E29" s="7">
        <f t="shared" si="1"/>
        <v>0.42670367379999996</v>
      </c>
      <c r="F29" s="7">
        <f t="shared" si="2"/>
        <v>1.2036775001410436E-2</v>
      </c>
    </row>
    <row r="30" spans="1:6" x14ac:dyDescent="0.3">
      <c r="A30" t="s">
        <v>6</v>
      </c>
      <c r="C30">
        <v>14.276999999999999</v>
      </c>
      <c r="D30" s="7">
        <f t="shared" si="0"/>
        <v>4.2754669260000003E-2</v>
      </c>
      <c r="E30" s="7">
        <f t="shared" si="1"/>
        <v>0.4275466926</v>
      </c>
      <c r="F30" s="7">
        <f t="shared" si="2"/>
        <v>1.2060555503526093E-2</v>
      </c>
    </row>
    <row r="31" spans="1:6" x14ac:dyDescent="0.3">
      <c r="A31" t="s">
        <v>51</v>
      </c>
      <c r="C31">
        <v>29.259</v>
      </c>
      <c r="D31" s="7">
        <f t="shared" si="0"/>
        <v>9.133200642E-2</v>
      </c>
      <c r="E31" s="7">
        <f t="shared" si="1"/>
        <v>0.9133200642</v>
      </c>
      <c r="F31" s="7">
        <f t="shared" si="2"/>
        <v>2.5763612530324397E-2</v>
      </c>
    </row>
    <row r="32" spans="1:6" x14ac:dyDescent="0.3">
      <c r="A32" t="s">
        <v>51</v>
      </c>
      <c r="C32">
        <v>29.266999999999999</v>
      </c>
      <c r="D32" s="7">
        <f t="shared" si="0"/>
        <v>9.1357945459999992E-2</v>
      </c>
      <c r="E32" s="7">
        <f t="shared" si="1"/>
        <v>0.9135794545999999</v>
      </c>
      <c r="F32" s="7">
        <f t="shared" si="2"/>
        <v>2.5770929607898445E-2</v>
      </c>
    </row>
    <row r="33" spans="1:12" x14ac:dyDescent="0.3">
      <c r="A33" t="s">
        <v>50</v>
      </c>
      <c r="C33">
        <v>14.981</v>
      </c>
      <c r="D33" s="7">
        <f t="shared" si="0"/>
        <v>4.5037304779999995E-2</v>
      </c>
      <c r="E33" s="7">
        <f t="shared" si="1"/>
        <v>0.45037304779999998</v>
      </c>
      <c r="F33" s="7">
        <f t="shared" si="2"/>
        <v>1.2704458330042311E-2</v>
      </c>
    </row>
    <row r="34" spans="1:12" x14ac:dyDescent="0.3">
      <c r="A34" t="s">
        <v>49</v>
      </c>
      <c r="C34">
        <v>31.367000000000001</v>
      </c>
      <c r="D34" s="7">
        <f t="shared" si="0"/>
        <v>9.8166943460000003E-2</v>
      </c>
      <c r="E34" s="7">
        <f t="shared" si="1"/>
        <v>0.9816694346</v>
      </c>
      <c r="F34" s="7">
        <f t="shared" si="2"/>
        <v>2.7691662471086034E-2</v>
      </c>
    </row>
    <row r="35" spans="1:12" x14ac:dyDescent="0.3">
      <c r="A35" t="s">
        <v>48</v>
      </c>
      <c r="C35">
        <v>14.805</v>
      </c>
      <c r="D35" s="7">
        <f t="shared" si="0"/>
        <v>4.4466645900000004E-2</v>
      </c>
      <c r="E35" s="7">
        <f t="shared" si="1"/>
        <v>0.44466645900000001</v>
      </c>
      <c r="F35" s="7">
        <f t="shared" si="2"/>
        <v>1.2543482623413257E-2</v>
      </c>
    </row>
    <row r="36" spans="1:12" x14ac:dyDescent="0.3">
      <c r="A36" t="s">
        <v>48</v>
      </c>
      <c r="C36">
        <v>14.821999999999999</v>
      </c>
      <c r="D36" s="7">
        <f t="shared" si="0"/>
        <v>4.4521766360000006E-2</v>
      </c>
      <c r="E36" s="7">
        <f t="shared" si="1"/>
        <v>0.44521766360000004</v>
      </c>
      <c r="F36" s="7">
        <f t="shared" si="2"/>
        <v>1.255903141325811E-2</v>
      </c>
    </row>
    <row r="37" spans="1:12" x14ac:dyDescent="0.3">
      <c r="A37" t="s">
        <v>72</v>
      </c>
      <c r="C37">
        <v>22.989329999999999</v>
      </c>
      <c r="D37" s="7">
        <f t="shared" si="0"/>
        <v>7.1003353805400002E-2</v>
      </c>
      <c r="E37" s="7">
        <f t="shared" si="1"/>
        <v>0.71003353805400005</v>
      </c>
      <c r="F37" s="7">
        <f t="shared" si="2"/>
        <v>2.0029154811114246E-2</v>
      </c>
    </row>
    <row r="38" spans="1:12" x14ac:dyDescent="0.3">
      <c r="A38" t="s">
        <v>27</v>
      </c>
      <c r="F38" s="9">
        <v>1.7000000000000001E-2</v>
      </c>
    </row>
    <row r="39" spans="1:12" x14ac:dyDescent="0.3">
      <c r="A39" t="s">
        <v>29</v>
      </c>
    </row>
    <row r="40" spans="1:12" x14ac:dyDescent="0.3">
      <c r="B40" t="s">
        <v>7</v>
      </c>
      <c r="C40" t="s">
        <v>8</v>
      </c>
      <c r="D40" t="s">
        <v>9</v>
      </c>
      <c r="E40" t="s">
        <v>10</v>
      </c>
      <c r="F40" t="s">
        <v>11</v>
      </c>
      <c r="G40" t="s">
        <v>12</v>
      </c>
      <c r="J40" t="s">
        <v>25</v>
      </c>
      <c r="L40">
        <v>35.450000000000003</v>
      </c>
    </row>
    <row r="41" spans="1:12" x14ac:dyDescent="0.3">
      <c r="A41" t="s">
        <v>13</v>
      </c>
      <c r="B41" s="1">
        <f>0.996*0.001/(0.996+0.9949+28.5717)*100</f>
        <v>3.2588850425029278E-3</v>
      </c>
      <c r="C41" s="5">
        <v>10.173999999999999</v>
      </c>
      <c r="D41" s="5">
        <v>10.26</v>
      </c>
      <c r="E41">
        <f>(C41-D41)/C41*100</f>
        <v>-0.84529192058187841</v>
      </c>
      <c r="F41" s="3">
        <f t="shared" ref="F41" si="3">(C41+D41)/2</f>
        <v>10.216999999999999</v>
      </c>
    </row>
    <row r="42" spans="1:12" x14ac:dyDescent="0.3">
      <c r="A42" t="s">
        <v>14</v>
      </c>
      <c r="B42" s="1">
        <f>0.0107*H43/(0.0107+0.0122+31.58)*100</f>
        <v>0</v>
      </c>
      <c r="C42" s="5">
        <v>63.468000000000004</v>
      </c>
      <c r="D42" s="5">
        <v>63.503999999999998</v>
      </c>
      <c r="E42">
        <f>(C42-D42)/C42*100</f>
        <v>-5.6721497447523569E-2</v>
      </c>
      <c r="F42" s="3">
        <f>(C42+D42)/2</f>
        <v>63.486000000000004</v>
      </c>
      <c r="G42" s="5" t="s">
        <v>15</v>
      </c>
    </row>
    <row r="43" spans="1:12" x14ac:dyDescent="0.3">
      <c r="A43" t="s">
        <v>16</v>
      </c>
      <c r="B43" s="1">
        <f>0.0334*H43/(0.0334+0.0257+31.2257)*100</f>
        <v>0</v>
      </c>
      <c r="C43" s="5">
        <v>203.18899999999999</v>
      </c>
      <c r="D43" s="5">
        <v>203.00299999999999</v>
      </c>
      <c r="E43">
        <f t="shared" ref="E43:E44" si="4">(C43-D43)/C43*100</f>
        <v>9.1540388505286729E-2</v>
      </c>
      <c r="F43" s="3">
        <f>(C43+D43)/2</f>
        <v>203.096</v>
      </c>
      <c r="G43" s="7">
        <f>3.24238*10^-4</f>
        <v>3.2423800000000002E-4</v>
      </c>
    </row>
    <row r="44" spans="1:12" x14ac:dyDescent="0.3">
      <c r="A44" t="s">
        <v>17</v>
      </c>
      <c r="B44" s="1">
        <f>0.046*H43/(0.046+0.0538+31.041)*100</f>
        <v>0</v>
      </c>
      <c r="C44" s="5">
        <v>279.33</v>
      </c>
      <c r="D44" s="5">
        <v>279.19400000000002</v>
      </c>
      <c r="E44">
        <f t="shared" si="4"/>
        <v>4.8687931836883712E-2</v>
      </c>
      <c r="F44" s="3">
        <f>(C44+D44)/2</f>
        <v>279.262</v>
      </c>
      <c r="G44" s="5" t="s">
        <v>18</v>
      </c>
    </row>
    <row r="45" spans="1:12" x14ac:dyDescent="0.3">
      <c r="A45" t="s">
        <v>19</v>
      </c>
      <c r="B45" s="1">
        <f>0.0671*H43/(0.0671+0.0649+30.6953)*100</f>
        <v>0</v>
      </c>
      <c r="C45" s="5">
        <v>406.20800000000003</v>
      </c>
      <c r="D45" s="5">
        <v>405.99200000000002</v>
      </c>
      <c r="E45">
        <f>(C45-D45)/C45*100</f>
        <v>5.3174728218057792E-2</v>
      </c>
      <c r="F45" s="3">
        <f t="shared" ref="F45" si="5">(C45+D45)/2</f>
        <v>406.1</v>
      </c>
      <c r="G45" s="7">
        <f>-3.53679*10^-4</f>
        <v>-3.5367900000000003E-4</v>
      </c>
    </row>
  </sheetData>
  <sortState ref="A2:F36">
    <sortCondition ref="A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opLeftCell="A85" workbookViewId="0">
      <selection activeCell="G93" sqref="G93"/>
    </sheetView>
  </sheetViews>
  <sheetFormatPr defaultRowHeight="14.4" x14ac:dyDescent="0.3"/>
  <cols>
    <col min="3" max="3" width="12" bestFit="1" customWidth="1"/>
    <col min="4" max="4" width="10.6640625" bestFit="1" customWidth="1"/>
    <col min="5" max="5" width="10.6640625" customWidth="1"/>
    <col min="7" max="7" width="12" bestFit="1" customWidth="1"/>
    <col min="10" max="10" width="12" bestFit="1" customWidth="1"/>
  </cols>
  <sheetData>
    <row r="1" spans="1:7" x14ac:dyDescent="0.3">
      <c r="A1" t="s">
        <v>0</v>
      </c>
      <c r="C1" t="s">
        <v>35</v>
      </c>
      <c r="D1" t="s">
        <v>36</v>
      </c>
      <c r="G1" t="s">
        <v>37</v>
      </c>
    </row>
    <row r="2" spans="1:7" x14ac:dyDescent="0.3">
      <c r="A2" t="s">
        <v>31</v>
      </c>
      <c r="C2">
        <v>1.5311364378985467E-2</v>
      </c>
      <c r="D2">
        <v>1.345870193844745E-2</v>
      </c>
      <c r="F2" t="s">
        <v>31</v>
      </c>
      <c r="G2" s="7">
        <v>2.6769710696755995E-2</v>
      </c>
    </row>
    <row r="3" spans="1:7" x14ac:dyDescent="0.3">
      <c r="A3" t="s">
        <v>31</v>
      </c>
      <c r="C3">
        <v>1.5218008838702382E-2</v>
      </c>
      <c r="D3">
        <v>1.3284801436379584E-2</v>
      </c>
      <c r="F3" t="s">
        <v>31</v>
      </c>
      <c r="G3" s="7">
        <v>2.6753247272214387E-2</v>
      </c>
    </row>
    <row r="4" spans="1:7" x14ac:dyDescent="0.3">
      <c r="A4" t="s">
        <v>34</v>
      </c>
      <c r="C4">
        <v>9.15656697317941E-3</v>
      </c>
      <c r="D4">
        <v>5.8486647501298011E-3</v>
      </c>
      <c r="F4" t="s">
        <v>34</v>
      </c>
      <c r="G4" s="7">
        <v>1.1355372152327223E-2</v>
      </c>
    </row>
    <row r="5" spans="1:7" x14ac:dyDescent="0.3">
      <c r="A5" t="s">
        <v>63</v>
      </c>
      <c r="C5">
        <v>1.0296838215208486E-2</v>
      </c>
      <c r="D5">
        <v>8.8881430906203075E-3</v>
      </c>
      <c r="F5" t="s">
        <v>34</v>
      </c>
      <c r="G5" s="7">
        <v>1.1229152564174895E-2</v>
      </c>
    </row>
    <row r="6" spans="1:7" x14ac:dyDescent="0.3">
      <c r="A6" t="s">
        <v>62</v>
      </c>
      <c r="C6">
        <v>7.6762148344048245E-3</v>
      </c>
      <c r="D6">
        <v>5.6369597910906604E-3</v>
      </c>
      <c r="F6" t="s">
        <v>63</v>
      </c>
      <c r="G6" s="7">
        <v>2.8029162674189E-2</v>
      </c>
    </row>
    <row r="7" spans="1:7" x14ac:dyDescent="0.3">
      <c r="A7" t="s">
        <v>61</v>
      </c>
      <c r="C7">
        <v>1.5034631884574901E-2</v>
      </c>
      <c r="D7">
        <v>1.3326386339047987E-2</v>
      </c>
      <c r="F7" t="s">
        <v>62</v>
      </c>
      <c r="G7" s="7">
        <v>1.2267262944992948E-2</v>
      </c>
    </row>
    <row r="8" spans="1:7" x14ac:dyDescent="0.3">
      <c r="A8" t="s">
        <v>60</v>
      </c>
      <c r="C8">
        <v>7.7962433861973575E-3</v>
      </c>
      <c r="D8">
        <v>5.7465927163073581E-3</v>
      </c>
      <c r="F8" t="s">
        <v>61</v>
      </c>
      <c r="G8" s="7">
        <v>2.7930382126939345E-2</v>
      </c>
    </row>
    <row r="9" spans="1:7" x14ac:dyDescent="0.3">
      <c r="A9" t="s">
        <v>60</v>
      </c>
      <c r="C9">
        <v>7.7528997424944996E-3</v>
      </c>
      <c r="D9">
        <v>5.6747642480619353E-3</v>
      </c>
      <c r="F9" t="s">
        <v>60</v>
      </c>
      <c r="G9" s="7">
        <v>1.24968362538787E-2</v>
      </c>
    </row>
    <row r="10" spans="1:7" x14ac:dyDescent="0.3">
      <c r="A10" t="s">
        <v>33</v>
      </c>
      <c r="C10">
        <v>1.4894598574150278E-2</v>
      </c>
      <c r="D10">
        <v>1.3553213080875638E-2</v>
      </c>
      <c r="F10" t="s">
        <v>60</v>
      </c>
      <c r="G10" s="7">
        <v>1.2502324062059235E-2</v>
      </c>
    </row>
    <row r="11" spans="1:7" x14ac:dyDescent="0.3">
      <c r="A11" t="s">
        <v>32</v>
      </c>
      <c r="C11">
        <v>7.6095323056311944E-3</v>
      </c>
      <c r="D11">
        <v>5.7881776189757598E-3</v>
      </c>
      <c r="F11" t="s">
        <v>33</v>
      </c>
      <c r="G11" s="7">
        <v>2.6557515447108597E-2</v>
      </c>
    </row>
    <row r="12" spans="1:7" x14ac:dyDescent="0.3">
      <c r="A12" t="s">
        <v>32</v>
      </c>
      <c r="C12">
        <v>7.5761910412443798E-3</v>
      </c>
      <c r="D12">
        <v>5.7843971732786338E-3</v>
      </c>
      <c r="F12" t="s">
        <v>33</v>
      </c>
      <c r="G12" s="7">
        <v>2.6449588552891392E-2</v>
      </c>
    </row>
    <row r="13" spans="1:7" x14ac:dyDescent="0.3">
      <c r="A13" t="s">
        <v>59</v>
      </c>
      <c r="C13">
        <v>1.4757899390164336E-2</v>
      </c>
      <c r="D13">
        <v>1.3401995252990538E-2</v>
      </c>
      <c r="F13" t="s">
        <v>32</v>
      </c>
      <c r="G13" s="7">
        <v>1.1798055345557121E-2</v>
      </c>
    </row>
    <row r="14" spans="1:7" x14ac:dyDescent="0.3">
      <c r="A14" t="s">
        <v>57</v>
      </c>
      <c r="C14">
        <v>7.6695465815274626E-3</v>
      </c>
      <c r="D14">
        <v>5.8978105441924583E-3</v>
      </c>
      <c r="F14" t="s">
        <v>59</v>
      </c>
      <c r="G14" s="7">
        <v>2.801635778843441E-2</v>
      </c>
    </row>
    <row r="15" spans="1:7" x14ac:dyDescent="0.3">
      <c r="A15" t="s">
        <v>56</v>
      </c>
      <c r="C15">
        <v>1.465454147056521E-2</v>
      </c>
      <c r="D15">
        <v>1.3175168511162887E-2</v>
      </c>
      <c r="F15" t="s">
        <v>57</v>
      </c>
      <c r="G15" s="7">
        <v>1.2606592417489421E-2</v>
      </c>
    </row>
    <row r="16" spans="1:7" x14ac:dyDescent="0.3">
      <c r="A16" t="s">
        <v>56</v>
      </c>
      <c r="C16">
        <v>1.4637870838371803E-2</v>
      </c>
      <c r="D16">
        <v>1.3439799709961814E-2</v>
      </c>
      <c r="F16" t="s">
        <v>56</v>
      </c>
      <c r="G16" s="7">
        <v>2.7850808908321575E-2</v>
      </c>
    </row>
    <row r="17" spans="1:7" x14ac:dyDescent="0.3">
      <c r="A17" t="s">
        <v>55</v>
      </c>
      <c r="C17">
        <v>7.672880707966144E-3</v>
      </c>
      <c r="D17">
        <v>5.9734194581350089E-3</v>
      </c>
      <c r="F17" t="s">
        <v>56</v>
      </c>
      <c r="G17" s="7">
        <v>2.7851723543018337E-2</v>
      </c>
    </row>
    <row r="18" spans="1:7" x14ac:dyDescent="0.3">
      <c r="A18" t="s">
        <v>3</v>
      </c>
      <c r="C18">
        <v>1.4971283482239953E-2</v>
      </c>
      <c r="D18">
        <v>1.4086255924170612E-2</v>
      </c>
      <c r="F18" t="s">
        <v>55</v>
      </c>
      <c r="G18" s="7">
        <v>1.2722751023977434E-2</v>
      </c>
    </row>
    <row r="19" spans="1:7" x14ac:dyDescent="0.3">
      <c r="A19" t="s">
        <v>4</v>
      </c>
      <c r="C19">
        <v>7.7295608574237265E-3</v>
      </c>
      <c r="D19">
        <v>5.9847607952263904E-3</v>
      </c>
      <c r="F19" t="s">
        <v>3</v>
      </c>
      <c r="G19" s="7">
        <v>2.6814527796897032E-2</v>
      </c>
    </row>
    <row r="20" spans="1:7" x14ac:dyDescent="0.3">
      <c r="A20" t="s">
        <v>58</v>
      </c>
      <c r="C20">
        <v>1.4494503401508499E-2</v>
      </c>
      <c r="D20">
        <v>1.3723333137246373E-2</v>
      </c>
      <c r="F20" t="s">
        <v>3</v>
      </c>
      <c r="G20" s="7">
        <v>2.6458734899858959E-2</v>
      </c>
    </row>
    <row r="21" spans="1:7" x14ac:dyDescent="0.3">
      <c r="A21" t="s">
        <v>54</v>
      </c>
      <c r="C21">
        <v>4.9722382926341265E-3</v>
      </c>
      <c r="D21">
        <v>3.8563698677436097E-3</v>
      </c>
      <c r="F21" t="s">
        <v>4</v>
      </c>
      <c r="G21" s="7">
        <v>1.2007506691114247E-2</v>
      </c>
    </row>
    <row r="22" spans="1:7" x14ac:dyDescent="0.3">
      <c r="A22" t="s">
        <v>54</v>
      </c>
      <c r="C22">
        <v>4.8888851316670886E-3</v>
      </c>
      <c r="D22">
        <v>3.7883218451953147E-3</v>
      </c>
      <c r="F22" t="s">
        <v>4</v>
      </c>
      <c r="G22" s="7">
        <v>1.1948970070521862E-2</v>
      </c>
    </row>
    <row r="23" spans="1:7" x14ac:dyDescent="0.3">
      <c r="A23" t="s">
        <v>53</v>
      </c>
      <c r="C23">
        <v>1.4181095516272437E-2</v>
      </c>
      <c r="D23">
        <v>1.3432238818567558E-2</v>
      </c>
      <c r="F23" t="s">
        <v>58</v>
      </c>
      <c r="G23" s="7">
        <v>2.8332821393511985E-2</v>
      </c>
    </row>
    <row r="24" spans="1:7" x14ac:dyDescent="0.3">
      <c r="A24" t="s">
        <v>52</v>
      </c>
      <c r="C24">
        <v>7.7528997424944996E-3</v>
      </c>
      <c r="D24">
        <v>6.1624417429913822E-3</v>
      </c>
      <c r="F24" t="s">
        <v>54</v>
      </c>
      <c r="G24" s="7">
        <v>7.6328089365303234E-3</v>
      </c>
    </row>
    <row r="25" spans="1:7" x14ac:dyDescent="0.3">
      <c r="A25" t="s">
        <v>5</v>
      </c>
      <c r="C25">
        <v>1.4467830389999048E-2</v>
      </c>
      <c r="D25">
        <v>1.3802722496886053E-2</v>
      </c>
      <c r="F25" t="s">
        <v>54</v>
      </c>
      <c r="G25" s="7">
        <v>7.6401260141043727E-3</v>
      </c>
    </row>
    <row r="26" spans="1:7" x14ac:dyDescent="0.3">
      <c r="A26" t="s">
        <v>5</v>
      </c>
      <c r="C26">
        <v>1.4404481987664097E-2</v>
      </c>
      <c r="D26">
        <v>1.3768698485611902E-2</v>
      </c>
      <c r="F26" t="s">
        <v>53</v>
      </c>
      <c r="G26" s="7">
        <v>2.7601113636107188E-2</v>
      </c>
    </row>
    <row r="27" spans="1:7" x14ac:dyDescent="0.3">
      <c r="A27" t="s">
        <v>6</v>
      </c>
      <c r="C27">
        <v>7.3461363169753562E-3</v>
      </c>
      <c r="D27">
        <v>6.16622218868851E-3</v>
      </c>
      <c r="F27" t="s">
        <v>52</v>
      </c>
      <c r="G27" s="7">
        <v>1.2802324242595205E-2</v>
      </c>
    </row>
    <row r="28" spans="1:7" x14ac:dyDescent="0.3">
      <c r="A28" t="s">
        <v>51</v>
      </c>
      <c r="C28">
        <v>1.3364234538795466E-2</v>
      </c>
      <c r="D28">
        <v>1.2850050181209924E-2</v>
      </c>
      <c r="F28" t="s">
        <v>5</v>
      </c>
      <c r="G28" s="7">
        <v>2.6738613117066285E-2</v>
      </c>
    </row>
    <row r="29" spans="1:7" x14ac:dyDescent="0.3">
      <c r="A29" t="s">
        <v>51</v>
      </c>
      <c r="C29">
        <v>1.3450921826201188E-2</v>
      </c>
      <c r="D29">
        <v>1.2755539038781735E-2</v>
      </c>
      <c r="F29" t="s">
        <v>6</v>
      </c>
      <c r="G29" s="7">
        <v>1.2036775001410436E-2</v>
      </c>
    </row>
    <row r="30" spans="1:7" x14ac:dyDescent="0.3">
      <c r="A30" t="s">
        <v>50</v>
      </c>
      <c r="C30">
        <v>7.5428497768575634E-3</v>
      </c>
      <c r="D30">
        <v>6.1813439714770201E-3</v>
      </c>
      <c r="F30" t="s">
        <v>6</v>
      </c>
      <c r="G30" s="7">
        <v>1.2060555503526093E-2</v>
      </c>
    </row>
    <row r="31" spans="1:7" x14ac:dyDescent="0.3">
      <c r="A31" t="s">
        <v>49</v>
      </c>
      <c r="C31">
        <v>1.4404481987664097E-2</v>
      </c>
      <c r="D31">
        <v>1.3942598987679772E-2</v>
      </c>
      <c r="F31" t="s">
        <v>51</v>
      </c>
      <c r="G31" s="7">
        <v>2.5763612530324397E-2</v>
      </c>
    </row>
    <row r="32" spans="1:7" x14ac:dyDescent="0.3">
      <c r="A32" t="s">
        <v>48</v>
      </c>
      <c r="C32">
        <v>7.4361577308197568E-3</v>
      </c>
      <c r="D32">
        <v>6.1813439714770201E-3</v>
      </c>
      <c r="F32" t="s">
        <v>51</v>
      </c>
      <c r="G32" s="7">
        <v>2.5770929607898445E-2</v>
      </c>
    </row>
    <row r="33" spans="1:7" x14ac:dyDescent="0.3">
      <c r="A33" t="s">
        <v>48</v>
      </c>
      <c r="C33">
        <v>7.4694989952065706E-3</v>
      </c>
      <c r="D33">
        <v>6.2456115483281865E-3</v>
      </c>
      <c r="F33" t="s">
        <v>50</v>
      </c>
      <c r="G33" s="7">
        <v>1.2704458330042311E-2</v>
      </c>
    </row>
    <row r="34" spans="1:7" x14ac:dyDescent="0.3">
      <c r="F34" t="s">
        <v>49</v>
      </c>
      <c r="G34" s="7">
        <v>2.7691662471086034E-2</v>
      </c>
    </row>
    <row r="35" spans="1:7" x14ac:dyDescent="0.3">
      <c r="F35" t="s">
        <v>48</v>
      </c>
      <c r="G35" s="7">
        <v>1.2543482623413257E-2</v>
      </c>
    </row>
    <row r="36" spans="1:7" x14ac:dyDescent="0.3">
      <c r="F36" t="s">
        <v>48</v>
      </c>
      <c r="G36" s="7">
        <v>1.255903141325811E-2</v>
      </c>
    </row>
    <row r="52" spans="1:7" x14ac:dyDescent="0.3">
      <c r="A52" t="s">
        <v>0</v>
      </c>
      <c r="C52" t="s">
        <v>35</v>
      </c>
      <c r="D52" t="s">
        <v>36</v>
      </c>
      <c r="E52" t="s">
        <v>38</v>
      </c>
      <c r="G52" t="s">
        <v>37</v>
      </c>
    </row>
    <row r="53" spans="1:7" x14ac:dyDescent="0.3">
      <c r="A53" t="s">
        <v>31</v>
      </c>
      <c r="C53" s="9">
        <f>AVERAGE(C2:C3)</f>
        <v>1.5264686608843924E-2</v>
      </c>
      <c r="D53" s="9">
        <f>AVERAGE(D2:D3)</f>
        <v>1.3371751687413516E-2</v>
      </c>
      <c r="E53" s="9">
        <f>D53+C53</f>
        <v>2.8636438296257442E-2</v>
      </c>
      <c r="F53" s="9"/>
      <c r="G53" s="9">
        <f>AVERAGE(G2:G3)</f>
        <v>2.6761478984485193E-2</v>
      </c>
    </row>
    <row r="54" spans="1:7" x14ac:dyDescent="0.3">
      <c r="A54" t="s">
        <v>34</v>
      </c>
      <c r="C54" s="9">
        <f t="shared" ref="C54:D57" si="0">C4</f>
        <v>9.15656697317941E-3</v>
      </c>
      <c r="D54" s="9">
        <f t="shared" si="0"/>
        <v>5.8486647501298011E-3</v>
      </c>
      <c r="E54" s="9">
        <f t="shared" ref="E54:E76" si="1">D54+C54</f>
        <v>1.5005231723309212E-2</v>
      </c>
      <c r="F54" s="9"/>
      <c r="G54" s="9">
        <f>AVERAGE(G4:G5)</f>
        <v>1.1292262358251058E-2</v>
      </c>
    </row>
    <row r="55" spans="1:7" x14ac:dyDescent="0.3">
      <c r="A55" t="s">
        <v>63</v>
      </c>
      <c r="C55" s="9">
        <f t="shared" si="0"/>
        <v>1.0296838215208486E-2</v>
      </c>
      <c r="D55" s="9">
        <f t="shared" si="0"/>
        <v>8.8881430906203075E-3</v>
      </c>
      <c r="E55" s="9"/>
      <c r="F55" s="9"/>
      <c r="G55" s="9">
        <f>G6</f>
        <v>2.8029162674189E-2</v>
      </c>
    </row>
    <row r="56" spans="1:7" x14ac:dyDescent="0.3">
      <c r="A56" t="s">
        <v>62</v>
      </c>
      <c r="C56" s="9">
        <f t="shared" si="0"/>
        <v>7.6762148344048245E-3</v>
      </c>
      <c r="D56" s="9">
        <f t="shared" si="0"/>
        <v>5.6369597910906604E-3</v>
      </c>
      <c r="E56" s="9">
        <f t="shared" si="1"/>
        <v>1.3313174625495486E-2</v>
      </c>
      <c r="F56" s="9"/>
      <c r="G56" s="9">
        <f t="shared" ref="G56:G57" si="2">G7</f>
        <v>1.2267262944992948E-2</v>
      </c>
    </row>
    <row r="57" spans="1:7" x14ac:dyDescent="0.3">
      <c r="A57" t="s">
        <v>61</v>
      </c>
      <c r="C57" s="9">
        <f t="shared" si="0"/>
        <v>1.5034631884574901E-2</v>
      </c>
      <c r="D57" s="9">
        <f t="shared" si="0"/>
        <v>1.3326386339047987E-2</v>
      </c>
      <c r="E57" s="9">
        <f t="shared" si="1"/>
        <v>2.8361018223622886E-2</v>
      </c>
      <c r="F57" s="9"/>
      <c r="G57" s="9">
        <f t="shared" si="2"/>
        <v>2.7930382126939345E-2</v>
      </c>
    </row>
    <row r="58" spans="1:7" x14ac:dyDescent="0.3">
      <c r="A58" t="s">
        <v>60</v>
      </c>
      <c r="C58" s="9">
        <f>AVERAGE(C8:C9)</f>
        <v>7.7745715643459286E-3</v>
      </c>
      <c r="D58" s="9">
        <f>AVERAGE(D8:D9)</f>
        <v>5.7106784821846467E-3</v>
      </c>
      <c r="E58" s="9">
        <f t="shared" si="1"/>
        <v>1.3485250046530575E-2</v>
      </c>
      <c r="F58" s="9"/>
      <c r="G58" s="9">
        <f>AVERAGE(G9:G10)</f>
        <v>1.2499580157968967E-2</v>
      </c>
    </row>
    <row r="59" spans="1:7" x14ac:dyDescent="0.3">
      <c r="A59" t="s">
        <v>33</v>
      </c>
      <c r="C59" s="9">
        <f>C10</f>
        <v>1.4894598574150278E-2</v>
      </c>
      <c r="D59" s="9">
        <f>D10</f>
        <v>1.3553213080875638E-2</v>
      </c>
      <c r="E59" s="9">
        <f t="shared" si="1"/>
        <v>2.8447811655025915E-2</v>
      </c>
      <c r="F59" s="9"/>
      <c r="G59" s="9">
        <f>AVERAGE(G11:G12)</f>
        <v>2.6503551999999993E-2</v>
      </c>
    </row>
    <row r="60" spans="1:7" x14ac:dyDescent="0.3">
      <c r="A60" t="s">
        <v>32</v>
      </c>
      <c r="C60">
        <f>AVERAGE(C11:C12)</f>
        <v>7.5928616734377875E-3</v>
      </c>
      <c r="D60">
        <f>AVERAGE(D11:D12)</f>
        <v>5.7862873961271964E-3</v>
      </c>
      <c r="E60" s="9">
        <f t="shared" si="1"/>
        <v>1.3379149069564984E-2</v>
      </c>
      <c r="G60" s="7">
        <f>G13</f>
        <v>1.1798055345557121E-2</v>
      </c>
    </row>
    <row r="61" spans="1:7" x14ac:dyDescent="0.3">
      <c r="A61" t="s">
        <v>59</v>
      </c>
      <c r="C61">
        <f>C13</f>
        <v>1.4757899390164336E-2</v>
      </c>
      <c r="D61">
        <f>D13</f>
        <v>1.3401995252990538E-2</v>
      </c>
      <c r="E61" s="9">
        <f t="shared" si="1"/>
        <v>2.8159894643154874E-2</v>
      </c>
      <c r="G61" s="7">
        <f t="shared" ref="G61:G62" si="3">G14</f>
        <v>2.801635778843441E-2</v>
      </c>
    </row>
    <row r="62" spans="1:7" x14ac:dyDescent="0.3">
      <c r="A62" t="s">
        <v>57</v>
      </c>
      <c r="C62">
        <f>C14</f>
        <v>7.6695465815274626E-3</v>
      </c>
      <c r="D62">
        <f>D14</f>
        <v>5.8978105441924583E-3</v>
      </c>
      <c r="E62" s="9">
        <f t="shared" si="1"/>
        <v>1.3567357125719921E-2</v>
      </c>
      <c r="G62" s="7">
        <f t="shared" si="3"/>
        <v>1.2606592417489421E-2</v>
      </c>
    </row>
    <row r="63" spans="1:7" x14ac:dyDescent="0.3">
      <c r="A63" t="s">
        <v>56</v>
      </c>
      <c r="C63">
        <f>AVERAGE(C15:C16)</f>
        <v>1.4646206154468506E-2</v>
      </c>
      <c r="D63">
        <f>AVERAGE(D15:D16)</f>
        <v>1.3307484110562351E-2</v>
      </c>
      <c r="E63" s="9">
        <f t="shared" si="1"/>
        <v>2.7953690265030855E-2</v>
      </c>
      <c r="G63" s="7">
        <f>AVERAGE(G16:G17)</f>
        <v>2.7851266225669954E-2</v>
      </c>
    </row>
    <row r="64" spans="1:7" x14ac:dyDescent="0.3">
      <c r="A64" t="s">
        <v>66</v>
      </c>
      <c r="C64">
        <f t="shared" ref="C64:D67" si="4">C17</f>
        <v>7.672880707966144E-3</v>
      </c>
      <c r="D64">
        <f t="shared" si="4"/>
        <v>5.9734194581350089E-3</v>
      </c>
      <c r="E64" s="9">
        <f t="shared" si="1"/>
        <v>1.3646300166101154E-2</v>
      </c>
      <c r="G64" s="7">
        <f>G18</f>
        <v>1.2722751023977434E-2</v>
      </c>
    </row>
    <row r="65" spans="1:7" x14ac:dyDescent="0.3">
      <c r="A65" t="s">
        <v>3</v>
      </c>
      <c r="C65">
        <f t="shared" si="4"/>
        <v>1.4971283482239953E-2</v>
      </c>
      <c r="D65">
        <f t="shared" si="4"/>
        <v>1.4086255924170612E-2</v>
      </c>
      <c r="E65" s="9">
        <f t="shared" si="1"/>
        <v>2.9057539406410565E-2</v>
      </c>
      <c r="G65" s="7">
        <f>AVERAGE(G19:G20)</f>
        <v>2.6636631348377994E-2</v>
      </c>
    </row>
    <row r="66" spans="1:7" x14ac:dyDescent="0.3">
      <c r="A66" t="s">
        <v>4</v>
      </c>
      <c r="C66">
        <f t="shared" si="4"/>
        <v>7.7295608574237265E-3</v>
      </c>
      <c r="D66">
        <f t="shared" si="4"/>
        <v>5.9847607952263904E-3</v>
      </c>
      <c r="E66" s="9">
        <f t="shared" si="1"/>
        <v>1.3714321652650116E-2</v>
      </c>
      <c r="G66" s="7">
        <f>AVERAGE(G21:G22)</f>
        <v>1.1978238380818055E-2</v>
      </c>
    </row>
    <row r="67" spans="1:7" x14ac:dyDescent="0.3">
      <c r="A67" t="s">
        <v>58</v>
      </c>
      <c r="C67">
        <f t="shared" si="4"/>
        <v>1.4494503401508499E-2</v>
      </c>
      <c r="D67">
        <f t="shared" si="4"/>
        <v>1.3723333137246373E-2</v>
      </c>
      <c r="E67" s="9">
        <f t="shared" si="1"/>
        <v>2.821783653875487E-2</v>
      </c>
      <c r="G67" s="7">
        <f>G23</f>
        <v>2.8332821393511985E-2</v>
      </c>
    </row>
    <row r="68" spans="1:7" x14ac:dyDescent="0.3">
      <c r="A68" t="s">
        <v>54</v>
      </c>
      <c r="C68">
        <f>AVERAGE(C21:C22)</f>
        <v>4.9305617121506076E-3</v>
      </c>
      <c r="D68">
        <f>AVERAGE(D21:D22)</f>
        <v>3.8223458564694622E-3</v>
      </c>
      <c r="E68" s="9"/>
      <c r="G68" s="7"/>
    </row>
    <row r="69" spans="1:7" x14ac:dyDescent="0.3">
      <c r="A69" t="s">
        <v>53</v>
      </c>
      <c r="C69">
        <f>C23</f>
        <v>1.4181095516272437E-2</v>
      </c>
      <c r="D69">
        <f>D23</f>
        <v>1.3432238818567558E-2</v>
      </c>
      <c r="E69" s="9">
        <f t="shared" si="1"/>
        <v>2.7613334334839996E-2</v>
      </c>
      <c r="G69" s="7">
        <f>G26</f>
        <v>2.7601113636107188E-2</v>
      </c>
    </row>
    <row r="70" spans="1:7" x14ac:dyDescent="0.3">
      <c r="A70" t="s">
        <v>52</v>
      </c>
      <c r="C70">
        <f>C24</f>
        <v>7.7528997424944996E-3</v>
      </c>
      <c r="D70">
        <f>D24</f>
        <v>6.1624417429913822E-3</v>
      </c>
      <c r="E70" s="9">
        <f t="shared" si="1"/>
        <v>1.3915341485485882E-2</v>
      </c>
      <c r="G70" s="7">
        <f t="shared" ref="G70:G71" si="5">G27</f>
        <v>1.2802324242595205E-2</v>
      </c>
    </row>
    <row r="71" spans="1:7" x14ac:dyDescent="0.3">
      <c r="A71" t="s">
        <v>5</v>
      </c>
      <c r="C71">
        <f>AVERAGE(C25:C26)</f>
        <v>1.4436156188831572E-2</v>
      </c>
      <c r="D71">
        <f>AVERAGE(D25:D26)</f>
        <v>1.3785710491248979E-2</v>
      </c>
      <c r="E71" s="9">
        <f t="shared" si="1"/>
        <v>2.8221866680080553E-2</v>
      </c>
      <c r="G71" s="7">
        <f t="shared" si="5"/>
        <v>2.6738613117066285E-2</v>
      </c>
    </row>
    <row r="72" spans="1:7" x14ac:dyDescent="0.3">
      <c r="A72" t="s">
        <v>6</v>
      </c>
      <c r="C72">
        <f>C27</f>
        <v>7.3461363169753562E-3</v>
      </c>
      <c r="D72">
        <f>D27</f>
        <v>6.16622218868851E-3</v>
      </c>
      <c r="E72" s="9">
        <f t="shared" si="1"/>
        <v>1.3512358505663867E-2</v>
      </c>
      <c r="G72" s="7">
        <f>AVERAGE(G29:G30)</f>
        <v>1.2048665252468265E-2</v>
      </c>
    </row>
    <row r="73" spans="1:7" x14ac:dyDescent="0.3">
      <c r="A73" t="s">
        <v>51</v>
      </c>
      <c r="C73">
        <f>AVERAGE(C28:C29)</f>
        <v>1.3407578182498327E-2</v>
      </c>
      <c r="D73">
        <f>AVERAGE(D28:D29)</f>
        <v>1.2802794609995829E-2</v>
      </c>
      <c r="E73" s="9">
        <f t="shared" si="1"/>
        <v>2.6210372792494156E-2</v>
      </c>
      <c r="G73" s="7">
        <f>AVERAGE(G31:G32)</f>
        <v>2.5767271069111419E-2</v>
      </c>
    </row>
    <row r="74" spans="1:7" x14ac:dyDescent="0.3">
      <c r="A74" t="s">
        <v>50</v>
      </c>
      <c r="C74">
        <f>C30</f>
        <v>7.5428497768575634E-3</v>
      </c>
      <c r="D74">
        <f>D30</f>
        <v>6.1813439714770201E-3</v>
      </c>
      <c r="E74" s="9">
        <f t="shared" si="1"/>
        <v>1.3724193748334584E-2</v>
      </c>
      <c r="G74" s="7">
        <f>G33</f>
        <v>1.2704458330042311E-2</v>
      </c>
    </row>
    <row r="75" spans="1:7" x14ac:dyDescent="0.3">
      <c r="A75" t="s">
        <v>49</v>
      </c>
      <c r="C75">
        <f>C31</f>
        <v>1.4404481987664097E-2</v>
      </c>
      <c r="D75">
        <f>D31</f>
        <v>1.3942598987679772E-2</v>
      </c>
      <c r="E75" s="9">
        <f t="shared" si="1"/>
        <v>2.8347080975343868E-2</v>
      </c>
      <c r="G75" s="7">
        <f>G34</f>
        <v>2.7691662471086034E-2</v>
      </c>
    </row>
    <row r="76" spans="1:7" x14ac:dyDescent="0.3">
      <c r="A76" t="s">
        <v>48</v>
      </c>
      <c r="C76">
        <f>AVERAGE(C32:C33)</f>
        <v>7.4528283630131637E-3</v>
      </c>
      <c r="D76">
        <f>AVERAGE(D32:D33)</f>
        <v>6.2134777599026029E-3</v>
      </c>
      <c r="E76" s="9">
        <f t="shared" si="1"/>
        <v>1.3666306122915767E-2</v>
      </c>
      <c r="G76" s="7">
        <f>AVERAGE(G35:G36)</f>
        <v>1.2551257018335683E-2</v>
      </c>
    </row>
    <row r="78" spans="1:7" x14ac:dyDescent="0.3">
      <c r="A78" t="s">
        <v>43</v>
      </c>
      <c r="E78">
        <v>1.7000000000000001E-2</v>
      </c>
      <c r="G78">
        <v>1.7000000000000001E-2</v>
      </c>
    </row>
    <row r="80" spans="1:7" x14ac:dyDescent="0.3">
      <c r="A80" t="s">
        <v>39</v>
      </c>
    </row>
    <row r="81" spans="1:14" x14ac:dyDescent="0.3">
      <c r="A81" t="s">
        <v>40</v>
      </c>
    </row>
    <row r="82" spans="1:14" x14ac:dyDescent="0.3">
      <c r="A82" t="s">
        <v>41</v>
      </c>
    </row>
    <row r="84" spans="1:14" x14ac:dyDescent="0.3">
      <c r="A84" t="s">
        <v>42</v>
      </c>
    </row>
    <row r="86" spans="1:14" x14ac:dyDescent="0.3">
      <c r="A86" t="s">
        <v>64</v>
      </c>
      <c r="J86" t="s">
        <v>67</v>
      </c>
    </row>
    <row r="87" spans="1:14" x14ac:dyDescent="0.3">
      <c r="C87" t="s">
        <v>68</v>
      </c>
      <c r="D87" t="s">
        <v>69</v>
      </c>
      <c r="E87" t="s">
        <v>70</v>
      </c>
      <c r="G87" t="s">
        <v>71</v>
      </c>
      <c r="J87" t="s">
        <v>68</v>
      </c>
      <c r="K87" t="s">
        <v>69</v>
      </c>
      <c r="L87" t="s">
        <v>70</v>
      </c>
      <c r="N87" t="s">
        <v>71</v>
      </c>
    </row>
    <row r="88" spans="1:14" x14ac:dyDescent="0.3">
      <c r="A88" t="s">
        <v>44</v>
      </c>
      <c r="C88" s="9">
        <f>AVERAGE(C54,C56,C58)</f>
        <v>8.2024511239767207E-3</v>
      </c>
      <c r="D88" s="9">
        <f t="shared" ref="D88:E88" si="6">AVERAGE(D54,D56,D58)</f>
        <v>5.7321010078017027E-3</v>
      </c>
      <c r="E88" s="9">
        <f t="shared" si="6"/>
        <v>1.3934552131778424E-2</v>
      </c>
      <c r="F88" s="9"/>
      <c r="G88" s="9">
        <f>AVERAGE(G54,G56,G58)</f>
        <v>1.2019701820404323E-2</v>
      </c>
      <c r="H88" t="s">
        <v>44</v>
      </c>
      <c r="J88" s="9">
        <f>STDEV(C54,C56,C58)</f>
        <v>8.2775074862908042E-4</v>
      </c>
      <c r="K88" s="9">
        <f>STDEV(D54,D56,D58)</f>
        <v>1.0746599868470551E-4</v>
      </c>
      <c r="L88" s="9">
        <f>STDEV(E54,E56,E58)</f>
        <v>9.3121886708845273E-4</v>
      </c>
      <c r="M88" s="9"/>
      <c r="N88" s="9">
        <f>STDEV(G54,G56,G58)</f>
        <v>6.4060046064970269E-4</v>
      </c>
    </row>
    <row r="89" spans="1:14" x14ac:dyDescent="0.3">
      <c r="A89" t="s">
        <v>45</v>
      </c>
      <c r="C89">
        <f>AVERAGE(C60,C62,C64)</f>
        <v>7.6450963209771308E-3</v>
      </c>
      <c r="D89">
        <f t="shared" ref="D89:E89" si="7">AVERAGE(D60,D62,D64)</f>
        <v>5.8858391328182212E-3</v>
      </c>
      <c r="E89">
        <f t="shared" si="7"/>
        <v>1.3530935453795351E-2</v>
      </c>
      <c r="G89">
        <f>AVERAGE(G60,G62,G64)</f>
        <v>1.237579959567466E-2</v>
      </c>
      <c r="H89" t="s">
        <v>45</v>
      </c>
      <c r="J89">
        <f>STDEV(C60,C62,C64)</f>
        <v>4.5267238732298333E-5</v>
      </c>
      <c r="K89">
        <f>STDEV(D60,D62,D64)</f>
        <v>9.4138664615249132E-5</v>
      </c>
      <c r="L89">
        <f>STDEV(E60,E62,E64)</f>
        <v>1.3724915567847821E-4</v>
      </c>
      <c r="N89">
        <f>STDEV(G60,G62,G64)</f>
        <v>5.0370082328026432E-4</v>
      </c>
    </row>
    <row r="90" spans="1:14" x14ac:dyDescent="0.3">
      <c r="A90" t="s">
        <v>46</v>
      </c>
      <c r="C90">
        <f>AVERAGE(C66,C68,C70)</f>
        <v>6.8043407706896118E-3</v>
      </c>
      <c r="D90">
        <f t="shared" ref="D90:E90" si="8">AVERAGE(D66,D68,D70)</f>
        <v>5.3231827982290784E-3</v>
      </c>
      <c r="E90">
        <f t="shared" si="8"/>
        <v>1.3814831569067999E-2</v>
      </c>
      <c r="G90" s="7">
        <f>AVERAGE(G66,G68,G70)</f>
        <v>1.2390281311706629E-2</v>
      </c>
      <c r="H90" t="s">
        <v>46</v>
      </c>
      <c r="J90">
        <f>STDEV(C66,C68,C70)</f>
        <v>1.6227822238530877E-3</v>
      </c>
      <c r="K90">
        <f>STDEV(D66,D68,D70)</f>
        <v>1.30279556113476E-3</v>
      </c>
      <c r="L90">
        <f>STDEV(E66,E68,E70)</f>
        <v>1.4214248695115623E-4</v>
      </c>
      <c r="N90">
        <f>STDEV(G66,G68,G70)</f>
        <v>5.8271670114258274E-4</v>
      </c>
    </row>
    <row r="91" spans="1:14" x14ac:dyDescent="0.3">
      <c r="A91" t="s">
        <v>47</v>
      </c>
      <c r="C91">
        <f>AVERAGE(C72,C74,C76)</f>
        <v>7.4472714856153614E-3</v>
      </c>
      <c r="D91">
        <f>AVERAGE(D72,D74,D76)</f>
        <v>6.1870146400227104E-3</v>
      </c>
      <c r="E91">
        <f>AVERAGE(E72,E74,E76)</f>
        <v>1.3634286125638074E-2</v>
      </c>
      <c r="G91">
        <f>AVERAGE(G72,G74,G76)</f>
        <v>1.243479353361542E-2</v>
      </c>
      <c r="H91" t="s">
        <v>47</v>
      </c>
      <c r="J91">
        <f>STDEV(C72,C74,C76)</f>
        <v>9.8474390018511146E-5</v>
      </c>
      <c r="K91">
        <f>STDEV(D72,D74,D76)</f>
        <v>2.4132749822779573E-5</v>
      </c>
      <c r="L91">
        <f>STDEV(E72,E74,E76)</f>
        <v>1.0948745443468899E-4</v>
      </c>
      <c r="N91">
        <f>STDEV(G72,G74,G76)</f>
        <v>3.4305822771564596E-4</v>
      </c>
    </row>
    <row r="95" spans="1:14" x14ac:dyDescent="0.3">
      <c r="A95" t="s">
        <v>65</v>
      </c>
    </row>
    <row r="96" spans="1:14" x14ac:dyDescent="0.3">
      <c r="A96" t="s">
        <v>44</v>
      </c>
      <c r="C96" s="9">
        <f>AVERAGE(C53,C55,C57)</f>
        <v>1.3532052236209104E-2</v>
      </c>
      <c r="D96" s="9">
        <f>AVERAGE(D53,D55,D57)</f>
        <v>1.1862093705693938E-2</v>
      </c>
      <c r="E96" s="9">
        <f>AVERAGE(E53,E55,E57)</f>
        <v>2.8498728259940164E-2</v>
      </c>
      <c r="F96" s="9"/>
      <c r="G96" s="9">
        <f>AVERAGE(G53,G55,G57)</f>
        <v>2.7573674595204514E-2</v>
      </c>
      <c r="H96" t="s">
        <v>44</v>
      </c>
      <c r="J96" s="9">
        <f>STDEV(C53,C55,C57)</f>
        <v>2.8041377668186819E-3</v>
      </c>
      <c r="K96" s="9">
        <f>STDEV(D53,D55,D57)</f>
        <v>2.5756166639041406E-3</v>
      </c>
      <c r="L96" s="9">
        <f>STDEV(E53,E55,E57)</f>
        <v>1.9475140103478639E-4</v>
      </c>
      <c r="M96" s="9"/>
      <c r="N96" s="9">
        <f>STDEV(G53,G55,G57)</f>
        <v>7.0511394943124721E-4</v>
      </c>
    </row>
    <row r="97" spans="1:14" x14ac:dyDescent="0.3">
      <c r="A97" t="s">
        <v>45</v>
      </c>
      <c r="C97" s="9">
        <f>AVERAGE(C59,C61,C63)</f>
        <v>1.4766234706261039E-2</v>
      </c>
      <c r="D97" s="9">
        <f t="shared" ref="D97:G97" si="9">AVERAGE(D59,D61,D63)</f>
        <v>1.3420897481476174E-2</v>
      </c>
      <c r="E97" s="9">
        <f t="shared" si="9"/>
        <v>2.8187132187737218E-2</v>
      </c>
      <c r="F97" s="9"/>
      <c r="G97" s="9">
        <f t="shared" si="9"/>
        <v>2.745705867136812E-2</v>
      </c>
      <c r="H97" t="s">
        <v>45</v>
      </c>
      <c r="J97">
        <f>STDEV(C59,C61,C63)</f>
        <v>1.2440581441261245E-4</v>
      </c>
      <c r="K97">
        <f>STDEV(D59,D61,D63)</f>
        <v>1.2395020126687771E-4</v>
      </c>
      <c r="L97">
        <f>STDEV(E59,E61,E63)</f>
        <v>2.4818420555873202E-4</v>
      </c>
      <c r="N97">
        <f>STDEV(G59,G61,G63)</f>
        <v>8.2987651809268931E-4</v>
      </c>
    </row>
    <row r="98" spans="1:14" x14ac:dyDescent="0.3">
      <c r="A98" t="s">
        <v>46</v>
      </c>
      <c r="C98">
        <f>AVERAGE(C65,C67,C69)</f>
        <v>1.4548960800006963E-2</v>
      </c>
      <c r="D98">
        <f>AVERAGE(D65,D67,D69)</f>
        <v>1.3747275959994849E-2</v>
      </c>
      <c r="E98">
        <f>AVERAGE(E65,E67,E69)</f>
        <v>2.829623676000181E-2</v>
      </c>
      <c r="G98">
        <f>AVERAGE(G65,G67,G69)</f>
        <v>2.7523522125999057E-2</v>
      </c>
      <c r="H98" t="s">
        <v>46</v>
      </c>
      <c r="J98">
        <f>STDEV(C65,C67,C69)</f>
        <v>3.9789880821433139E-4</v>
      </c>
      <c r="K98">
        <f>STDEV(D65,D67,D69)</f>
        <v>3.2766528298894086E-4</v>
      </c>
      <c r="L98">
        <f>STDEV(E65,E67,E69)</f>
        <v>7.2528754174204274E-4</v>
      </c>
      <c r="N98">
        <f>STDEV(G65,G67,G69)</f>
        <v>8.5075290133713761E-4</v>
      </c>
    </row>
    <row r="99" spans="1:14" x14ac:dyDescent="0.3">
      <c r="A99" t="s">
        <v>47</v>
      </c>
      <c r="C99">
        <f>AVERAGE(C71,C73,C75)</f>
        <v>1.4082738786331331E-2</v>
      </c>
      <c r="D99">
        <f>AVERAGE(D71,D73,D75)</f>
        <v>1.3510368029641527E-2</v>
      </c>
      <c r="E99">
        <f>AVERAGE(E71,E73,E75)</f>
        <v>2.7593106815972861E-2</v>
      </c>
      <c r="G99">
        <f>AVERAGE(G71,G73,G75)</f>
        <v>2.6732515552421246E-2</v>
      </c>
      <c r="H99" t="s">
        <v>47</v>
      </c>
      <c r="J99">
        <f>STDEV(C71,C73,C75)</f>
        <v>5.8492067366525027E-4</v>
      </c>
      <c r="K99">
        <f>STDEV(D71,D73,D75)</f>
        <v>6.177771509370579E-4</v>
      </c>
      <c r="L99">
        <f>STDEV(E71,E73,E75)</f>
        <v>1.199118296790927E-3</v>
      </c>
      <c r="N99">
        <f>STDEV(G71,G73,G75)</f>
        <v>9.6221019128847607E-4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H29" sqref="H29"/>
    </sheetView>
  </sheetViews>
  <sheetFormatPr defaultRowHeight="14.4" x14ac:dyDescent="0.3"/>
  <sheetData>
    <row r="1" spans="1:14" x14ac:dyDescent="0.3">
      <c r="A1" t="s">
        <v>64</v>
      </c>
      <c r="J1" t="s">
        <v>67</v>
      </c>
    </row>
    <row r="2" spans="1:14" x14ac:dyDescent="0.3">
      <c r="C2" t="s">
        <v>68</v>
      </c>
      <c r="D2" t="s">
        <v>69</v>
      </c>
      <c r="E2" t="s">
        <v>70</v>
      </c>
      <c r="G2" t="s">
        <v>71</v>
      </c>
      <c r="J2" t="s">
        <v>68</v>
      </c>
      <c r="K2" t="s">
        <v>69</v>
      </c>
      <c r="L2" t="s">
        <v>70</v>
      </c>
      <c r="N2" t="s">
        <v>71</v>
      </c>
    </row>
    <row r="3" spans="1:14" x14ac:dyDescent="0.3">
      <c r="A3" t="s">
        <v>44</v>
      </c>
      <c r="C3">
        <v>8.2024511239767207E-3</v>
      </c>
      <c r="D3">
        <v>5.7321010078017027E-3</v>
      </c>
      <c r="E3">
        <v>1.3934552131778424E-2</v>
      </c>
      <c r="G3">
        <v>1.2019701820404323E-2</v>
      </c>
      <c r="H3" t="s">
        <v>44</v>
      </c>
      <c r="J3">
        <v>8.2775074862908042E-4</v>
      </c>
      <c r="K3">
        <v>1.0746599868470551E-4</v>
      </c>
      <c r="L3">
        <v>9.3121886708845273E-4</v>
      </c>
      <c r="N3">
        <v>6.4060046064970269E-4</v>
      </c>
    </row>
    <row r="4" spans="1:14" x14ac:dyDescent="0.3">
      <c r="A4" t="s">
        <v>45</v>
      </c>
      <c r="C4">
        <v>7.6450963209771308E-3</v>
      </c>
      <c r="D4">
        <v>5.8858391328182212E-3</v>
      </c>
      <c r="E4">
        <v>1.3530935453795351E-2</v>
      </c>
      <c r="G4">
        <v>1.237579959567466E-2</v>
      </c>
      <c r="H4" t="s">
        <v>45</v>
      </c>
      <c r="J4">
        <v>4.5267238732298333E-5</v>
      </c>
      <c r="K4">
        <v>9.4138664615249132E-5</v>
      </c>
      <c r="L4">
        <v>1.3724915567847821E-4</v>
      </c>
      <c r="N4">
        <v>5.0370082328026432E-4</v>
      </c>
    </row>
    <row r="5" spans="1:14" x14ac:dyDescent="0.3">
      <c r="A5" t="s">
        <v>46</v>
      </c>
      <c r="C5">
        <v>6.8043407706896118E-3</v>
      </c>
      <c r="D5">
        <v>5.3231827982290784E-3</v>
      </c>
      <c r="E5">
        <v>1.3814831569067999E-2</v>
      </c>
      <c r="G5">
        <v>1.2390281311706629E-2</v>
      </c>
      <c r="H5" t="s">
        <v>46</v>
      </c>
      <c r="J5">
        <v>1.6227822238530877E-3</v>
      </c>
      <c r="K5">
        <v>1.30279556113476E-3</v>
      </c>
      <c r="L5">
        <v>1.4214248695115623E-4</v>
      </c>
      <c r="N5">
        <v>5.8271670114258274E-4</v>
      </c>
    </row>
    <row r="6" spans="1:14" x14ac:dyDescent="0.3">
      <c r="A6" t="s">
        <v>47</v>
      </c>
      <c r="C6">
        <v>7.4472714856153614E-3</v>
      </c>
      <c r="D6">
        <v>6.1870146400227104E-3</v>
      </c>
      <c r="E6">
        <v>1.3634286125638074E-2</v>
      </c>
      <c r="G6">
        <v>1.243479353361542E-2</v>
      </c>
      <c r="H6" t="s">
        <v>47</v>
      </c>
      <c r="J6">
        <v>9.8474390018511146E-5</v>
      </c>
      <c r="K6">
        <v>2.4132749822779573E-5</v>
      </c>
      <c r="L6">
        <v>1.0948745443468899E-4</v>
      </c>
      <c r="N6">
        <v>3.4305822771564596E-4</v>
      </c>
    </row>
    <row r="10" spans="1:14" x14ac:dyDescent="0.3">
      <c r="A10" t="s">
        <v>65</v>
      </c>
    </row>
    <row r="11" spans="1:14" x14ac:dyDescent="0.3">
      <c r="A11" t="s">
        <v>44</v>
      </c>
      <c r="C11">
        <v>1.3532052236209104E-2</v>
      </c>
      <c r="D11">
        <v>1.1862093705693938E-2</v>
      </c>
      <c r="E11">
        <v>2.8498728259940164E-2</v>
      </c>
      <c r="G11">
        <v>2.7573674595204514E-2</v>
      </c>
      <c r="H11" t="s">
        <v>44</v>
      </c>
      <c r="J11">
        <v>2.8041377668186819E-3</v>
      </c>
      <c r="K11">
        <v>2.5756166639041406E-3</v>
      </c>
      <c r="L11">
        <v>1.9475140103478639E-4</v>
      </c>
      <c r="N11">
        <v>7.0511394943124721E-4</v>
      </c>
    </row>
    <row r="12" spans="1:14" x14ac:dyDescent="0.3">
      <c r="A12" t="s">
        <v>45</v>
      </c>
      <c r="C12">
        <v>1.4766234706261039E-2</v>
      </c>
      <c r="D12">
        <v>1.3420897481476174E-2</v>
      </c>
      <c r="E12">
        <v>2.8187132187737218E-2</v>
      </c>
      <c r="G12">
        <v>2.745705867136812E-2</v>
      </c>
      <c r="H12" t="s">
        <v>45</v>
      </c>
      <c r="J12">
        <v>1.2440581441261245E-4</v>
      </c>
      <c r="K12">
        <v>1.2395020126687771E-4</v>
      </c>
      <c r="L12">
        <v>2.4818420555873202E-4</v>
      </c>
      <c r="N12">
        <v>8.2987651809268931E-4</v>
      </c>
    </row>
    <row r="13" spans="1:14" x14ac:dyDescent="0.3">
      <c r="A13" t="s">
        <v>46</v>
      </c>
      <c r="C13">
        <v>1.4548960800006963E-2</v>
      </c>
      <c r="D13">
        <v>1.3747275959994849E-2</v>
      </c>
      <c r="E13">
        <v>2.829623676000181E-2</v>
      </c>
      <c r="G13">
        <v>2.7523522125999057E-2</v>
      </c>
      <c r="H13" t="s">
        <v>46</v>
      </c>
      <c r="J13">
        <v>3.9789880821433139E-4</v>
      </c>
      <c r="K13">
        <v>3.2766528298894086E-4</v>
      </c>
      <c r="L13">
        <v>7.2528754174204274E-4</v>
      </c>
      <c r="N13">
        <v>8.5075290133713761E-4</v>
      </c>
    </row>
    <row r="14" spans="1:14" x14ac:dyDescent="0.3">
      <c r="A14" t="s">
        <v>47</v>
      </c>
      <c r="C14">
        <v>1.4082738786331331E-2</v>
      </c>
      <c r="D14">
        <v>1.3510368029641527E-2</v>
      </c>
      <c r="E14">
        <v>2.7593106815972861E-2</v>
      </c>
      <c r="G14">
        <v>2.6732515552421246E-2</v>
      </c>
      <c r="H14" t="s">
        <v>47</v>
      </c>
      <c r="J14">
        <v>5.8492067366525027E-4</v>
      </c>
      <c r="K14">
        <v>6.177771509370579E-4</v>
      </c>
      <c r="L14">
        <v>1.199118296790927E-3</v>
      </c>
      <c r="N14">
        <v>9.6221019128847607E-4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Cations</vt:lpstr>
      <vt:lpstr>Anions</vt:lpstr>
      <vt:lpstr>Compare</vt:lpstr>
      <vt:lpstr>Averaged Values</vt:lpstr>
    </vt:vector>
  </TitlesOfParts>
  <Company>Twente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Benneker, A.M. (Anne, TNW)</dc:creator>
  <cp:lastModifiedBy>Benneker, A.M. (Anne, TNW)</cp:lastModifiedBy>
  <dcterms:created xsi:type="dcterms:W3CDTF">2016-08-08T12:55:01Z</dcterms:created>
  <dcterms:modified xsi:type="dcterms:W3CDTF">2016-09-28T11:45:42Z</dcterms:modified>
</cp:coreProperties>
</file>