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512"/>
  <workbookPr/>
  <mc:AlternateContent xmlns:mc="http://schemas.openxmlformats.org/markup-compatibility/2006">
    <mc:Choice Requires="x15">
      <x15ac:absPath xmlns:x15ac="http://schemas.microsoft.com/office/spreadsheetml/2010/11/ac" url="/Users/miss_hood/Library/Containers/com.microsoft.Excel/Data/Desktop/RIH/ARI - PostDoc/ZonMw/Data/intratumoural 225Ac/"/>
    </mc:Choice>
  </mc:AlternateContent>
  <xr:revisionPtr revIDLastSave="0" documentId="13_ncr:1_{F495DADA-2402-6843-943F-C87B85C1C794}" xr6:coauthVersionLast="36" xr6:coauthVersionMax="36" xr10:uidLastSave="{00000000-0000-0000-0000-000000000000}"/>
  <bookViews>
    <workbookView xWindow="9400" yWindow="460" windowWidth="19400" windowHeight="17120" activeTab="3" xr2:uid="{00000000-000D-0000-FFFF-FFFF00000000}"/>
  </bookViews>
  <sheets>
    <sheet name="BioD" sheetId="1" r:id="rId1"/>
    <sheet name="Sheet1" sheetId="5" r:id="rId2"/>
    <sheet name="Day 1 - retention" sheetId="3" r:id="rId3"/>
    <sheet name="Day 7 - retention" sheetId="4" r:id="rId4"/>
  </sheet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U6" i="4" l="1"/>
  <c r="T6" i="4"/>
  <c r="S6" i="4"/>
  <c r="R6" i="4"/>
  <c r="R7" i="4" s="1"/>
  <c r="Q6" i="4"/>
  <c r="P6" i="4"/>
  <c r="I10" i="4"/>
  <c r="I9" i="4"/>
  <c r="I8" i="4"/>
  <c r="H10" i="4"/>
  <c r="H9" i="4"/>
  <c r="H8" i="4"/>
  <c r="G10" i="4"/>
  <c r="G9" i="4"/>
  <c r="G8" i="4"/>
  <c r="U5" i="4"/>
  <c r="T5" i="4"/>
  <c r="S5" i="4"/>
  <c r="R5" i="4"/>
  <c r="Q5" i="4"/>
  <c r="P5" i="4"/>
  <c r="T7" i="4" l="1"/>
  <c r="P7" i="4"/>
  <c r="L8" i="3"/>
  <c r="U6" i="3"/>
  <c r="T6" i="3"/>
  <c r="T7" i="3" s="1"/>
  <c r="I10" i="3"/>
  <c r="I9" i="3"/>
  <c r="I8" i="3"/>
  <c r="S6" i="3"/>
  <c r="R6" i="3"/>
  <c r="H10" i="3"/>
  <c r="H9" i="3"/>
  <c r="H8" i="3"/>
  <c r="U5" i="3"/>
  <c r="T5" i="3"/>
  <c r="S5" i="3"/>
  <c r="R5" i="3"/>
  <c r="Q6" i="3"/>
  <c r="P6" i="3"/>
  <c r="G9" i="3"/>
  <c r="G8" i="3"/>
  <c r="Q5" i="3"/>
  <c r="P5" i="3"/>
  <c r="R7" i="3" l="1"/>
  <c r="P7" i="3"/>
  <c r="Z25" i="1" l="1"/>
  <c r="C18" i="4" l="1"/>
  <c r="M154" i="4"/>
  <c r="Q153" i="4"/>
  <c r="J153" i="4"/>
  <c r="C153" i="4"/>
  <c r="C85" i="4"/>
  <c r="J85" i="4"/>
  <c r="Q85" i="4"/>
  <c r="Q18" i="4"/>
  <c r="J18" i="4"/>
  <c r="AA25" i="1"/>
  <c r="L88" i="4"/>
  <c r="F86" i="4"/>
  <c r="F154" i="4"/>
  <c r="T154" i="4"/>
  <c r="T86" i="4"/>
  <c r="M86" i="4"/>
  <c r="T19" i="4"/>
  <c r="M19" i="4"/>
  <c r="F19" i="4"/>
  <c r="E7" i="4"/>
  <c r="D7" i="4"/>
  <c r="E5" i="4"/>
  <c r="D5" i="4"/>
  <c r="E23" i="4"/>
  <c r="S158" i="4"/>
  <c r="L4" i="3"/>
  <c r="M3" i="3"/>
  <c r="L3" i="3"/>
  <c r="M2" i="3"/>
  <c r="L2" i="3"/>
  <c r="S157" i="4"/>
  <c r="T157" i="4"/>
  <c r="T158" i="4"/>
  <c r="S159" i="4"/>
  <c r="T159" i="4"/>
  <c r="T160" i="4"/>
  <c r="S161" i="4"/>
  <c r="T161" i="4"/>
  <c r="T162" i="4"/>
  <c r="S163" i="4"/>
  <c r="T163" i="4"/>
  <c r="T164" i="4"/>
  <c r="S165" i="4"/>
  <c r="T165" i="4"/>
  <c r="T166" i="4"/>
  <c r="S167" i="4"/>
  <c r="T167" i="4"/>
  <c r="T168" i="4"/>
  <c r="S169" i="4"/>
  <c r="T169" i="4"/>
  <c r="T170" i="4"/>
  <c r="S171" i="4"/>
  <c r="T171" i="4"/>
  <c r="T172" i="4"/>
  <c r="S173" i="4"/>
  <c r="T173" i="4"/>
  <c r="T174" i="4"/>
  <c r="S175" i="4"/>
  <c r="T175" i="4"/>
  <c r="T176" i="4"/>
  <c r="S177" i="4"/>
  <c r="T177" i="4"/>
  <c r="T178" i="4"/>
  <c r="S179" i="4"/>
  <c r="T179" i="4"/>
  <c r="T180" i="4"/>
  <c r="S181" i="4"/>
  <c r="T181" i="4"/>
  <c r="T182" i="4"/>
  <c r="S183" i="4"/>
  <c r="T183" i="4"/>
  <c r="T184" i="4"/>
  <c r="S185" i="4"/>
  <c r="T185" i="4"/>
  <c r="T186" i="4"/>
  <c r="S187" i="4"/>
  <c r="T187" i="4"/>
  <c r="T188" i="4"/>
  <c r="S189" i="4"/>
  <c r="T189" i="4"/>
  <c r="T190" i="4"/>
  <c r="S191" i="4"/>
  <c r="T191" i="4"/>
  <c r="T192" i="4"/>
  <c r="S193" i="4"/>
  <c r="T193" i="4"/>
  <c r="T194" i="4"/>
  <c r="S195" i="4"/>
  <c r="T195" i="4"/>
  <c r="T196" i="4"/>
  <c r="S197" i="4"/>
  <c r="T197" i="4"/>
  <c r="T198" i="4"/>
  <c r="S199" i="4"/>
  <c r="T199" i="4"/>
  <c r="T200" i="4"/>
  <c r="S201" i="4"/>
  <c r="T201" i="4"/>
  <c r="T202" i="4"/>
  <c r="S203" i="4"/>
  <c r="T203" i="4"/>
  <c r="T204" i="4"/>
  <c r="S205" i="4"/>
  <c r="T205" i="4"/>
  <c r="T206" i="4"/>
  <c r="S207" i="4"/>
  <c r="T207" i="4"/>
  <c r="T208" i="4"/>
  <c r="S209" i="4"/>
  <c r="T209" i="4"/>
  <c r="T210" i="4"/>
  <c r="S211" i="4"/>
  <c r="T211" i="4"/>
  <c r="T212" i="4"/>
  <c r="S213" i="4"/>
  <c r="T213" i="4"/>
  <c r="T214" i="4"/>
  <c r="S215" i="4"/>
  <c r="T215" i="4"/>
  <c r="T156" i="4"/>
  <c r="L157" i="4"/>
  <c r="M157" i="4"/>
  <c r="M158" i="4"/>
  <c r="L159" i="4"/>
  <c r="M159" i="4"/>
  <c r="M160" i="4"/>
  <c r="L161" i="4"/>
  <c r="M161" i="4"/>
  <c r="M162" i="4"/>
  <c r="L163" i="4"/>
  <c r="M163" i="4"/>
  <c r="M164" i="4"/>
  <c r="L165" i="4"/>
  <c r="M165" i="4"/>
  <c r="M166" i="4"/>
  <c r="L167" i="4"/>
  <c r="M167" i="4"/>
  <c r="M168" i="4"/>
  <c r="L169" i="4"/>
  <c r="M169" i="4"/>
  <c r="M170" i="4"/>
  <c r="L171" i="4"/>
  <c r="M171" i="4"/>
  <c r="M172" i="4"/>
  <c r="L173" i="4"/>
  <c r="M173" i="4"/>
  <c r="M174" i="4"/>
  <c r="L175" i="4"/>
  <c r="M175" i="4"/>
  <c r="M176" i="4"/>
  <c r="L177" i="4"/>
  <c r="M177" i="4"/>
  <c r="M178" i="4"/>
  <c r="L179" i="4"/>
  <c r="M179" i="4"/>
  <c r="M180" i="4"/>
  <c r="L181" i="4"/>
  <c r="M181" i="4"/>
  <c r="M182" i="4"/>
  <c r="L183" i="4"/>
  <c r="M183" i="4"/>
  <c r="M184" i="4"/>
  <c r="L185" i="4"/>
  <c r="M185" i="4"/>
  <c r="M186" i="4"/>
  <c r="L187" i="4"/>
  <c r="M187" i="4"/>
  <c r="M188" i="4"/>
  <c r="L189" i="4"/>
  <c r="M189" i="4"/>
  <c r="M190" i="4"/>
  <c r="L191" i="4"/>
  <c r="M191" i="4"/>
  <c r="M192" i="4"/>
  <c r="L193" i="4"/>
  <c r="M193" i="4"/>
  <c r="M194" i="4"/>
  <c r="L195" i="4"/>
  <c r="M195" i="4"/>
  <c r="M196" i="4"/>
  <c r="L197" i="4"/>
  <c r="M197" i="4"/>
  <c r="M198" i="4"/>
  <c r="L199" i="4"/>
  <c r="M199" i="4"/>
  <c r="M200" i="4"/>
  <c r="L201" i="4"/>
  <c r="M201" i="4"/>
  <c r="M202" i="4"/>
  <c r="L203" i="4"/>
  <c r="M203" i="4"/>
  <c r="M204" i="4"/>
  <c r="L205" i="4"/>
  <c r="M205" i="4"/>
  <c r="M206" i="4"/>
  <c r="L207" i="4"/>
  <c r="M207" i="4"/>
  <c r="M208" i="4"/>
  <c r="L209" i="4"/>
  <c r="M209" i="4"/>
  <c r="M210" i="4"/>
  <c r="L211" i="4"/>
  <c r="M211" i="4"/>
  <c r="M212" i="4"/>
  <c r="L213" i="4"/>
  <c r="M213" i="4"/>
  <c r="M214" i="4"/>
  <c r="L215" i="4"/>
  <c r="M215" i="4"/>
  <c r="M156" i="4"/>
  <c r="L156" i="4"/>
  <c r="F157" i="4"/>
  <c r="E158" i="4"/>
  <c r="F158" i="4"/>
  <c r="F159" i="4"/>
  <c r="E160" i="4"/>
  <c r="F160" i="4"/>
  <c r="F161" i="4"/>
  <c r="E162" i="4"/>
  <c r="F162" i="4"/>
  <c r="F163" i="4"/>
  <c r="E164" i="4"/>
  <c r="F164" i="4"/>
  <c r="F165" i="4"/>
  <c r="E166" i="4"/>
  <c r="F166" i="4"/>
  <c r="F167" i="4"/>
  <c r="E168" i="4"/>
  <c r="F168" i="4"/>
  <c r="F169" i="4"/>
  <c r="E170" i="4"/>
  <c r="F170" i="4"/>
  <c r="F171" i="4"/>
  <c r="E172" i="4"/>
  <c r="F172" i="4"/>
  <c r="F173" i="4"/>
  <c r="E174" i="4"/>
  <c r="F174" i="4"/>
  <c r="F175" i="4"/>
  <c r="E176" i="4"/>
  <c r="F176" i="4"/>
  <c r="F177" i="4"/>
  <c r="E178" i="4"/>
  <c r="F178" i="4"/>
  <c r="F179" i="4"/>
  <c r="E180" i="4"/>
  <c r="F180" i="4"/>
  <c r="F181" i="4"/>
  <c r="E182" i="4"/>
  <c r="F182" i="4"/>
  <c r="F183" i="4"/>
  <c r="E184" i="4"/>
  <c r="F184" i="4"/>
  <c r="F185" i="4"/>
  <c r="E186" i="4"/>
  <c r="F186" i="4"/>
  <c r="F187" i="4"/>
  <c r="E188" i="4"/>
  <c r="F188" i="4"/>
  <c r="F189" i="4"/>
  <c r="E190" i="4"/>
  <c r="F190" i="4"/>
  <c r="F191" i="4"/>
  <c r="E192" i="4"/>
  <c r="F192" i="4"/>
  <c r="F193" i="4"/>
  <c r="E194" i="4"/>
  <c r="F194" i="4"/>
  <c r="F195" i="4"/>
  <c r="E196" i="4"/>
  <c r="F196" i="4"/>
  <c r="F197" i="4"/>
  <c r="E198" i="4"/>
  <c r="F198" i="4"/>
  <c r="F199" i="4"/>
  <c r="E200" i="4"/>
  <c r="F200" i="4"/>
  <c r="F201" i="4"/>
  <c r="E202" i="4"/>
  <c r="F202" i="4"/>
  <c r="F203" i="4"/>
  <c r="E204" i="4"/>
  <c r="F204" i="4"/>
  <c r="F205" i="4"/>
  <c r="E206" i="4"/>
  <c r="F206" i="4"/>
  <c r="F207" i="4"/>
  <c r="E208" i="4"/>
  <c r="F208" i="4"/>
  <c r="F209" i="4"/>
  <c r="E210" i="4"/>
  <c r="F210" i="4"/>
  <c r="E211" i="4"/>
  <c r="F211" i="4"/>
  <c r="E212" i="4"/>
  <c r="F212" i="4"/>
  <c r="E213" i="4"/>
  <c r="F213" i="4"/>
  <c r="E214" i="4"/>
  <c r="F214" i="4"/>
  <c r="E215" i="4"/>
  <c r="F215" i="4"/>
  <c r="F156" i="4"/>
  <c r="E156" i="4"/>
  <c r="S89" i="4"/>
  <c r="T89" i="4"/>
  <c r="S90" i="4"/>
  <c r="T90" i="4"/>
  <c r="S91" i="4"/>
  <c r="T91" i="4"/>
  <c r="S92" i="4"/>
  <c r="T92" i="4"/>
  <c r="S93" i="4"/>
  <c r="T93" i="4"/>
  <c r="S94" i="4"/>
  <c r="T94" i="4"/>
  <c r="S95" i="4"/>
  <c r="T95" i="4"/>
  <c r="S96" i="4"/>
  <c r="T96" i="4"/>
  <c r="S97" i="4"/>
  <c r="T97" i="4"/>
  <c r="S98" i="4"/>
  <c r="T98" i="4"/>
  <c r="S99" i="4"/>
  <c r="T99" i="4"/>
  <c r="S100" i="4"/>
  <c r="T100" i="4"/>
  <c r="S101" i="4"/>
  <c r="T101" i="4"/>
  <c r="S102" i="4"/>
  <c r="T102" i="4"/>
  <c r="S103" i="4"/>
  <c r="T103" i="4"/>
  <c r="S104" i="4"/>
  <c r="T104" i="4"/>
  <c r="S105" i="4"/>
  <c r="T105" i="4"/>
  <c r="S106" i="4"/>
  <c r="T106" i="4"/>
  <c r="S107" i="4"/>
  <c r="T107" i="4"/>
  <c r="S108" i="4"/>
  <c r="T108" i="4"/>
  <c r="S109" i="4"/>
  <c r="T109" i="4"/>
  <c r="S110" i="4"/>
  <c r="T110" i="4"/>
  <c r="S111" i="4"/>
  <c r="T111" i="4"/>
  <c r="S112" i="4"/>
  <c r="T112" i="4"/>
  <c r="S113" i="4"/>
  <c r="T113" i="4"/>
  <c r="S114" i="4"/>
  <c r="T114" i="4"/>
  <c r="S115" i="4"/>
  <c r="T115" i="4"/>
  <c r="S116" i="4"/>
  <c r="T116" i="4"/>
  <c r="S117" i="4"/>
  <c r="T117" i="4"/>
  <c r="S118" i="4"/>
  <c r="T118" i="4"/>
  <c r="S119" i="4"/>
  <c r="T119" i="4"/>
  <c r="S120" i="4"/>
  <c r="T120" i="4"/>
  <c r="S121" i="4"/>
  <c r="T121" i="4"/>
  <c r="S122" i="4"/>
  <c r="T122" i="4"/>
  <c r="S123" i="4"/>
  <c r="T123" i="4"/>
  <c r="S124" i="4"/>
  <c r="T124" i="4"/>
  <c r="S125" i="4"/>
  <c r="T125" i="4"/>
  <c r="S126" i="4"/>
  <c r="T126" i="4"/>
  <c r="S127" i="4"/>
  <c r="T127" i="4"/>
  <c r="S128" i="4"/>
  <c r="T128" i="4"/>
  <c r="S129" i="4"/>
  <c r="T129" i="4"/>
  <c r="S130" i="4"/>
  <c r="T130" i="4"/>
  <c r="S131" i="4"/>
  <c r="T131" i="4"/>
  <c r="S132" i="4"/>
  <c r="T132" i="4"/>
  <c r="S133" i="4"/>
  <c r="T133" i="4"/>
  <c r="S134" i="4"/>
  <c r="T134" i="4"/>
  <c r="S135" i="4"/>
  <c r="T135" i="4"/>
  <c r="S136" i="4"/>
  <c r="T136" i="4"/>
  <c r="S137" i="4"/>
  <c r="T137" i="4"/>
  <c r="S138" i="4"/>
  <c r="T138" i="4"/>
  <c r="S139" i="4"/>
  <c r="T139" i="4"/>
  <c r="S140" i="4"/>
  <c r="T140" i="4"/>
  <c r="S141" i="4"/>
  <c r="T141" i="4"/>
  <c r="S142" i="4"/>
  <c r="T142" i="4"/>
  <c r="S143" i="4"/>
  <c r="T143" i="4"/>
  <c r="S144" i="4"/>
  <c r="T144" i="4"/>
  <c r="S145" i="4"/>
  <c r="T145" i="4"/>
  <c r="S146" i="4"/>
  <c r="T146" i="4"/>
  <c r="S147" i="4"/>
  <c r="T147" i="4"/>
  <c r="T88" i="4"/>
  <c r="S88" i="4"/>
  <c r="L89" i="4"/>
  <c r="M89" i="4"/>
  <c r="L90" i="4"/>
  <c r="M90" i="4"/>
  <c r="L91" i="4"/>
  <c r="M91" i="4"/>
  <c r="L92" i="4"/>
  <c r="M92" i="4"/>
  <c r="L93" i="4"/>
  <c r="M93" i="4"/>
  <c r="L94" i="4"/>
  <c r="M94" i="4"/>
  <c r="L95" i="4"/>
  <c r="M95" i="4"/>
  <c r="L96" i="4"/>
  <c r="M96" i="4"/>
  <c r="L97" i="4"/>
  <c r="M97" i="4"/>
  <c r="L98" i="4"/>
  <c r="M98" i="4"/>
  <c r="L99" i="4"/>
  <c r="M99" i="4"/>
  <c r="L100" i="4"/>
  <c r="M100" i="4"/>
  <c r="L101" i="4"/>
  <c r="M101" i="4"/>
  <c r="L102" i="4"/>
  <c r="M102" i="4"/>
  <c r="L103" i="4"/>
  <c r="M103" i="4"/>
  <c r="L104" i="4"/>
  <c r="M104" i="4"/>
  <c r="L105" i="4"/>
  <c r="M105" i="4"/>
  <c r="L106" i="4"/>
  <c r="M106" i="4"/>
  <c r="L107" i="4"/>
  <c r="M107" i="4"/>
  <c r="L108" i="4"/>
  <c r="M108" i="4"/>
  <c r="L109" i="4"/>
  <c r="M109" i="4"/>
  <c r="L110" i="4"/>
  <c r="M110" i="4"/>
  <c r="L111" i="4"/>
  <c r="M111" i="4"/>
  <c r="L112" i="4"/>
  <c r="M112" i="4"/>
  <c r="L113" i="4"/>
  <c r="M113" i="4"/>
  <c r="L114" i="4"/>
  <c r="M114" i="4"/>
  <c r="L115" i="4"/>
  <c r="M115" i="4"/>
  <c r="L116" i="4"/>
  <c r="M116" i="4"/>
  <c r="L117" i="4"/>
  <c r="M117" i="4"/>
  <c r="L118" i="4"/>
  <c r="M118" i="4"/>
  <c r="L119" i="4"/>
  <c r="M119" i="4"/>
  <c r="L120" i="4"/>
  <c r="M120" i="4"/>
  <c r="L121" i="4"/>
  <c r="M121" i="4"/>
  <c r="L122" i="4"/>
  <c r="M122" i="4"/>
  <c r="L123" i="4"/>
  <c r="M123" i="4"/>
  <c r="L124" i="4"/>
  <c r="M124" i="4"/>
  <c r="L125" i="4"/>
  <c r="M125" i="4"/>
  <c r="L126" i="4"/>
  <c r="M126" i="4"/>
  <c r="L127" i="4"/>
  <c r="M127" i="4"/>
  <c r="L128" i="4"/>
  <c r="M128" i="4"/>
  <c r="L129" i="4"/>
  <c r="M129" i="4"/>
  <c r="L130" i="4"/>
  <c r="M130" i="4"/>
  <c r="L131" i="4"/>
  <c r="M131" i="4"/>
  <c r="L132" i="4"/>
  <c r="M132" i="4"/>
  <c r="L133" i="4"/>
  <c r="M133" i="4"/>
  <c r="L134" i="4"/>
  <c r="M134" i="4"/>
  <c r="L135" i="4"/>
  <c r="M135" i="4"/>
  <c r="L136" i="4"/>
  <c r="M136" i="4"/>
  <c r="L137" i="4"/>
  <c r="M137" i="4"/>
  <c r="L138" i="4"/>
  <c r="M138" i="4"/>
  <c r="L139" i="4"/>
  <c r="M139" i="4"/>
  <c r="L140" i="4"/>
  <c r="M140" i="4"/>
  <c r="L141" i="4"/>
  <c r="M141" i="4"/>
  <c r="L142" i="4"/>
  <c r="M142" i="4"/>
  <c r="L143" i="4"/>
  <c r="M143" i="4"/>
  <c r="M2" i="4" s="1"/>
  <c r="L144" i="4"/>
  <c r="M144" i="4"/>
  <c r="L145" i="4"/>
  <c r="M145" i="4"/>
  <c r="L146" i="4"/>
  <c r="M146" i="4"/>
  <c r="L147" i="4"/>
  <c r="M147" i="4"/>
  <c r="M88" i="4"/>
  <c r="E89" i="4"/>
  <c r="F89" i="4"/>
  <c r="E90" i="4"/>
  <c r="F90" i="4"/>
  <c r="E91" i="4"/>
  <c r="F91" i="4"/>
  <c r="E92" i="4"/>
  <c r="F92" i="4"/>
  <c r="E93" i="4"/>
  <c r="F93" i="4"/>
  <c r="E94" i="4"/>
  <c r="F94" i="4"/>
  <c r="E95" i="4"/>
  <c r="F95" i="4"/>
  <c r="E96" i="4"/>
  <c r="F96" i="4"/>
  <c r="E97" i="4"/>
  <c r="F97" i="4"/>
  <c r="E98" i="4"/>
  <c r="F98" i="4"/>
  <c r="E99" i="4"/>
  <c r="F99" i="4"/>
  <c r="E100" i="4"/>
  <c r="F100" i="4"/>
  <c r="E101" i="4"/>
  <c r="F101" i="4"/>
  <c r="E102" i="4"/>
  <c r="F102" i="4"/>
  <c r="E103" i="4"/>
  <c r="F103" i="4"/>
  <c r="E104" i="4"/>
  <c r="F104" i="4"/>
  <c r="E105" i="4"/>
  <c r="F105" i="4"/>
  <c r="E106" i="4"/>
  <c r="F106" i="4"/>
  <c r="E107" i="4"/>
  <c r="F107" i="4"/>
  <c r="E108" i="4"/>
  <c r="F108" i="4"/>
  <c r="E109" i="4"/>
  <c r="F109" i="4"/>
  <c r="E110" i="4"/>
  <c r="F110" i="4"/>
  <c r="E111" i="4"/>
  <c r="F111" i="4"/>
  <c r="E112" i="4"/>
  <c r="F112" i="4"/>
  <c r="E113" i="4"/>
  <c r="F113" i="4"/>
  <c r="E114" i="4"/>
  <c r="F114" i="4"/>
  <c r="E115" i="4"/>
  <c r="F115" i="4"/>
  <c r="E116" i="4"/>
  <c r="F116" i="4"/>
  <c r="E117" i="4"/>
  <c r="F117" i="4"/>
  <c r="E118" i="4"/>
  <c r="F118" i="4"/>
  <c r="E119" i="4"/>
  <c r="F119" i="4"/>
  <c r="E120" i="4"/>
  <c r="F120" i="4"/>
  <c r="E121" i="4"/>
  <c r="F121" i="4"/>
  <c r="E122" i="4"/>
  <c r="F122" i="4"/>
  <c r="E123" i="4"/>
  <c r="F123" i="4"/>
  <c r="E124" i="4"/>
  <c r="F124" i="4"/>
  <c r="E125" i="4"/>
  <c r="F125" i="4"/>
  <c r="E126" i="4"/>
  <c r="F126" i="4"/>
  <c r="E127" i="4"/>
  <c r="F127" i="4"/>
  <c r="E128" i="4"/>
  <c r="F128" i="4"/>
  <c r="E129" i="4"/>
  <c r="F129" i="4"/>
  <c r="E130" i="4"/>
  <c r="F130" i="4"/>
  <c r="E131" i="4"/>
  <c r="F131" i="4"/>
  <c r="E132" i="4"/>
  <c r="F132" i="4"/>
  <c r="E133" i="4"/>
  <c r="F133" i="4"/>
  <c r="E134" i="4"/>
  <c r="F134" i="4"/>
  <c r="E135" i="4"/>
  <c r="F135" i="4"/>
  <c r="E136" i="4"/>
  <c r="F136" i="4"/>
  <c r="E137" i="4"/>
  <c r="F137" i="4"/>
  <c r="E138" i="4"/>
  <c r="F138" i="4"/>
  <c r="E139" i="4"/>
  <c r="F139" i="4"/>
  <c r="E140" i="4"/>
  <c r="F140" i="4"/>
  <c r="E141" i="4"/>
  <c r="F141" i="4"/>
  <c r="E142" i="4"/>
  <c r="F142" i="4"/>
  <c r="E143" i="4"/>
  <c r="F143" i="4"/>
  <c r="E144" i="4"/>
  <c r="F144" i="4"/>
  <c r="E145" i="4"/>
  <c r="F145" i="4"/>
  <c r="E146" i="4"/>
  <c r="F146" i="4"/>
  <c r="E147" i="4"/>
  <c r="F147" i="4"/>
  <c r="F88" i="4"/>
  <c r="E88" i="4"/>
  <c r="S57" i="4"/>
  <c r="T57" i="4"/>
  <c r="S58" i="4"/>
  <c r="T58" i="4"/>
  <c r="S59" i="4"/>
  <c r="T59" i="4"/>
  <c r="S60" i="4"/>
  <c r="T60" i="4"/>
  <c r="S61" i="4"/>
  <c r="T61" i="4"/>
  <c r="S62" i="4"/>
  <c r="T62" i="4"/>
  <c r="S63" i="4"/>
  <c r="T63" i="4"/>
  <c r="S64" i="4"/>
  <c r="T64" i="4"/>
  <c r="S65" i="4"/>
  <c r="T65" i="4"/>
  <c r="S66" i="4"/>
  <c r="T66" i="4"/>
  <c r="S67" i="4"/>
  <c r="T67" i="4"/>
  <c r="S68" i="4"/>
  <c r="T68" i="4"/>
  <c r="S69" i="4"/>
  <c r="T69" i="4"/>
  <c r="S70" i="4"/>
  <c r="T70" i="4"/>
  <c r="S71" i="4"/>
  <c r="T71" i="4"/>
  <c r="S72" i="4"/>
  <c r="T72" i="4"/>
  <c r="S73" i="4"/>
  <c r="T73" i="4"/>
  <c r="S74" i="4"/>
  <c r="T74" i="4"/>
  <c r="S75" i="4"/>
  <c r="T75" i="4"/>
  <c r="S76" i="4"/>
  <c r="T76" i="4"/>
  <c r="S77" i="4"/>
  <c r="T77" i="4"/>
  <c r="S78" i="4"/>
  <c r="T78" i="4"/>
  <c r="S79" i="4"/>
  <c r="T79" i="4"/>
  <c r="S80" i="4"/>
  <c r="T80" i="4"/>
  <c r="S36" i="4"/>
  <c r="T36" i="4"/>
  <c r="S37" i="4"/>
  <c r="T37" i="4"/>
  <c r="S38" i="4"/>
  <c r="T38" i="4"/>
  <c r="S39" i="4"/>
  <c r="T39" i="4"/>
  <c r="S40" i="4"/>
  <c r="T40" i="4"/>
  <c r="S41" i="4"/>
  <c r="T41" i="4"/>
  <c r="S42" i="4"/>
  <c r="T42" i="4"/>
  <c r="S43" i="4"/>
  <c r="T43" i="4"/>
  <c r="S44" i="4"/>
  <c r="T44" i="4"/>
  <c r="S45" i="4"/>
  <c r="T45" i="4"/>
  <c r="S46" i="4"/>
  <c r="T46" i="4"/>
  <c r="S47" i="4"/>
  <c r="T47" i="4"/>
  <c r="S48" i="4"/>
  <c r="T48" i="4"/>
  <c r="S49" i="4"/>
  <c r="T49" i="4"/>
  <c r="S50" i="4"/>
  <c r="T50" i="4"/>
  <c r="S51" i="4"/>
  <c r="T51" i="4"/>
  <c r="S52" i="4"/>
  <c r="T52" i="4"/>
  <c r="S53" i="4"/>
  <c r="T53" i="4"/>
  <c r="S54" i="4"/>
  <c r="T54" i="4"/>
  <c r="S55" i="4"/>
  <c r="T55" i="4"/>
  <c r="S56" i="4"/>
  <c r="T56" i="4"/>
  <c r="S22" i="4"/>
  <c r="T22" i="4"/>
  <c r="S23" i="4"/>
  <c r="T23" i="4"/>
  <c r="S24" i="4"/>
  <c r="T24" i="4"/>
  <c r="S25" i="4"/>
  <c r="T25" i="4"/>
  <c r="S26" i="4"/>
  <c r="T26" i="4"/>
  <c r="S27" i="4"/>
  <c r="T27" i="4"/>
  <c r="S28" i="4"/>
  <c r="T28" i="4"/>
  <c r="S29" i="4"/>
  <c r="T29" i="4"/>
  <c r="S30" i="4"/>
  <c r="T30" i="4"/>
  <c r="S31" i="4"/>
  <c r="T31" i="4"/>
  <c r="S32" i="4"/>
  <c r="T32" i="4"/>
  <c r="S33" i="4"/>
  <c r="T33" i="4"/>
  <c r="S34" i="4"/>
  <c r="T34" i="4"/>
  <c r="S35" i="4"/>
  <c r="T35" i="4"/>
  <c r="T21" i="4"/>
  <c r="S21" i="4"/>
  <c r="M81" i="3"/>
  <c r="L22" i="4"/>
  <c r="M22" i="4"/>
  <c r="L23" i="4"/>
  <c r="M23" i="4"/>
  <c r="L24" i="4"/>
  <c r="M24" i="4"/>
  <c r="L25" i="4"/>
  <c r="M25" i="4"/>
  <c r="L26" i="4"/>
  <c r="M26" i="4"/>
  <c r="L27" i="4"/>
  <c r="M27" i="4"/>
  <c r="L28" i="4"/>
  <c r="M28" i="4"/>
  <c r="L29" i="4"/>
  <c r="M29" i="4"/>
  <c r="L30" i="4"/>
  <c r="M30" i="4"/>
  <c r="L31" i="4"/>
  <c r="M31" i="4"/>
  <c r="L32" i="4"/>
  <c r="M32" i="4"/>
  <c r="L33" i="4"/>
  <c r="M33" i="4"/>
  <c r="L34" i="4"/>
  <c r="M34" i="4"/>
  <c r="L35" i="4"/>
  <c r="M35" i="4"/>
  <c r="L36" i="4"/>
  <c r="M36" i="4"/>
  <c r="L37" i="4"/>
  <c r="M37" i="4"/>
  <c r="L38" i="4"/>
  <c r="M38" i="4"/>
  <c r="L39" i="4"/>
  <c r="M39" i="4"/>
  <c r="L40" i="4"/>
  <c r="M40" i="4"/>
  <c r="L41" i="4"/>
  <c r="M41" i="4"/>
  <c r="L42" i="4"/>
  <c r="M42" i="4"/>
  <c r="L43" i="4"/>
  <c r="M43" i="4"/>
  <c r="L44" i="4"/>
  <c r="M44" i="4"/>
  <c r="L45" i="4"/>
  <c r="M45" i="4"/>
  <c r="L46" i="4"/>
  <c r="M46" i="4"/>
  <c r="L47" i="4"/>
  <c r="M47" i="4"/>
  <c r="L48" i="4"/>
  <c r="M48" i="4"/>
  <c r="L49" i="4"/>
  <c r="M49" i="4"/>
  <c r="L50" i="4"/>
  <c r="M50" i="4"/>
  <c r="L51" i="4"/>
  <c r="M51" i="4"/>
  <c r="L52" i="4"/>
  <c r="M52" i="4"/>
  <c r="L53" i="4"/>
  <c r="M53" i="4"/>
  <c r="L54" i="4"/>
  <c r="M54" i="4"/>
  <c r="L55" i="4"/>
  <c r="M55" i="4"/>
  <c r="L56" i="4"/>
  <c r="M56" i="4"/>
  <c r="L57" i="4"/>
  <c r="M57" i="4"/>
  <c r="L58" i="4"/>
  <c r="M58" i="4"/>
  <c r="L59" i="4"/>
  <c r="M59" i="4"/>
  <c r="L60" i="4"/>
  <c r="M60" i="4"/>
  <c r="L61" i="4"/>
  <c r="M61" i="4"/>
  <c r="L62" i="4"/>
  <c r="M62" i="4"/>
  <c r="L63" i="4"/>
  <c r="M63" i="4"/>
  <c r="L64" i="4"/>
  <c r="M64" i="4"/>
  <c r="L65" i="4"/>
  <c r="M65" i="4"/>
  <c r="L66" i="4"/>
  <c r="M66" i="4"/>
  <c r="L67" i="4"/>
  <c r="M67" i="4"/>
  <c r="L68" i="4"/>
  <c r="M68" i="4"/>
  <c r="L69" i="4"/>
  <c r="M69" i="4"/>
  <c r="L70" i="4"/>
  <c r="M70" i="4"/>
  <c r="L71" i="4"/>
  <c r="M71" i="4"/>
  <c r="L72" i="4"/>
  <c r="M72" i="4"/>
  <c r="L73" i="4"/>
  <c r="M73" i="4"/>
  <c r="L74" i="4"/>
  <c r="M74" i="4"/>
  <c r="L75" i="4"/>
  <c r="M75" i="4"/>
  <c r="L76" i="4"/>
  <c r="M76" i="4"/>
  <c r="L77" i="4"/>
  <c r="M77" i="4"/>
  <c r="L78" i="4"/>
  <c r="M78" i="4"/>
  <c r="L79" i="4"/>
  <c r="M79" i="4"/>
  <c r="L80" i="4"/>
  <c r="M80" i="4"/>
  <c r="L21" i="4"/>
  <c r="M21" i="4"/>
  <c r="T21" i="3"/>
  <c r="M21" i="3"/>
  <c r="T81" i="3"/>
  <c r="T143" i="3"/>
  <c r="S146" i="3"/>
  <c r="T146" i="3"/>
  <c r="S147" i="3"/>
  <c r="T147" i="3"/>
  <c r="S148" i="3"/>
  <c r="T148" i="3"/>
  <c r="S149" i="3"/>
  <c r="T149" i="3"/>
  <c r="S150" i="3"/>
  <c r="T150" i="3"/>
  <c r="S151" i="3"/>
  <c r="T151" i="3"/>
  <c r="S152" i="3"/>
  <c r="T152" i="3"/>
  <c r="S153" i="3"/>
  <c r="T153" i="3"/>
  <c r="S154" i="3"/>
  <c r="T154" i="3"/>
  <c r="S155" i="3"/>
  <c r="T155" i="3"/>
  <c r="S156" i="3"/>
  <c r="T156" i="3"/>
  <c r="S157" i="3"/>
  <c r="T157" i="3"/>
  <c r="S158" i="3"/>
  <c r="T158" i="3"/>
  <c r="S159" i="3"/>
  <c r="T159" i="3"/>
  <c r="S160" i="3"/>
  <c r="T160" i="3"/>
  <c r="S161" i="3"/>
  <c r="T161" i="3"/>
  <c r="S162" i="3"/>
  <c r="T162" i="3"/>
  <c r="S163" i="3"/>
  <c r="T163" i="3"/>
  <c r="S164" i="3"/>
  <c r="T164" i="3"/>
  <c r="S165" i="3"/>
  <c r="T165" i="3"/>
  <c r="S166" i="3"/>
  <c r="T166" i="3"/>
  <c r="S167" i="3"/>
  <c r="T167" i="3"/>
  <c r="S168" i="3"/>
  <c r="T168" i="3"/>
  <c r="S169" i="3"/>
  <c r="T169" i="3"/>
  <c r="S170" i="3"/>
  <c r="T170" i="3"/>
  <c r="S171" i="3"/>
  <c r="T171" i="3"/>
  <c r="S172" i="3"/>
  <c r="T172" i="3"/>
  <c r="S173" i="3"/>
  <c r="T173" i="3"/>
  <c r="S174" i="3"/>
  <c r="T174" i="3"/>
  <c r="S175" i="3"/>
  <c r="T175" i="3"/>
  <c r="S176" i="3"/>
  <c r="T176" i="3"/>
  <c r="S177" i="3"/>
  <c r="T177" i="3"/>
  <c r="S178" i="3"/>
  <c r="T178" i="3"/>
  <c r="S179" i="3"/>
  <c r="T179" i="3"/>
  <c r="S180" i="3"/>
  <c r="T180" i="3"/>
  <c r="S181" i="3"/>
  <c r="T181" i="3"/>
  <c r="S182" i="3"/>
  <c r="T182" i="3"/>
  <c r="S183" i="3"/>
  <c r="T183" i="3"/>
  <c r="S184" i="3"/>
  <c r="T184" i="3"/>
  <c r="S185" i="3"/>
  <c r="T185" i="3"/>
  <c r="S186" i="3"/>
  <c r="T186" i="3"/>
  <c r="S187" i="3"/>
  <c r="T187" i="3"/>
  <c r="S188" i="3"/>
  <c r="T188" i="3"/>
  <c r="S189" i="3"/>
  <c r="T189" i="3"/>
  <c r="S190" i="3"/>
  <c r="T190" i="3"/>
  <c r="S191" i="3"/>
  <c r="T191" i="3"/>
  <c r="S192" i="3"/>
  <c r="T192" i="3"/>
  <c r="S193" i="3"/>
  <c r="T193" i="3"/>
  <c r="S194" i="3"/>
  <c r="T194" i="3"/>
  <c r="S195" i="3"/>
  <c r="T195" i="3"/>
  <c r="S196" i="3"/>
  <c r="T196" i="3"/>
  <c r="S197" i="3"/>
  <c r="T197" i="3"/>
  <c r="S198" i="3"/>
  <c r="T198" i="3"/>
  <c r="S199" i="3"/>
  <c r="T199" i="3"/>
  <c r="T145" i="3"/>
  <c r="S145" i="3"/>
  <c r="S84" i="3"/>
  <c r="T84" i="3"/>
  <c r="S85" i="3"/>
  <c r="T85" i="3"/>
  <c r="S86" i="3"/>
  <c r="T86" i="3"/>
  <c r="S87" i="3"/>
  <c r="T87" i="3"/>
  <c r="S88" i="3"/>
  <c r="T88" i="3"/>
  <c r="S89" i="3"/>
  <c r="T89" i="3"/>
  <c r="S90" i="3"/>
  <c r="T90" i="3"/>
  <c r="S91" i="3"/>
  <c r="T91" i="3"/>
  <c r="S92" i="3"/>
  <c r="T92" i="3"/>
  <c r="S93" i="3"/>
  <c r="T93" i="3"/>
  <c r="S94" i="3"/>
  <c r="T94" i="3"/>
  <c r="S95" i="3"/>
  <c r="T95" i="3"/>
  <c r="S96" i="3"/>
  <c r="T96" i="3"/>
  <c r="S97" i="3"/>
  <c r="T97" i="3"/>
  <c r="S98" i="3"/>
  <c r="T98" i="3"/>
  <c r="S99" i="3"/>
  <c r="T99" i="3"/>
  <c r="S100" i="3"/>
  <c r="T100" i="3"/>
  <c r="S101" i="3"/>
  <c r="T101" i="3"/>
  <c r="S102" i="3"/>
  <c r="T102" i="3"/>
  <c r="S103" i="3"/>
  <c r="T103" i="3"/>
  <c r="S104" i="3"/>
  <c r="T104" i="3"/>
  <c r="S105" i="3"/>
  <c r="T105" i="3"/>
  <c r="S106" i="3"/>
  <c r="T106" i="3"/>
  <c r="S107" i="3"/>
  <c r="T107" i="3"/>
  <c r="S108" i="3"/>
  <c r="T108" i="3"/>
  <c r="S109" i="3"/>
  <c r="T109" i="3"/>
  <c r="S110" i="3"/>
  <c r="T110" i="3"/>
  <c r="S111" i="3"/>
  <c r="T111" i="3"/>
  <c r="S112" i="3"/>
  <c r="T112" i="3"/>
  <c r="S113" i="3"/>
  <c r="T113" i="3"/>
  <c r="S114" i="3"/>
  <c r="T114" i="3"/>
  <c r="S115" i="3"/>
  <c r="T115" i="3"/>
  <c r="S116" i="3"/>
  <c r="T116" i="3"/>
  <c r="S117" i="3"/>
  <c r="T117" i="3"/>
  <c r="S118" i="3"/>
  <c r="T118" i="3"/>
  <c r="S119" i="3"/>
  <c r="T119" i="3"/>
  <c r="S120" i="3"/>
  <c r="T120" i="3"/>
  <c r="S121" i="3"/>
  <c r="T121" i="3"/>
  <c r="S122" i="3"/>
  <c r="T122" i="3"/>
  <c r="S123" i="3"/>
  <c r="T123" i="3"/>
  <c r="S124" i="3"/>
  <c r="T124" i="3"/>
  <c r="S125" i="3"/>
  <c r="T125" i="3"/>
  <c r="S126" i="3"/>
  <c r="T126" i="3"/>
  <c r="S127" i="3"/>
  <c r="T127" i="3"/>
  <c r="S128" i="3"/>
  <c r="T128" i="3"/>
  <c r="S129" i="3"/>
  <c r="T129" i="3"/>
  <c r="S130" i="3"/>
  <c r="T130" i="3"/>
  <c r="S131" i="3"/>
  <c r="T131" i="3"/>
  <c r="S132" i="3"/>
  <c r="T132" i="3"/>
  <c r="S133" i="3"/>
  <c r="T133" i="3"/>
  <c r="S134" i="3"/>
  <c r="T134" i="3"/>
  <c r="S135" i="3"/>
  <c r="T135" i="3"/>
  <c r="S136" i="3"/>
  <c r="T136" i="3"/>
  <c r="S137" i="3"/>
  <c r="T137" i="3"/>
  <c r="T83" i="3"/>
  <c r="S83" i="3"/>
  <c r="L146" i="3"/>
  <c r="M146" i="3"/>
  <c r="L147" i="3"/>
  <c r="M147" i="3"/>
  <c r="L148" i="3"/>
  <c r="M148" i="3"/>
  <c r="L149" i="3"/>
  <c r="M149" i="3"/>
  <c r="L150" i="3"/>
  <c r="M150" i="3"/>
  <c r="L151" i="3"/>
  <c r="M151" i="3"/>
  <c r="L152" i="3"/>
  <c r="M152" i="3"/>
  <c r="L153" i="3"/>
  <c r="M153" i="3"/>
  <c r="L154" i="3"/>
  <c r="M154" i="3"/>
  <c r="L155" i="3"/>
  <c r="M155" i="3"/>
  <c r="L156" i="3"/>
  <c r="M156" i="3"/>
  <c r="L157" i="3"/>
  <c r="M157" i="3"/>
  <c r="L158" i="3"/>
  <c r="M158" i="3"/>
  <c r="L159" i="3"/>
  <c r="M159" i="3"/>
  <c r="L160" i="3"/>
  <c r="M160" i="3"/>
  <c r="L161" i="3"/>
  <c r="M161" i="3"/>
  <c r="L162" i="3"/>
  <c r="M162" i="3"/>
  <c r="L163" i="3"/>
  <c r="M163" i="3"/>
  <c r="L164" i="3"/>
  <c r="M164" i="3"/>
  <c r="L165" i="3"/>
  <c r="M165" i="3"/>
  <c r="L166" i="3"/>
  <c r="M166" i="3"/>
  <c r="L167" i="3"/>
  <c r="M167" i="3"/>
  <c r="L168" i="3"/>
  <c r="M168" i="3"/>
  <c r="L169" i="3"/>
  <c r="M169" i="3"/>
  <c r="L170" i="3"/>
  <c r="M170" i="3"/>
  <c r="L171" i="3"/>
  <c r="M171" i="3"/>
  <c r="L172" i="3"/>
  <c r="M172" i="3"/>
  <c r="L173" i="3"/>
  <c r="M173" i="3"/>
  <c r="L174" i="3"/>
  <c r="M174" i="3"/>
  <c r="L175" i="3"/>
  <c r="M175" i="3"/>
  <c r="L176" i="3"/>
  <c r="M176" i="3"/>
  <c r="L177" i="3"/>
  <c r="M177" i="3"/>
  <c r="L178" i="3"/>
  <c r="M178" i="3"/>
  <c r="L179" i="3"/>
  <c r="M179" i="3"/>
  <c r="L180" i="3"/>
  <c r="M180" i="3"/>
  <c r="L181" i="3"/>
  <c r="M181" i="3"/>
  <c r="L182" i="3"/>
  <c r="M182" i="3"/>
  <c r="L183" i="3"/>
  <c r="M183" i="3"/>
  <c r="L184" i="3"/>
  <c r="M184" i="3"/>
  <c r="L185" i="3"/>
  <c r="M185" i="3"/>
  <c r="L186" i="3"/>
  <c r="M186" i="3"/>
  <c r="L187" i="3"/>
  <c r="M187" i="3"/>
  <c r="L188" i="3"/>
  <c r="M188" i="3"/>
  <c r="L189" i="3"/>
  <c r="M189" i="3"/>
  <c r="L190" i="3"/>
  <c r="M190" i="3"/>
  <c r="L191" i="3"/>
  <c r="M191" i="3"/>
  <c r="L192" i="3"/>
  <c r="M192" i="3"/>
  <c r="L193" i="3"/>
  <c r="M193" i="3"/>
  <c r="L194" i="3"/>
  <c r="M194" i="3"/>
  <c r="L195" i="3"/>
  <c r="M195" i="3"/>
  <c r="L196" i="3"/>
  <c r="M196" i="3"/>
  <c r="L197" i="3"/>
  <c r="M197" i="3"/>
  <c r="L198" i="3"/>
  <c r="M198" i="3"/>
  <c r="L199" i="3"/>
  <c r="M199" i="3"/>
  <c r="M145" i="3"/>
  <c r="L145" i="3"/>
  <c r="M143" i="3"/>
  <c r="E146" i="3"/>
  <c r="F146" i="3"/>
  <c r="E147" i="3"/>
  <c r="F147" i="3"/>
  <c r="E148" i="3"/>
  <c r="F148" i="3"/>
  <c r="E149" i="3"/>
  <c r="F149" i="3"/>
  <c r="E150" i="3"/>
  <c r="F150" i="3"/>
  <c r="E151" i="3"/>
  <c r="F151" i="3"/>
  <c r="E152" i="3"/>
  <c r="F152" i="3"/>
  <c r="E153" i="3"/>
  <c r="F153" i="3"/>
  <c r="E154" i="3"/>
  <c r="F154" i="3"/>
  <c r="E155" i="3"/>
  <c r="F155" i="3"/>
  <c r="E156" i="3"/>
  <c r="F156" i="3"/>
  <c r="E157" i="3"/>
  <c r="F157" i="3"/>
  <c r="E158" i="3"/>
  <c r="F158" i="3"/>
  <c r="E159" i="3"/>
  <c r="F159" i="3"/>
  <c r="E160" i="3"/>
  <c r="F160" i="3"/>
  <c r="E161" i="3"/>
  <c r="F161" i="3"/>
  <c r="E162" i="3"/>
  <c r="F162" i="3"/>
  <c r="E163" i="3"/>
  <c r="F163" i="3"/>
  <c r="E164" i="3"/>
  <c r="F164" i="3"/>
  <c r="E165" i="3"/>
  <c r="F165" i="3"/>
  <c r="E166" i="3"/>
  <c r="F166" i="3"/>
  <c r="E167" i="3"/>
  <c r="F167" i="3"/>
  <c r="E168" i="3"/>
  <c r="F168" i="3"/>
  <c r="E169" i="3"/>
  <c r="F169" i="3"/>
  <c r="E170" i="3"/>
  <c r="F170" i="3"/>
  <c r="E171" i="3"/>
  <c r="F171" i="3"/>
  <c r="E172" i="3"/>
  <c r="F172" i="3"/>
  <c r="E173" i="3"/>
  <c r="F173" i="3"/>
  <c r="E174" i="3"/>
  <c r="F174" i="3"/>
  <c r="E175" i="3"/>
  <c r="F175" i="3"/>
  <c r="E176" i="3"/>
  <c r="F176" i="3"/>
  <c r="E177" i="3"/>
  <c r="F177" i="3"/>
  <c r="E178" i="3"/>
  <c r="F178" i="3"/>
  <c r="E179" i="3"/>
  <c r="F179" i="3"/>
  <c r="E180" i="3"/>
  <c r="F180" i="3"/>
  <c r="E181" i="3"/>
  <c r="F181" i="3"/>
  <c r="E182" i="3"/>
  <c r="F182" i="3"/>
  <c r="E183" i="3"/>
  <c r="F183" i="3"/>
  <c r="E184" i="3"/>
  <c r="F184" i="3"/>
  <c r="E185" i="3"/>
  <c r="F185" i="3"/>
  <c r="E186" i="3"/>
  <c r="F186" i="3"/>
  <c r="E187" i="3"/>
  <c r="F187" i="3"/>
  <c r="E188" i="3"/>
  <c r="F188" i="3"/>
  <c r="E189" i="3"/>
  <c r="F189" i="3"/>
  <c r="E190" i="3"/>
  <c r="F190" i="3"/>
  <c r="E191" i="3"/>
  <c r="F191" i="3"/>
  <c r="E192" i="3"/>
  <c r="F192" i="3"/>
  <c r="E193" i="3"/>
  <c r="F193" i="3"/>
  <c r="E194" i="3"/>
  <c r="F194" i="3"/>
  <c r="E195" i="3"/>
  <c r="F195" i="3"/>
  <c r="E196" i="3"/>
  <c r="F196" i="3"/>
  <c r="E197" i="3"/>
  <c r="F197" i="3"/>
  <c r="E198" i="3"/>
  <c r="F198" i="3"/>
  <c r="E199" i="3"/>
  <c r="F199" i="3"/>
  <c r="F145" i="3"/>
  <c r="E145" i="3"/>
  <c r="L107" i="3"/>
  <c r="M107" i="3"/>
  <c r="L108" i="3"/>
  <c r="M108" i="3"/>
  <c r="L109" i="3"/>
  <c r="M109" i="3"/>
  <c r="L110" i="3"/>
  <c r="M110" i="3"/>
  <c r="L111" i="3"/>
  <c r="M111" i="3"/>
  <c r="L112" i="3"/>
  <c r="M112" i="3"/>
  <c r="L113" i="3"/>
  <c r="M113" i="3"/>
  <c r="L114" i="3"/>
  <c r="M114" i="3"/>
  <c r="L115" i="3"/>
  <c r="M115" i="3"/>
  <c r="L116" i="3"/>
  <c r="M116" i="3"/>
  <c r="L117" i="3"/>
  <c r="M117" i="3"/>
  <c r="L118" i="3"/>
  <c r="M118" i="3"/>
  <c r="L119" i="3"/>
  <c r="M119" i="3"/>
  <c r="L120" i="3"/>
  <c r="M120" i="3"/>
  <c r="L121" i="3"/>
  <c r="M121" i="3"/>
  <c r="L122" i="3"/>
  <c r="M122" i="3"/>
  <c r="L123" i="3"/>
  <c r="M123" i="3"/>
  <c r="L124" i="3"/>
  <c r="M124" i="3"/>
  <c r="L125" i="3"/>
  <c r="M125" i="3"/>
  <c r="L126" i="3"/>
  <c r="M126" i="3"/>
  <c r="L127" i="3"/>
  <c r="M127" i="3"/>
  <c r="L128" i="3"/>
  <c r="M128" i="3"/>
  <c r="L129" i="3"/>
  <c r="M129" i="3"/>
  <c r="L130" i="3"/>
  <c r="M130" i="3"/>
  <c r="L131" i="3"/>
  <c r="M131" i="3"/>
  <c r="L132" i="3"/>
  <c r="M132" i="3"/>
  <c r="L133" i="3"/>
  <c r="M133" i="3"/>
  <c r="L134" i="3"/>
  <c r="M134" i="3"/>
  <c r="L135" i="3"/>
  <c r="M135" i="3"/>
  <c r="L136" i="3"/>
  <c r="M136" i="3"/>
  <c r="L137" i="3"/>
  <c r="M137" i="3"/>
  <c r="L84" i="3"/>
  <c r="M84" i="3"/>
  <c r="L85" i="3"/>
  <c r="M85" i="3"/>
  <c r="L86" i="3"/>
  <c r="M86" i="3"/>
  <c r="L87" i="3"/>
  <c r="M87" i="3"/>
  <c r="L88" i="3"/>
  <c r="M88" i="3"/>
  <c r="L89" i="3"/>
  <c r="M89" i="3"/>
  <c r="L90" i="3"/>
  <c r="M90" i="3"/>
  <c r="L91" i="3"/>
  <c r="M91" i="3"/>
  <c r="L92" i="3"/>
  <c r="M92" i="3"/>
  <c r="L93" i="3"/>
  <c r="M93" i="3"/>
  <c r="L94" i="3"/>
  <c r="M94" i="3"/>
  <c r="L95" i="3"/>
  <c r="M95" i="3"/>
  <c r="L96" i="3"/>
  <c r="M96" i="3"/>
  <c r="L97" i="3"/>
  <c r="M97" i="3"/>
  <c r="L98" i="3"/>
  <c r="M98" i="3"/>
  <c r="L99" i="3"/>
  <c r="M99" i="3"/>
  <c r="L100" i="3"/>
  <c r="M100" i="3"/>
  <c r="L101" i="3"/>
  <c r="M101" i="3"/>
  <c r="L102" i="3"/>
  <c r="M102" i="3"/>
  <c r="L103" i="3"/>
  <c r="M103" i="3"/>
  <c r="L104" i="3"/>
  <c r="M104" i="3"/>
  <c r="L105" i="3"/>
  <c r="M105" i="3"/>
  <c r="L106" i="3"/>
  <c r="M106" i="3"/>
  <c r="M83" i="3"/>
  <c r="L83" i="3"/>
  <c r="E109" i="3"/>
  <c r="F109" i="3"/>
  <c r="E110" i="3"/>
  <c r="F110" i="3"/>
  <c r="E111" i="3"/>
  <c r="F111" i="3"/>
  <c r="E112" i="3"/>
  <c r="F112" i="3"/>
  <c r="E113" i="3"/>
  <c r="F113" i="3"/>
  <c r="E114" i="3"/>
  <c r="F114" i="3"/>
  <c r="E115" i="3"/>
  <c r="F115" i="3"/>
  <c r="E116" i="3"/>
  <c r="F116" i="3"/>
  <c r="E117" i="3"/>
  <c r="F117" i="3"/>
  <c r="E118" i="3"/>
  <c r="F118" i="3"/>
  <c r="E119" i="3"/>
  <c r="F119" i="3"/>
  <c r="E120" i="3"/>
  <c r="F120" i="3"/>
  <c r="E121" i="3"/>
  <c r="F121" i="3"/>
  <c r="E122" i="3"/>
  <c r="F122" i="3"/>
  <c r="E123" i="3"/>
  <c r="F123" i="3"/>
  <c r="E124" i="3"/>
  <c r="F124" i="3"/>
  <c r="E125" i="3"/>
  <c r="F125" i="3"/>
  <c r="E126" i="3"/>
  <c r="F126" i="3"/>
  <c r="E127" i="3"/>
  <c r="F127" i="3"/>
  <c r="E128" i="3"/>
  <c r="F128" i="3"/>
  <c r="E129" i="3"/>
  <c r="F129" i="3"/>
  <c r="E130" i="3"/>
  <c r="F130" i="3"/>
  <c r="E131" i="3"/>
  <c r="F131" i="3"/>
  <c r="E132" i="3"/>
  <c r="F132" i="3"/>
  <c r="E133" i="3"/>
  <c r="F133" i="3"/>
  <c r="E134" i="3"/>
  <c r="F134" i="3"/>
  <c r="E135" i="3"/>
  <c r="F135" i="3"/>
  <c r="E136" i="3"/>
  <c r="F136" i="3"/>
  <c r="E137" i="3"/>
  <c r="F137" i="3"/>
  <c r="E84" i="3"/>
  <c r="F84" i="3"/>
  <c r="E85" i="3"/>
  <c r="F85" i="3"/>
  <c r="E86" i="3"/>
  <c r="F86" i="3"/>
  <c r="E87" i="3"/>
  <c r="F87" i="3"/>
  <c r="E88" i="3"/>
  <c r="F88" i="3"/>
  <c r="E89" i="3"/>
  <c r="F89" i="3"/>
  <c r="E90" i="3"/>
  <c r="F90" i="3"/>
  <c r="E91" i="3"/>
  <c r="F91" i="3"/>
  <c r="E92" i="3"/>
  <c r="F92" i="3"/>
  <c r="E93" i="3"/>
  <c r="F93" i="3"/>
  <c r="E94" i="3"/>
  <c r="F94" i="3"/>
  <c r="E95" i="3"/>
  <c r="F95" i="3"/>
  <c r="E96" i="3"/>
  <c r="F96" i="3"/>
  <c r="E97" i="3"/>
  <c r="F97" i="3"/>
  <c r="E98" i="3"/>
  <c r="F98" i="3"/>
  <c r="E99" i="3"/>
  <c r="F99" i="3"/>
  <c r="E100" i="3"/>
  <c r="F100" i="3"/>
  <c r="E101" i="3"/>
  <c r="F101" i="3"/>
  <c r="E102" i="3"/>
  <c r="F102" i="3"/>
  <c r="E103" i="3"/>
  <c r="F103" i="3"/>
  <c r="E104" i="3"/>
  <c r="F104" i="3"/>
  <c r="E105" i="3"/>
  <c r="F105" i="3"/>
  <c r="E106" i="3"/>
  <c r="F106" i="3"/>
  <c r="E107" i="3"/>
  <c r="F107" i="3"/>
  <c r="E108" i="3"/>
  <c r="F108" i="3"/>
  <c r="F83" i="3"/>
  <c r="E83" i="3"/>
  <c r="AA21" i="3"/>
  <c r="S21" i="3"/>
  <c r="L21" i="3"/>
  <c r="E21" i="3"/>
  <c r="G42" i="1"/>
  <c r="J18" i="3"/>
  <c r="U9" i="1"/>
  <c r="AA15" i="1"/>
  <c r="M3" i="4" l="1"/>
  <c r="L3" i="4"/>
  <c r="L2" i="4"/>
  <c r="L4" i="4"/>
  <c r="S156" i="4"/>
  <c r="E209" i="4"/>
  <c r="E207" i="4"/>
  <c r="E205" i="4"/>
  <c r="E203" i="4"/>
  <c r="E201" i="4"/>
  <c r="E199" i="4"/>
  <c r="E197" i="4"/>
  <c r="E195" i="4"/>
  <c r="E193" i="4"/>
  <c r="E191" i="4"/>
  <c r="E189" i="4"/>
  <c r="E187" i="4"/>
  <c r="E185" i="4"/>
  <c r="E183" i="4"/>
  <c r="E181" i="4"/>
  <c r="E179" i="4"/>
  <c r="E177" i="4"/>
  <c r="E175" i="4"/>
  <c r="E173" i="4"/>
  <c r="E171" i="4"/>
  <c r="E169" i="4"/>
  <c r="E167" i="4"/>
  <c r="E165" i="4"/>
  <c r="E163" i="4"/>
  <c r="E161" i="4"/>
  <c r="E159" i="4"/>
  <c r="E157" i="4"/>
  <c r="L214" i="4"/>
  <c r="L212" i="4"/>
  <c r="L210" i="4"/>
  <c r="L208" i="4"/>
  <c r="L206" i="4"/>
  <c r="L204" i="4"/>
  <c r="L202" i="4"/>
  <c r="L200" i="4"/>
  <c r="L198" i="4"/>
  <c r="L196" i="4"/>
  <c r="L194" i="4"/>
  <c r="L192" i="4"/>
  <c r="L190" i="4"/>
  <c r="L188" i="4"/>
  <c r="L186" i="4"/>
  <c r="L184" i="4"/>
  <c r="L182" i="4"/>
  <c r="L180" i="4"/>
  <c r="L178" i="4"/>
  <c r="L176" i="4"/>
  <c r="L174" i="4"/>
  <c r="L172" i="4"/>
  <c r="L170" i="4"/>
  <c r="L168" i="4"/>
  <c r="L166" i="4"/>
  <c r="L164" i="4"/>
  <c r="L162" i="4"/>
  <c r="L160" i="4"/>
  <c r="L158" i="4"/>
  <c r="S214" i="4"/>
  <c r="S212" i="4"/>
  <c r="S210" i="4"/>
  <c r="S208" i="4"/>
  <c r="S206" i="4"/>
  <c r="S204" i="4"/>
  <c r="S202" i="4"/>
  <c r="S200" i="4"/>
  <c r="S198" i="4"/>
  <c r="S196" i="4"/>
  <c r="S194" i="4"/>
  <c r="S192" i="4"/>
  <c r="S190" i="4"/>
  <c r="S188" i="4"/>
  <c r="S186" i="4"/>
  <c r="S184" i="4"/>
  <c r="S182" i="4"/>
  <c r="S180" i="4"/>
  <c r="S178" i="4"/>
  <c r="S176" i="4"/>
  <c r="S174" i="4"/>
  <c r="S172" i="4"/>
  <c r="S170" i="4"/>
  <c r="S168" i="4"/>
  <c r="S166" i="4"/>
  <c r="S164" i="4"/>
  <c r="S162" i="4"/>
  <c r="S160" i="4"/>
  <c r="B21" i="3"/>
  <c r="AD24" i="5"/>
  <c r="AD25" i="5"/>
  <c r="AD26" i="5"/>
  <c r="AD27" i="5"/>
  <c r="AD28" i="5"/>
  <c r="AD29" i="5"/>
  <c r="AD30" i="5"/>
  <c r="AD31" i="5"/>
  <c r="AD32" i="5"/>
  <c r="AD33" i="5"/>
  <c r="AD23" i="5"/>
  <c r="Q17" i="5"/>
  <c r="X31" i="5"/>
  <c r="AD10" i="5"/>
  <c r="AD11" i="5"/>
  <c r="AD12" i="5"/>
  <c r="AD13" i="5"/>
  <c r="AD14" i="5"/>
  <c r="AD15" i="5"/>
  <c r="AD16" i="5"/>
  <c r="AD17" i="5"/>
  <c r="AD18" i="5"/>
  <c r="AD19" i="5"/>
  <c r="AD9" i="5"/>
  <c r="G9" i="5"/>
  <c r="X9" i="5" s="1"/>
  <c r="P67" i="5"/>
  <c r="P66" i="5"/>
  <c r="P65" i="5"/>
  <c r="P64" i="5"/>
  <c r="P63" i="5"/>
  <c r="P62" i="5"/>
  <c r="P61" i="5"/>
  <c r="P60" i="5"/>
  <c r="P59" i="5"/>
  <c r="P58" i="5"/>
  <c r="P57" i="5"/>
  <c r="N67" i="5"/>
  <c r="N66" i="5"/>
  <c r="N65" i="5"/>
  <c r="N64" i="5"/>
  <c r="N63" i="5"/>
  <c r="N62" i="5"/>
  <c r="N61" i="5"/>
  <c r="N60" i="5"/>
  <c r="N59" i="5"/>
  <c r="N58" i="5"/>
  <c r="N57" i="5"/>
  <c r="P51" i="5"/>
  <c r="P50" i="5"/>
  <c r="P49" i="5"/>
  <c r="P48" i="5"/>
  <c r="P47" i="5"/>
  <c r="P46" i="5"/>
  <c r="P45" i="5"/>
  <c r="P44" i="5"/>
  <c r="P43" i="5"/>
  <c r="P42" i="5"/>
  <c r="P41" i="5"/>
  <c r="N51" i="5"/>
  <c r="N50" i="5"/>
  <c r="N49" i="5"/>
  <c r="N48" i="5"/>
  <c r="N47" i="5"/>
  <c r="N46" i="5"/>
  <c r="N45" i="5"/>
  <c r="N44" i="5"/>
  <c r="N43" i="5"/>
  <c r="N42" i="5"/>
  <c r="N41" i="5"/>
  <c r="P35" i="5"/>
  <c r="P34" i="5"/>
  <c r="P33" i="5"/>
  <c r="P32" i="5"/>
  <c r="P31" i="5"/>
  <c r="P30" i="5"/>
  <c r="P29" i="5"/>
  <c r="P28" i="5"/>
  <c r="P27" i="5"/>
  <c r="P26" i="5"/>
  <c r="P25" i="5"/>
  <c r="N35" i="5"/>
  <c r="N34" i="5"/>
  <c r="N33" i="5"/>
  <c r="N32" i="5"/>
  <c r="N31" i="5"/>
  <c r="N30" i="5"/>
  <c r="N29" i="5"/>
  <c r="N28" i="5"/>
  <c r="N27" i="5"/>
  <c r="N26" i="5"/>
  <c r="N25" i="5"/>
  <c r="R67" i="5"/>
  <c r="AE33" i="5" s="1"/>
  <c r="R66" i="5"/>
  <c r="AE32" i="5" s="1"/>
  <c r="R65" i="5"/>
  <c r="AE31" i="5" s="1"/>
  <c r="R64" i="5"/>
  <c r="AE30" i="5" s="1"/>
  <c r="R63" i="5"/>
  <c r="AE29" i="5" s="1"/>
  <c r="R62" i="5"/>
  <c r="AE28" i="5" s="1"/>
  <c r="R61" i="5"/>
  <c r="AE27" i="5" s="1"/>
  <c r="R60" i="5"/>
  <c r="AE26" i="5" s="1"/>
  <c r="R59" i="5"/>
  <c r="AE25" i="5" s="1"/>
  <c r="R58" i="5"/>
  <c r="AE24" i="5" s="1"/>
  <c r="R57" i="5"/>
  <c r="AE23" i="5" s="1"/>
  <c r="P19" i="5"/>
  <c r="P18" i="5"/>
  <c r="P17" i="5"/>
  <c r="P16" i="5"/>
  <c r="P15" i="5"/>
  <c r="P14" i="5"/>
  <c r="P13" i="5"/>
  <c r="P12" i="5"/>
  <c r="P11" i="5"/>
  <c r="P10" i="5"/>
  <c r="P9" i="5"/>
  <c r="N19" i="5"/>
  <c r="N18" i="5"/>
  <c r="N17" i="5"/>
  <c r="R17" i="5" s="1"/>
  <c r="N16" i="5"/>
  <c r="N15" i="5"/>
  <c r="N14" i="5"/>
  <c r="N13" i="5"/>
  <c r="N12" i="5"/>
  <c r="N11" i="5"/>
  <c r="N10" i="5"/>
  <c r="N9" i="5"/>
  <c r="H62" i="5"/>
  <c r="AE14" i="5" s="1"/>
  <c r="F67" i="5"/>
  <c r="F66" i="5"/>
  <c r="H66" i="5" s="1"/>
  <c r="AE18" i="5" s="1"/>
  <c r="F65" i="5"/>
  <c r="F64" i="5"/>
  <c r="F63" i="5"/>
  <c r="F62" i="5"/>
  <c r="F61" i="5"/>
  <c r="F60" i="5"/>
  <c r="F59" i="5"/>
  <c r="F58" i="5"/>
  <c r="H58" i="5" s="1"/>
  <c r="AE10" i="5" s="1"/>
  <c r="F57" i="5"/>
  <c r="D67" i="5"/>
  <c r="H67" i="5" s="1"/>
  <c r="AE19" i="5" s="1"/>
  <c r="D66" i="5"/>
  <c r="D65" i="5"/>
  <c r="D64" i="5"/>
  <c r="H64" i="5" s="1"/>
  <c r="AE16" i="5" s="1"/>
  <c r="D63" i="5"/>
  <c r="H63" i="5" s="1"/>
  <c r="AE15" i="5" s="1"/>
  <c r="D62" i="5"/>
  <c r="D61" i="5"/>
  <c r="D60" i="5"/>
  <c r="H60" i="5" s="1"/>
  <c r="AE12" i="5" s="1"/>
  <c r="D59" i="5"/>
  <c r="H59" i="5" s="1"/>
  <c r="AE11" i="5" s="1"/>
  <c r="D58" i="5"/>
  <c r="D57" i="5"/>
  <c r="F51" i="5"/>
  <c r="F50" i="5"/>
  <c r="F49" i="5"/>
  <c r="F48" i="5"/>
  <c r="F47" i="5"/>
  <c r="F46" i="5"/>
  <c r="F45" i="5"/>
  <c r="F44" i="5"/>
  <c r="F43" i="5"/>
  <c r="F42" i="5"/>
  <c r="F41" i="5"/>
  <c r="D51" i="5"/>
  <c r="D50" i="5"/>
  <c r="D49" i="5"/>
  <c r="H49" i="5" s="1"/>
  <c r="AC17" i="5" s="1"/>
  <c r="D48" i="5"/>
  <c r="D47" i="5"/>
  <c r="D46" i="5"/>
  <c r="D45" i="5"/>
  <c r="D44" i="5"/>
  <c r="D43" i="5"/>
  <c r="D42" i="5"/>
  <c r="D41" i="5"/>
  <c r="F35" i="5"/>
  <c r="F34" i="5"/>
  <c r="F33" i="5"/>
  <c r="F32" i="5"/>
  <c r="F31" i="5"/>
  <c r="F30" i="5"/>
  <c r="F29" i="5"/>
  <c r="F28" i="5"/>
  <c r="F27" i="5"/>
  <c r="F26" i="5"/>
  <c r="F25" i="5"/>
  <c r="D35" i="5"/>
  <c r="D34" i="5"/>
  <c r="D33" i="5"/>
  <c r="D32" i="5"/>
  <c r="H32" i="5" s="1"/>
  <c r="D31" i="5"/>
  <c r="D30" i="5"/>
  <c r="H30" i="5" s="1"/>
  <c r="D29" i="5"/>
  <c r="D28" i="5"/>
  <c r="H28" i="5" s="1"/>
  <c r="D27" i="5"/>
  <c r="D26" i="5"/>
  <c r="D25" i="5"/>
  <c r="F19" i="5"/>
  <c r="F18" i="5"/>
  <c r="F17" i="5"/>
  <c r="F16" i="5"/>
  <c r="F15" i="5"/>
  <c r="F14" i="5"/>
  <c r="F13" i="5"/>
  <c r="F12" i="5"/>
  <c r="F11" i="5"/>
  <c r="F10" i="5"/>
  <c r="F9" i="5"/>
  <c r="D19" i="5"/>
  <c r="H19" i="5" s="1"/>
  <c r="D18" i="5"/>
  <c r="H18" i="5" s="1"/>
  <c r="Y18" i="5" s="1"/>
  <c r="D17" i="5"/>
  <c r="D16" i="5"/>
  <c r="H16" i="5" s="1"/>
  <c r="D15" i="5"/>
  <c r="H15" i="5" s="1"/>
  <c r="D14" i="5"/>
  <c r="H14" i="5" s="1"/>
  <c r="Y14" i="5" s="1"/>
  <c r="D13" i="5"/>
  <c r="D12" i="5"/>
  <c r="H12" i="5" s="1"/>
  <c r="D11" i="5"/>
  <c r="D10" i="5"/>
  <c r="H10" i="5" s="1"/>
  <c r="D9" i="5"/>
  <c r="H9" i="5" s="1"/>
  <c r="Y9" i="5" s="1"/>
  <c r="J34" i="5"/>
  <c r="J12" i="5"/>
  <c r="J16" i="5"/>
  <c r="G51" i="5"/>
  <c r="G50" i="5"/>
  <c r="AB18" i="5" s="1"/>
  <c r="G49" i="5"/>
  <c r="AB17" i="5" s="1"/>
  <c r="G48" i="5"/>
  <c r="AB16" i="5" s="1"/>
  <c r="G47" i="5"/>
  <c r="G46" i="5"/>
  <c r="G45" i="5"/>
  <c r="AB13" i="5" s="1"/>
  <c r="G44" i="5"/>
  <c r="AB12" i="5" s="1"/>
  <c r="G43" i="5"/>
  <c r="G42" i="5"/>
  <c r="G41" i="5"/>
  <c r="H41" i="5" s="1"/>
  <c r="AC9" i="5" s="1"/>
  <c r="Q51" i="5"/>
  <c r="Q50" i="5"/>
  <c r="Q49" i="5"/>
  <c r="Q48" i="5"/>
  <c r="Q47" i="5"/>
  <c r="Q46" i="5"/>
  <c r="Q45" i="5"/>
  <c r="Q44" i="5"/>
  <c r="Q43" i="5"/>
  <c r="Q42" i="5"/>
  <c r="Q41" i="5"/>
  <c r="Q35" i="5"/>
  <c r="Q34" i="5"/>
  <c r="Q33" i="5"/>
  <c r="Q32" i="5"/>
  <c r="Q31" i="5"/>
  <c r="Q30" i="5"/>
  <c r="Q29" i="5"/>
  <c r="Q28" i="5"/>
  <c r="Q27" i="5"/>
  <c r="Q26" i="5"/>
  <c r="Q25" i="5"/>
  <c r="Q19" i="5"/>
  <c r="X33" i="5" s="1"/>
  <c r="Q18" i="5"/>
  <c r="X32" i="5" s="1"/>
  <c r="Q16" i="5"/>
  <c r="Q15" i="5"/>
  <c r="Q14" i="5"/>
  <c r="X28" i="5" s="1"/>
  <c r="Q13" i="5"/>
  <c r="X27" i="5" s="1"/>
  <c r="Q12" i="5"/>
  <c r="Q11" i="5"/>
  <c r="Q10" i="5"/>
  <c r="X24" i="5" s="1"/>
  <c r="Q9" i="5"/>
  <c r="X23" i="5" s="1"/>
  <c r="G35" i="5"/>
  <c r="Z19" i="5" s="1"/>
  <c r="G34" i="5"/>
  <c r="Z18" i="5" s="1"/>
  <c r="G33" i="5"/>
  <c r="G32" i="5"/>
  <c r="Z16" i="5" s="1"/>
  <c r="G31" i="5"/>
  <c r="Z15" i="5" s="1"/>
  <c r="G30" i="5"/>
  <c r="Z14" i="5" s="1"/>
  <c r="G29" i="5"/>
  <c r="G28" i="5"/>
  <c r="Z12" i="5" s="1"/>
  <c r="G27" i="5"/>
  <c r="Z11" i="5" s="1"/>
  <c r="G26" i="5"/>
  <c r="J26" i="5" s="1"/>
  <c r="G25" i="5"/>
  <c r="G10" i="5"/>
  <c r="X10" i="5" s="1"/>
  <c r="G11" i="5"/>
  <c r="X11" i="5" s="1"/>
  <c r="G12" i="5"/>
  <c r="X12" i="5" s="1"/>
  <c r="G13" i="5"/>
  <c r="G14" i="5"/>
  <c r="X14" i="5" s="1"/>
  <c r="G15" i="5"/>
  <c r="X15" i="5" s="1"/>
  <c r="G16" i="5"/>
  <c r="X16" i="5" s="1"/>
  <c r="G17" i="5"/>
  <c r="G18" i="5"/>
  <c r="X18" i="5" s="1"/>
  <c r="G19" i="5"/>
  <c r="X19" i="5" s="1"/>
  <c r="B14" i="1"/>
  <c r="AL215" i="4"/>
  <c r="AL214" i="4"/>
  <c r="AL213" i="4"/>
  <c r="AL212" i="4"/>
  <c r="AL211" i="4"/>
  <c r="AL210" i="4"/>
  <c r="AE215" i="4"/>
  <c r="AE214" i="4"/>
  <c r="AE213" i="4"/>
  <c r="AE212" i="4"/>
  <c r="AE211" i="4"/>
  <c r="AE210" i="4"/>
  <c r="X215" i="4"/>
  <c r="X214" i="4"/>
  <c r="X213" i="4"/>
  <c r="X212" i="4"/>
  <c r="X211" i="4"/>
  <c r="X210" i="4"/>
  <c r="X147" i="4"/>
  <c r="X146" i="4"/>
  <c r="X145" i="4"/>
  <c r="X144" i="4"/>
  <c r="X143" i="4"/>
  <c r="X142" i="4"/>
  <c r="AE147" i="4"/>
  <c r="AE146" i="4"/>
  <c r="AE145" i="4"/>
  <c r="AE144" i="4"/>
  <c r="AE143" i="4"/>
  <c r="AE142" i="4"/>
  <c r="AL147" i="4"/>
  <c r="AL146" i="4"/>
  <c r="AL145" i="4"/>
  <c r="AL144" i="4"/>
  <c r="AL143" i="4"/>
  <c r="AL142" i="4"/>
  <c r="AL80" i="4"/>
  <c r="AL79" i="4"/>
  <c r="AL78" i="4"/>
  <c r="AL77" i="4"/>
  <c r="AL76" i="4"/>
  <c r="AL75" i="4"/>
  <c r="AE80" i="4"/>
  <c r="AE79" i="4"/>
  <c r="AE78" i="4"/>
  <c r="AE77" i="4"/>
  <c r="AE76" i="4"/>
  <c r="AE75" i="4"/>
  <c r="X80" i="4"/>
  <c r="X79" i="4"/>
  <c r="X78" i="4"/>
  <c r="X77" i="4"/>
  <c r="X76" i="4"/>
  <c r="X75" i="4"/>
  <c r="B215" i="4"/>
  <c r="B214" i="4"/>
  <c r="B213" i="4"/>
  <c r="B212" i="4"/>
  <c r="B211" i="4"/>
  <c r="B210" i="4"/>
  <c r="I215" i="4"/>
  <c r="I214" i="4"/>
  <c r="I213" i="4"/>
  <c r="I212" i="4"/>
  <c r="I211" i="4"/>
  <c r="I210" i="4"/>
  <c r="P215" i="4"/>
  <c r="P214" i="4"/>
  <c r="P213" i="4"/>
  <c r="P212" i="4"/>
  <c r="P211" i="4"/>
  <c r="P210" i="4"/>
  <c r="P147" i="4"/>
  <c r="P146" i="4"/>
  <c r="P145" i="4"/>
  <c r="P144" i="4"/>
  <c r="P143" i="4"/>
  <c r="P142" i="4"/>
  <c r="I147" i="4"/>
  <c r="I146" i="4"/>
  <c r="I145" i="4"/>
  <c r="I144" i="4"/>
  <c r="I143" i="4"/>
  <c r="I142" i="4"/>
  <c r="B147" i="4"/>
  <c r="B146" i="4"/>
  <c r="B145" i="4"/>
  <c r="B144" i="4"/>
  <c r="B143" i="4"/>
  <c r="B142" i="4"/>
  <c r="P80" i="4"/>
  <c r="P79" i="4"/>
  <c r="P78" i="4"/>
  <c r="P77" i="4"/>
  <c r="P76" i="4"/>
  <c r="P75" i="4"/>
  <c r="I80" i="4"/>
  <c r="I79" i="4"/>
  <c r="I78" i="4"/>
  <c r="I77" i="4"/>
  <c r="I76" i="4"/>
  <c r="I75" i="4"/>
  <c r="B76" i="4"/>
  <c r="B77" i="4"/>
  <c r="B78" i="4"/>
  <c r="B79" i="4"/>
  <c r="B80" i="4"/>
  <c r="AL209" i="4"/>
  <c r="AL208" i="4"/>
  <c r="AL207" i="4"/>
  <c r="AL206" i="4"/>
  <c r="AL205" i="4"/>
  <c r="AL204" i="4"/>
  <c r="AL203" i="4"/>
  <c r="AL202" i="4"/>
  <c r="AL201" i="4"/>
  <c r="AL200" i="4"/>
  <c r="AL199" i="4"/>
  <c r="AL198" i="4"/>
  <c r="AL197" i="4"/>
  <c r="AL196" i="4"/>
  <c r="AL195" i="4"/>
  <c r="AL194" i="4"/>
  <c r="AL193" i="4"/>
  <c r="AL192" i="4"/>
  <c r="AL191" i="4"/>
  <c r="AL190" i="4"/>
  <c r="AL189" i="4"/>
  <c r="AL188" i="4"/>
  <c r="AL187" i="4"/>
  <c r="AL186" i="4"/>
  <c r="AL185" i="4"/>
  <c r="AL184" i="4"/>
  <c r="AL183" i="4"/>
  <c r="AL182" i="4"/>
  <c r="AL181" i="4"/>
  <c r="AL180" i="4"/>
  <c r="AL179" i="4"/>
  <c r="AL178" i="4"/>
  <c r="AL177" i="4"/>
  <c r="AL176" i="4"/>
  <c r="AL175" i="4"/>
  <c r="AL174" i="4"/>
  <c r="AL173" i="4"/>
  <c r="AL172" i="4"/>
  <c r="AL171" i="4"/>
  <c r="AL170" i="4"/>
  <c r="AL169" i="4"/>
  <c r="AL168" i="4"/>
  <c r="AL167" i="4"/>
  <c r="AL166" i="4"/>
  <c r="AL165" i="4"/>
  <c r="AL164" i="4"/>
  <c r="AL163" i="4"/>
  <c r="AL162" i="4"/>
  <c r="AL161" i="4"/>
  <c r="AL160" i="4"/>
  <c r="AL159" i="4"/>
  <c r="AL158" i="4"/>
  <c r="AL157" i="4"/>
  <c r="AL156"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X209" i="4"/>
  <c r="X208" i="4"/>
  <c r="X207" i="4"/>
  <c r="X206" i="4"/>
  <c r="X205" i="4"/>
  <c r="X204" i="4"/>
  <c r="X203" i="4"/>
  <c r="X202" i="4"/>
  <c r="X201" i="4"/>
  <c r="X200" i="4"/>
  <c r="X199" i="4"/>
  <c r="X198" i="4"/>
  <c r="X197" i="4"/>
  <c r="X196" i="4"/>
  <c r="X195" i="4"/>
  <c r="X194" i="4"/>
  <c r="X193" i="4"/>
  <c r="X192" i="4"/>
  <c r="X191" i="4"/>
  <c r="X190" i="4"/>
  <c r="X189" i="4"/>
  <c r="X188" i="4"/>
  <c r="X187" i="4"/>
  <c r="X186" i="4"/>
  <c r="X185" i="4"/>
  <c r="X184" i="4"/>
  <c r="X183" i="4"/>
  <c r="X182" i="4"/>
  <c r="X181" i="4"/>
  <c r="X180" i="4"/>
  <c r="X179" i="4"/>
  <c r="X178" i="4"/>
  <c r="X177" i="4"/>
  <c r="X176" i="4"/>
  <c r="X175" i="4"/>
  <c r="X174" i="4"/>
  <c r="X173" i="4"/>
  <c r="X172" i="4"/>
  <c r="X171" i="4"/>
  <c r="X170" i="4"/>
  <c r="X169" i="4"/>
  <c r="X168" i="4"/>
  <c r="X167" i="4"/>
  <c r="X166" i="4"/>
  <c r="X165" i="4"/>
  <c r="X164" i="4"/>
  <c r="X163" i="4"/>
  <c r="X162" i="4"/>
  <c r="X161" i="4"/>
  <c r="X160" i="4"/>
  <c r="X159" i="4"/>
  <c r="X158" i="4"/>
  <c r="X157" i="4"/>
  <c r="X156" i="4"/>
  <c r="P209" i="4"/>
  <c r="P208" i="4"/>
  <c r="P207" i="4"/>
  <c r="P206" i="4"/>
  <c r="P205" i="4"/>
  <c r="P204" i="4"/>
  <c r="P203" i="4"/>
  <c r="P202" i="4"/>
  <c r="P201" i="4"/>
  <c r="P200" i="4"/>
  <c r="P199" i="4"/>
  <c r="P198" i="4"/>
  <c r="P197" i="4"/>
  <c r="P196" i="4"/>
  <c r="P195" i="4"/>
  <c r="P194" i="4"/>
  <c r="P193" i="4"/>
  <c r="P192" i="4"/>
  <c r="P191" i="4"/>
  <c r="P190" i="4"/>
  <c r="P189" i="4"/>
  <c r="P188" i="4"/>
  <c r="P187" i="4"/>
  <c r="P186" i="4"/>
  <c r="P185" i="4"/>
  <c r="P184" i="4"/>
  <c r="P183" i="4"/>
  <c r="P182" i="4"/>
  <c r="P181" i="4"/>
  <c r="P180" i="4"/>
  <c r="P179" i="4"/>
  <c r="P178" i="4"/>
  <c r="P177" i="4"/>
  <c r="P176" i="4"/>
  <c r="P175" i="4"/>
  <c r="P174" i="4"/>
  <c r="P173" i="4"/>
  <c r="P172" i="4"/>
  <c r="P171" i="4"/>
  <c r="P170" i="4"/>
  <c r="P169" i="4"/>
  <c r="P168" i="4"/>
  <c r="P167" i="4"/>
  <c r="P166" i="4"/>
  <c r="P165" i="4"/>
  <c r="P164" i="4"/>
  <c r="P163" i="4"/>
  <c r="P162" i="4"/>
  <c r="P161" i="4"/>
  <c r="P160" i="4"/>
  <c r="P159" i="4"/>
  <c r="P158" i="4"/>
  <c r="P157" i="4"/>
  <c r="P156" i="4"/>
  <c r="I209" i="4"/>
  <c r="I208" i="4"/>
  <c r="I207" i="4"/>
  <c r="I206" i="4"/>
  <c r="I205" i="4"/>
  <c r="I204" i="4"/>
  <c r="I203" i="4"/>
  <c r="I202" i="4"/>
  <c r="I201" i="4"/>
  <c r="I200" i="4"/>
  <c r="I199" i="4"/>
  <c r="I198" i="4"/>
  <c r="I197" i="4"/>
  <c r="I196" i="4"/>
  <c r="I195" i="4"/>
  <c r="I194" i="4"/>
  <c r="I193" i="4"/>
  <c r="I192" i="4"/>
  <c r="I191" i="4"/>
  <c r="I190" i="4"/>
  <c r="I189" i="4"/>
  <c r="I188" i="4"/>
  <c r="I187" i="4"/>
  <c r="I186" i="4"/>
  <c r="I185" i="4"/>
  <c r="I184" i="4"/>
  <c r="I183" i="4"/>
  <c r="I182" i="4"/>
  <c r="I181" i="4"/>
  <c r="I180" i="4"/>
  <c r="I179" i="4"/>
  <c r="I178" i="4"/>
  <c r="I177" i="4"/>
  <c r="I176" i="4"/>
  <c r="I175" i="4"/>
  <c r="I174" i="4"/>
  <c r="I173" i="4"/>
  <c r="I172" i="4"/>
  <c r="I171" i="4"/>
  <c r="I170" i="4"/>
  <c r="I169" i="4"/>
  <c r="I168" i="4"/>
  <c r="I167" i="4"/>
  <c r="I166" i="4"/>
  <c r="I165" i="4"/>
  <c r="I164" i="4"/>
  <c r="I163" i="4"/>
  <c r="I162" i="4"/>
  <c r="I161" i="4"/>
  <c r="I160" i="4"/>
  <c r="I159" i="4"/>
  <c r="I158" i="4"/>
  <c r="I157" i="4"/>
  <c r="I156" i="4"/>
  <c r="B209" i="4"/>
  <c r="B208" i="4"/>
  <c r="B207" i="4"/>
  <c r="B206" i="4"/>
  <c r="B205" i="4"/>
  <c r="B204" i="4"/>
  <c r="B203" i="4"/>
  <c r="B202" i="4"/>
  <c r="B201" i="4"/>
  <c r="B200" i="4"/>
  <c r="B199" i="4"/>
  <c r="B198" i="4"/>
  <c r="B197" i="4"/>
  <c r="B196" i="4"/>
  <c r="B195" i="4"/>
  <c r="B194" i="4"/>
  <c r="B193" i="4"/>
  <c r="B192" i="4"/>
  <c r="B191" i="4"/>
  <c r="B190" i="4"/>
  <c r="B189" i="4"/>
  <c r="B188" i="4"/>
  <c r="B187" i="4"/>
  <c r="B186" i="4"/>
  <c r="B185" i="4"/>
  <c r="B184" i="4"/>
  <c r="B183" i="4"/>
  <c r="B182" i="4"/>
  <c r="B181" i="4"/>
  <c r="B180" i="4"/>
  <c r="B179" i="4"/>
  <c r="B178" i="4"/>
  <c r="B177" i="4"/>
  <c r="B176" i="4"/>
  <c r="B175" i="4"/>
  <c r="B174" i="4"/>
  <c r="B173" i="4"/>
  <c r="B172" i="4"/>
  <c r="B171" i="4"/>
  <c r="B170" i="4"/>
  <c r="B169" i="4"/>
  <c r="B168" i="4"/>
  <c r="B167" i="4"/>
  <c r="B166" i="4"/>
  <c r="B165" i="4"/>
  <c r="B164" i="4"/>
  <c r="B163" i="4"/>
  <c r="B162" i="4"/>
  <c r="B161" i="4"/>
  <c r="B160" i="4"/>
  <c r="B159" i="4"/>
  <c r="B158" i="4"/>
  <c r="B157" i="4"/>
  <c r="B156" i="4"/>
  <c r="AL141" i="4"/>
  <c r="AL140" i="4"/>
  <c r="AL139" i="4"/>
  <c r="AL138" i="4"/>
  <c r="AL137" i="4"/>
  <c r="AL136" i="4"/>
  <c r="AL135" i="4"/>
  <c r="AL134" i="4"/>
  <c r="AL133" i="4"/>
  <c r="AL132" i="4"/>
  <c r="AL131" i="4"/>
  <c r="AL130" i="4"/>
  <c r="AL129" i="4"/>
  <c r="AL128" i="4"/>
  <c r="AL127" i="4"/>
  <c r="AL126" i="4"/>
  <c r="AL125" i="4"/>
  <c r="AL124" i="4"/>
  <c r="AL123" i="4"/>
  <c r="AL122" i="4"/>
  <c r="AL121" i="4"/>
  <c r="AL120" i="4"/>
  <c r="AL119" i="4"/>
  <c r="AL118" i="4"/>
  <c r="AL117" i="4"/>
  <c r="AL116" i="4"/>
  <c r="AL115" i="4"/>
  <c r="AL114" i="4"/>
  <c r="AL113" i="4"/>
  <c r="AL112" i="4"/>
  <c r="AL111" i="4"/>
  <c r="AL110" i="4"/>
  <c r="AL109" i="4"/>
  <c r="AL108" i="4"/>
  <c r="AL107" i="4"/>
  <c r="AL106" i="4"/>
  <c r="AL105" i="4"/>
  <c r="AL104" i="4"/>
  <c r="AL103" i="4"/>
  <c r="AL102" i="4"/>
  <c r="AL101" i="4"/>
  <c r="AL100" i="4"/>
  <c r="AL99" i="4"/>
  <c r="AL98" i="4"/>
  <c r="AL97" i="4"/>
  <c r="AL96" i="4"/>
  <c r="AL95" i="4"/>
  <c r="AL94" i="4"/>
  <c r="AL93" i="4"/>
  <c r="AL92" i="4"/>
  <c r="AL91" i="4"/>
  <c r="AL90" i="4"/>
  <c r="AL89" i="4"/>
  <c r="AL88"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X141" i="4"/>
  <c r="X140" i="4"/>
  <c r="X139" i="4"/>
  <c r="X138" i="4"/>
  <c r="X137" i="4"/>
  <c r="X136" i="4"/>
  <c r="X135" i="4"/>
  <c r="X134" i="4"/>
  <c r="X133" i="4"/>
  <c r="X132" i="4"/>
  <c r="X131" i="4"/>
  <c r="X130" i="4"/>
  <c r="X129" i="4"/>
  <c r="X128" i="4"/>
  <c r="X127" i="4"/>
  <c r="X126" i="4"/>
  <c r="X125" i="4"/>
  <c r="X124" i="4"/>
  <c r="X123" i="4"/>
  <c r="X122" i="4"/>
  <c r="X121" i="4"/>
  <c r="X120" i="4"/>
  <c r="X119" i="4"/>
  <c r="X118" i="4"/>
  <c r="X117" i="4"/>
  <c r="X116" i="4"/>
  <c r="X115" i="4"/>
  <c r="X114" i="4"/>
  <c r="X113" i="4"/>
  <c r="X112" i="4"/>
  <c r="X111" i="4"/>
  <c r="X110" i="4"/>
  <c r="X109" i="4"/>
  <c r="X108" i="4"/>
  <c r="X107" i="4"/>
  <c r="X106" i="4"/>
  <c r="X105" i="4"/>
  <c r="X104" i="4"/>
  <c r="X103" i="4"/>
  <c r="X102" i="4"/>
  <c r="X101" i="4"/>
  <c r="X100" i="4"/>
  <c r="X99" i="4"/>
  <c r="X98" i="4"/>
  <c r="X97" i="4"/>
  <c r="X96" i="4"/>
  <c r="X95" i="4"/>
  <c r="X94" i="4"/>
  <c r="X93" i="4"/>
  <c r="X92" i="4"/>
  <c r="X91" i="4"/>
  <c r="X90" i="4"/>
  <c r="X89" i="4"/>
  <c r="X88" i="4"/>
  <c r="P141" i="4"/>
  <c r="P140" i="4"/>
  <c r="P139" i="4"/>
  <c r="P138" i="4"/>
  <c r="P137" i="4"/>
  <c r="P136" i="4"/>
  <c r="P135" i="4"/>
  <c r="P134" i="4"/>
  <c r="P133" i="4"/>
  <c r="P132" i="4"/>
  <c r="P131" i="4"/>
  <c r="P130" i="4"/>
  <c r="P129" i="4"/>
  <c r="P128" i="4"/>
  <c r="P127" i="4"/>
  <c r="P126" i="4"/>
  <c r="P125" i="4"/>
  <c r="P124" i="4"/>
  <c r="P123" i="4"/>
  <c r="P122" i="4"/>
  <c r="P121" i="4"/>
  <c r="P120" i="4"/>
  <c r="P119" i="4"/>
  <c r="P118" i="4"/>
  <c r="P117" i="4"/>
  <c r="P116" i="4"/>
  <c r="P115" i="4"/>
  <c r="P114" i="4"/>
  <c r="P113" i="4"/>
  <c r="P112" i="4"/>
  <c r="P111" i="4"/>
  <c r="P110" i="4"/>
  <c r="P109" i="4"/>
  <c r="P108" i="4"/>
  <c r="P107" i="4"/>
  <c r="P106" i="4"/>
  <c r="P105" i="4"/>
  <c r="P104" i="4"/>
  <c r="P103" i="4"/>
  <c r="P102" i="4"/>
  <c r="P101" i="4"/>
  <c r="P100" i="4"/>
  <c r="P99" i="4"/>
  <c r="P98" i="4"/>
  <c r="P97" i="4"/>
  <c r="P96" i="4"/>
  <c r="P95" i="4"/>
  <c r="P94" i="4"/>
  <c r="P93" i="4"/>
  <c r="P92" i="4"/>
  <c r="P91" i="4"/>
  <c r="P90" i="4"/>
  <c r="P89" i="4"/>
  <c r="P88" i="4"/>
  <c r="I141" i="4"/>
  <c r="I140" i="4"/>
  <c r="I139" i="4"/>
  <c r="I138" i="4"/>
  <c r="I137" i="4"/>
  <c r="I136" i="4"/>
  <c r="I135" i="4"/>
  <c r="I134" i="4"/>
  <c r="I133" i="4"/>
  <c r="I132" i="4"/>
  <c r="I131" i="4"/>
  <c r="I130" i="4"/>
  <c r="I129" i="4"/>
  <c r="I128" i="4"/>
  <c r="I127" i="4"/>
  <c r="I126" i="4"/>
  <c r="I125" i="4"/>
  <c r="I124" i="4"/>
  <c r="I123" i="4"/>
  <c r="I122" i="4"/>
  <c r="I121" i="4"/>
  <c r="I120" i="4"/>
  <c r="I119" i="4"/>
  <c r="I118" i="4"/>
  <c r="I117" i="4"/>
  <c r="I116" i="4"/>
  <c r="I115" i="4"/>
  <c r="I114" i="4"/>
  <c r="I113" i="4"/>
  <c r="I112" i="4"/>
  <c r="I111" i="4"/>
  <c r="I110" i="4"/>
  <c r="I109" i="4"/>
  <c r="I108" i="4"/>
  <c r="I107" i="4"/>
  <c r="I106" i="4"/>
  <c r="I105" i="4"/>
  <c r="I104" i="4"/>
  <c r="I103" i="4"/>
  <c r="I102" i="4"/>
  <c r="I101" i="4"/>
  <c r="I100" i="4"/>
  <c r="I99" i="4"/>
  <c r="I98" i="4"/>
  <c r="I97" i="4"/>
  <c r="I96" i="4"/>
  <c r="I95" i="4"/>
  <c r="I94" i="4"/>
  <c r="I93" i="4"/>
  <c r="I92" i="4"/>
  <c r="I91" i="4"/>
  <c r="I90" i="4"/>
  <c r="I89" i="4"/>
  <c r="I88" i="4"/>
  <c r="B141" i="4"/>
  <c r="B140" i="4"/>
  <c r="B139" i="4"/>
  <c r="B138" i="4"/>
  <c r="B137" i="4"/>
  <c r="B136" i="4"/>
  <c r="B135" i="4"/>
  <c r="B134" i="4"/>
  <c r="B133" i="4"/>
  <c r="B132" i="4"/>
  <c r="B131" i="4"/>
  <c r="B130" i="4"/>
  <c r="B129" i="4"/>
  <c r="B128" i="4"/>
  <c r="B127" i="4"/>
  <c r="B126" i="4"/>
  <c r="B125" i="4"/>
  <c r="B124" i="4"/>
  <c r="B123" i="4"/>
  <c r="B122" i="4"/>
  <c r="B121" i="4"/>
  <c r="B120" i="4"/>
  <c r="B119" i="4"/>
  <c r="B118" i="4"/>
  <c r="B117" i="4"/>
  <c r="B116" i="4"/>
  <c r="B115" i="4"/>
  <c r="B114" i="4"/>
  <c r="B113" i="4"/>
  <c r="B112" i="4"/>
  <c r="B111" i="4"/>
  <c r="B110" i="4"/>
  <c r="B109" i="4"/>
  <c r="B108" i="4"/>
  <c r="B107" i="4"/>
  <c r="B106" i="4"/>
  <c r="B105" i="4"/>
  <c r="B104" i="4"/>
  <c r="B103" i="4"/>
  <c r="B102" i="4"/>
  <c r="B101" i="4"/>
  <c r="B100" i="4"/>
  <c r="B99" i="4"/>
  <c r="B98" i="4"/>
  <c r="B97" i="4"/>
  <c r="B96" i="4"/>
  <c r="B95" i="4"/>
  <c r="B94" i="4"/>
  <c r="B93" i="4"/>
  <c r="B92" i="4"/>
  <c r="B91" i="4"/>
  <c r="B90" i="4"/>
  <c r="B89" i="4"/>
  <c r="B88" i="4"/>
  <c r="AL74" i="4"/>
  <c r="AL73" i="4"/>
  <c r="AL72" i="4"/>
  <c r="AL71" i="4"/>
  <c r="AL70" i="4"/>
  <c r="AL69" i="4"/>
  <c r="AL68" i="4"/>
  <c r="AL67" i="4"/>
  <c r="AL66" i="4"/>
  <c r="AL65" i="4"/>
  <c r="AL64" i="4"/>
  <c r="AL63" i="4"/>
  <c r="AL62" i="4"/>
  <c r="AL61" i="4"/>
  <c r="AL60" i="4"/>
  <c r="AL59" i="4"/>
  <c r="AL58" i="4"/>
  <c r="AL57" i="4"/>
  <c r="AL56" i="4"/>
  <c r="AL55" i="4"/>
  <c r="AL54" i="4"/>
  <c r="AL53" i="4"/>
  <c r="AL52" i="4"/>
  <c r="AL51" i="4"/>
  <c r="AL50" i="4"/>
  <c r="AL49" i="4"/>
  <c r="AL48" i="4"/>
  <c r="AL47" i="4"/>
  <c r="AL46" i="4"/>
  <c r="AL45" i="4"/>
  <c r="AL44" i="4"/>
  <c r="AL43" i="4"/>
  <c r="AL42" i="4"/>
  <c r="AL41" i="4"/>
  <c r="AL40" i="4"/>
  <c r="AL39" i="4"/>
  <c r="AL38" i="4"/>
  <c r="AL37" i="4"/>
  <c r="AL36" i="4"/>
  <c r="AL35" i="4"/>
  <c r="AL34" i="4"/>
  <c r="AL33" i="4"/>
  <c r="AL32" i="4"/>
  <c r="AL31" i="4"/>
  <c r="AL30" i="4"/>
  <c r="AL29" i="4"/>
  <c r="AL28" i="4"/>
  <c r="AL27" i="4"/>
  <c r="AL26" i="4"/>
  <c r="AL25" i="4"/>
  <c r="AL24" i="4"/>
  <c r="AL23" i="4"/>
  <c r="AL22" i="4"/>
  <c r="AL21"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X74" i="4"/>
  <c r="X73" i="4"/>
  <c r="X72" i="4"/>
  <c r="X71" i="4"/>
  <c r="X70" i="4"/>
  <c r="X69" i="4"/>
  <c r="X68" i="4"/>
  <c r="X67" i="4"/>
  <c r="X66" i="4"/>
  <c r="X65" i="4"/>
  <c r="X64" i="4"/>
  <c r="X63" i="4"/>
  <c r="X62" i="4"/>
  <c r="X61" i="4"/>
  <c r="X60" i="4"/>
  <c r="X59" i="4"/>
  <c r="X58" i="4"/>
  <c r="X57" i="4"/>
  <c r="X56" i="4"/>
  <c r="X55" i="4"/>
  <c r="X54" i="4"/>
  <c r="X53" i="4"/>
  <c r="X52" i="4"/>
  <c r="X51" i="4"/>
  <c r="X50" i="4"/>
  <c r="X49" i="4"/>
  <c r="X48" i="4"/>
  <c r="X47" i="4"/>
  <c r="X46" i="4"/>
  <c r="X45" i="4"/>
  <c r="X44" i="4"/>
  <c r="X43" i="4"/>
  <c r="X42" i="4"/>
  <c r="X41" i="4"/>
  <c r="X40" i="4"/>
  <c r="X39" i="4"/>
  <c r="X38" i="4"/>
  <c r="X37" i="4"/>
  <c r="X36" i="4"/>
  <c r="X35" i="4"/>
  <c r="X34" i="4"/>
  <c r="X33" i="4"/>
  <c r="X32" i="4"/>
  <c r="X31" i="4"/>
  <c r="X30" i="4"/>
  <c r="X29" i="4"/>
  <c r="X28" i="4"/>
  <c r="X27" i="4"/>
  <c r="X26" i="4"/>
  <c r="X25" i="4"/>
  <c r="X24" i="4"/>
  <c r="X23" i="4"/>
  <c r="X22" i="4"/>
  <c r="X21" i="4"/>
  <c r="P74" i="4"/>
  <c r="P73" i="4"/>
  <c r="P72" i="4"/>
  <c r="P71" i="4"/>
  <c r="P70" i="4"/>
  <c r="P69" i="4"/>
  <c r="P68" i="4"/>
  <c r="P67" i="4"/>
  <c r="P66" i="4"/>
  <c r="P65" i="4"/>
  <c r="P64" i="4"/>
  <c r="P63" i="4"/>
  <c r="P62" i="4"/>
  <c r="P61" i="4"/>
  <c r="P60" i="4"/>
  <c r="P59" i="4"/>
  <c r="P58" i="4"/>
  <c r="P57" i="4"/>
  <c r="P56" i="4"/>
  <c r="P55" i="4"/>
  <c r="P54" i="4"/>
  <c r="P53" i="4"/>
  <c r="P52" i="4"/>
  <c r="P51" i="4"/>
  <c r="P50" i="4"/>
  <c r="P49" i="4"/>
  <c r="P48" i="4"/>
  <c r="P47" i="4"/>
  <c r="P46" i="4"/>
  <c r="P45" i="4"/>
  <c r="P44" i="4"/>
  <c r="P43" i="4"/>
  <c r="P42" i="4"/>
  <c r="P41" i="4"/>
  <c r="P40" i="4"/>
  <c r="P39" i="4"/>
  <c r="P38" i="4"/>
  <c r="P37" i="4"/>
  <c r="P36" i="4"/>
  <c r="P35" i="4"/>
  <c r="P34" i="4"/>
  <c r="P33" i="4"/>
  <c r="P32" i="4"/>
  <c r="P31" i="4"/>
  <c r="P30" i="4"/>
  <c r="P29" i="4"/>
  <c r="P28" i="4"/>
  <c r="P27" i="4"/>
  <c r="P26" i="4"/>
  <c r="P25" i="4"/>
  <c r="P24" i="4"/>
  <c r="P23" i="4"/>
  <c r="P22" i="4"/>
  <c r="P21" i="4"/>
  <c r="I74" i="4"/>
  <c r="I73" i="4"/>
  <c r="I72" i="4"/>
  <c r="I71" i="4"/>
  <c r="I70" i="4"/>
  <c r="I69" i="4"/>
  <c r="I68" i="4"/>
  <c r="I67" i="4"/>
  <c r="I66" i="4"/>
  <c r="I65"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B75" i="4"/>
  <c r="B74" i="4"/>
  <c r="B73" i="4"/>
  <c r="B72" i="4"/>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AL199" i="3"/>
  <c r="AL198" i="3"/>
  <c r="AL197" i="3"/>
  <c r="AL196" i="3"/>
  <c r="AL195" i="3"/>
  <c r="AL194" i="3"/>
  <c r="AL193" i="3"/>
  <c r="AL192" i="3"/>
  <c r="AL191" i="3"/>
  <c r="AL190" i="3"/>
  <c r="AL189" i="3"/>
  <c r="AL188" i="3"/>
  <c r="AL187" i="3"/>
  <c r="AL186" i="3"/>
  <c r="AL185" i="3"/>
  <c r="AL184" i="3"/>
  <c r="AL183" i="3"/>
  <c r="AL182" i="3"/>
  <c r="AL181" i="3"/>
  <c r="AL180" i="3"/>
  <c r="AL179" i="3"/>
  <c r="AL178" i="3"/>
  <c r="AL177" i="3"/>
  <c r="AL176" i="3"/>
  <c r="AL175" i="3"/>
  <c r="AL174" i="3"/>
  <c r="AL173" i="3"/>
  <c r="AL172" i="3"/>
  <c r="AL171" i="3"/>
  <c r="AL170" i="3"/>
  <c r="AL169" i="3"/>
  <c r="AL168" i="3"/>
  <c r="AL167" i="3"/>
  <c r="AL166" i="3"/>
  <c r="AL165" i="3"/>
  <c r="AL164" i="3"/>
  <c r="AL163" i="3"/>
  <c r="AL162" i="3"/>
  <c r="AL161" i="3"/>
  <c r="AL160" i="3"/>
  <c r="AL159" i="3"/>
  <c r="AL158" i="3"/>
  <c r="AL157" i="3"/>
  <c r="AL156" i="3"/>
  <c r="AL155" i="3"/>
  <c r="AL154" i="3"/>
  <c r="AL153" i="3"/>
  <c r="AL152" i="3"/>
  <c r="AL151" i="3"/>
  <c r="AL150" i="3"/>
  <c r="AL149" i="3"/>
  <c r="AL148" i="3"/>
  <c r="AL147" i="3"/>
  <c r="AL146" i="3"/>
  <c r="AL145" i="3"/>
  <c r="AE199" i="3"/>
  <c r="AE198" i="3"/>
  <c r="AE197" i="3"/>
  <c r="AE196" i="3"/>
  <c r="AE195" i="3"/>
  <c r="AE194" i="3"/>
  <c r="AE193" i="3"/>
  <c r="AE192" i="3"/>
  <c r="AE191" i="3"/>
  <c r="AE190" i="3"/>
  <c r="AE189" i="3"/>
  <c r="AE188" i="3"/>
  <c r="AE187" i="3"/>
  <c r="AE186" i="3"/>
  <c r="AE185" i="3"/>
  <c r="AE184" i="3"/>
  <c r="AE183" i="3"/>
  <c r="AE182" i="3"/>
  <c r="AE181" i="3"/>
  <c r="AE180" i="3"/>
  <c r="AE179" i="3"/>
  <c r="AE178" i="3"/>
  <c r="AE177" i="3"/>
  <c r="AE176" i="3"/>
  <c r="AE175" i="3"/>
  <c r="AE174" i="3"/>
  <c r="AE173" i="3"/>
  <c r="AE172" i="3"/>
  <c r="AE171" i="3"/>
  <c r="AE170" i="3"/>
  <c r="AE169" i="3"/>
  <c r="AE168" i="3"/>
  <c r="AE167" i="3"/>
  <c r="AE166" i="3"/>
  <c r="AE165" i="3"/>
  <c r="AE164" i="3"/>
  <c r="AE163" i="3"/>
  <c r="AE162" i="3"/>
  <c r="AE161" i="3"/>
  <c r="AE160" i="3"/>
  <c r="AE159" i="3"/>
  <c r="AE158" i="3"/>
  <c r="AE157" i="3"/>
  <c r="AE156" i="3"/>
  <c r="AE155" i="3"/>
  <c r="AE154" i="3"/>
  <c r="AE153" i="3"/>
  <c r="AE152" i="3"/>
  <c r="AE151" i="3"/>
  <c r="AE150" i="3"/>
  <c r="AE149" i="3"/>
  <c r="AE148" i="3"/>
  <c r="AE147" i="3"/>
  <c r="AE146" i="3"/>
  <c r="AE145" i="3"/>
  <c r="X199" i="3"/>
  <c r="X198" i="3"/>
  <c r="X197" i="3"/>
  <c r="X196" i="3"/>
  <c r="X195" i="3"/>
  <c r="X194" i="3"/>
  <c r="X193" i="3"/>
  <c r="X192" i="3"/>
  <c r="X191" i="3"/>
  <c r="X190" i="3"/>
  <c r="X189" i="3"/>
  <c r="X188" i="3"/>
  <c r="X187" i="3"/>
  <c r="X186" i="3"/>
  <c r="X185" i="3"/>
  <c r="X184" i="3"/>
  <c r="X183" i="3"/>
  <c r="X182" i="3"/>
  <c r="X181" i="3"/>
  <c r="X180" i="3"/>
  <c r="X179" i="3"/>
  <c r="X178" i="3"/>
  <c r="X177" i="3"/>
  <c r="X176" i="3"/>
  <c r="X175" i="3"/>
  <c r="X174" i="3"/>
  <c r="X173" i="3"/>
  <c r="X172" i="3"/>
  <c r="X171" i="3"/>
  <c r="X170" i="3"/>
  <c r="X169" i="3"/>
  <c r="X168" i="3"/>
  <c r="X167" i="3"/>
  <c r="X166" i="3"/>
  <c r="X165" i="3"/>
  <c r="X164" i="3"/>
  <c r="X163" i="3"/>
  <c r="X162" i="3"/>
  <c r="X161" i="3"/>
  <c r="X160" i="3"/>
  <c r="X159" i="3"/>
  <c r="X158" i="3"/>
  <c r="X157" i="3"/>
  <c r="X156" i="3"/>
  <c r="X155" i="3"/>
  <c r="X154" i="3"/>
  <c r="X153" i="3"/>
  <c r="X152" i="3"/>
  <c r="X151" i="3"/>
  <c r="X150" i="3"/>
  <c r="X149" i="3"/>
  <c r="X148" i="3"/>
  <c r="X147" i="3"/>
  <c r="X146" i="3"/>
  <c r="X145" i="3"/>
  <c r="P199" i="3"/>
  <c r="P198" i="3"/>
  <c r="P197" i="3"/>
  <c r="P196" i="3"/>
  <c r="P195" i="3"/>
  <c r="P194" i="3"/>
  <c r="P193" i="3"/>
  <c r="P192" i="3"/>
  <c r="P191" i="3"/>
  <c r="P190" i="3"/>
  <c r="P189" i="3"/>
  <c r="P188" i="3"/>
  <c r="P187" i="3"/>
  <c r="P186" i="3"/>
  <c r="P185" i="3"/>
  <c r="P184" i="3"/>
  <c r="P183" i="3"/>
  <c r="P182" i="3"/>
  <c r="P181" i="3"/>
  <c r="P180" i="3"/>
  <c r="P179" i="3"/>
  <c r="P178" i="3"/>
  <c r="P177" i="3"/>
  <c r="P176" i="3"/>
  <c r="P175" i="3"/>
  <c r="P174" i="3"/>
  <c r="P173" i="3"/>
  <c r="P172" i="3"/>
  <c r="P171" i="3"/>
  <c r="P170" i="3"/>
  <c r="P169" i="3"/>
  <c r="P168" i="3"/>
  <c r="P167" i="3"/>
  <c r="P166" i="3"/>
  <c r="P165" i="3"/>
  <c r="P164" i="3"/>
  <c r="P163" i="3"/>
  <c r="P162" i="3"/>
  <c r="P161" i="3"/>
  <c r="P160" i="3"/>
  <c r="P159" i="3"/>
  <c r="P158" i="3"/>
  <c r="P157" i="3"/>
  <c r="P156" i="3"/>
  <c r="P155" i="3"/>
  <c r="P154" i="3"/>
  <c r="P153" i="3"/>
  <c r="P152" i="3"/>
  <c r="P151" i="3"/>
  <c r="P150" i="3"/>
  <c r="P149" i="3"/>
  <c r="P148" i="3"/>
  <c r="P147" i="3"/>
  <c r="P146" i="3"/>
  <c r="P145" i="3"/>
  <c r="I199" i="3"/>
  <c r="I198" i="3"/>
  <c r="I197" i="3"/>
  <c r="I196" i="3"/>
  <c r="I195" i="3"/>
  <c r="I194" i="3"/>
  <c r="I193" i="3"/>
  <c r="I192" i="3"/>
  <c r="I191" i="3"/>
  <c r="I190" i="3"/>
  <c r="I189" i="3"/>
  <c r="I188" i="3"/>
  <c r="I187" i="3"/>
  <c r="I186" i="3"/>
  <c r="I185" i="3"/>
  <c r="I184" i="3"/>
  <c r="I183" i="3"/>
  <c r="I182" i="3"/>
  <c r="I181" i="3"/>
  <c r="I180" i="3"/>
  <c r="I179" i="3"/>
  <c r="I178" i="3"/>
  <c r="I177" i="3"/>
  <c r="I176" i="3"/>
  <c r="I175" i="3"/>
  <c r="I174" i="3"/>
  <c r="I173" i="3"/>
  <c r="I172" i="3"/>
  <c r="I171" i="3"/>
  <c r="I170" i="3"/>
  <c r="I169" i="3"/>
  <c r="I168" i="3"/>
  <c r="I167" i="3"/>
  <c r="I166" i="3"/>
  <c r="I165" i="3"/>
  <c r="I164" i="3"/>
  <c r="I163" i="3"/>
  <c r="I162" i="3"/>
  <c r="I161" i="3"/>
  <c r="I160" i="3"/>
  <c r="I159" i="3"/>
  <c r="I158" i="3"/>
  <c r="I157" i="3"/>
  <c r="I156" i="3"/>
  <c r="I155" i="3"/>
  <c r="I154" i="3"/>
  <c r="I153" i="3"/>
  <c r="I152" i="3"/>
  <c r="I151" i="3"/>
  <c r="I150" i="3"/>
  <c r="I149" i="3"/>
  <c r="I148" i="3"/>
  <c r="I147" i="3"/>
  <c r="I146" i="3"/>
  <c r="I145" i="3"/>
  <c r="B199" i="3"/>
  <c r="B198" i="3"/>
  <c r="B197" i="3"/>
  <c r="B196" i="3"/>
  <c r="B195" i="3"/>
  <c r="B194" i="3"/>
  <c r="B193" i="3"/>
  <c r="B192" i="3"/>
  <c r="B191" i="3"/>
  <c r="B190" i="3"/>
  <c r="B189" i="3"/>
  <c r="B188" i="3"/>
  <c r="B187" i="3"/>
  <c r="B186" i="3"/>
  <c r="B185" i="3"/>
  <c r="B184" i="3"/>
  <c r="B183" i="3"/>
  <c r="B182" i="3"/>
  <c r="B181" i="3"/>
  <c r="B180" i="3"/>
  <c r="B179" i="3"/>
  <c r="B178" i="3"/>
  <c r="B177" i="3"/>
  <c r="B176" i="3"/>
  <c r="B175" i="3"/>
  <c r="B174" i="3"/>
  <c r="B173" i="3"/>
  <c r="B172" i="3"/>
  <c r="B171" i="3"/>
  <c r="B170" i="3"/>
  <c r="B169" i="3"/>
  <c r="B168" i="3"/>
  <c r="B167" i="3"/>
  <c r="B166" i="3"/>
  <c r="B165" i="3"/>
  <c r="B164" i="3"/>
  <c r="B163" i="3"/>
  <c r="B162" i="3"/>
  <c r="B161" i="3"/>
  <c r="B160" i="3"/>
  <c r="B159" i="3"/>
  <c r="B158" i="3"/>
  <c r="B157" i="3"/>
  <c r="B156" i="3"/>
  <c r="B155" i="3"/>
  <c r="B154" i="3"/>
  <c r="B153" i="3"/>
  <c r="B152" i="3"/>
  <c r="B151" i="3"/>
  <c r="B150" i="3"/>
  <c r="B149" i="3"/>
  <c r="B148" i="3"/>
  <c r="B147" i="3"/>
  <c r="B146" i="3"/>
  <c r="B145" i="3"/>
  <c r="AL137" i="3"/>
  <c r="AL136" i="3"/>
  <c r="AL135" i="3"/>
  <c r="AL134" i="3"/>
  <c r="AL133" i="3"/>
  <c r="AL132" i="3"/>
  <c r="AL131" i="3"/>
  <c r="AL130" i="3"/>
  <c r="AL129" i="3"/>
  <c r="AL128" i="3"/>
  <c r="AL127" i="3"/>
  <c r="AL126" i="3"/>
  <c r="AL125" i="3"/>
  <c r="AL124" i="3"/>
  <c r="AL123" i="3"/>
  <c r="AL122" i="3"/>
  <c r="AL121" i="3"/>
  <c r="AL120" i="3"/>
  <c r="AL119" i="3"/>
  <c r="AL118" i="3"/>
  <c r="AL117" i="3"/>
  <c r="AL116" i="3"/>
  <c r="AL115" i="3"/>
  <c r="AL114" i="3"/>
  <c r="AL113" i="3"/>
  <c r="AL112" i="3"/>
  <c r="AL111" i="3"/>
  <c r="AL110" i="3"/>
  <c r="AL109" i="3"/>
  <c r="AL108" i="3"/>
  <c r="AL107" i="3"/>
  <c r="AL106" i="3"/>
  <c r="AL105" i="3"/>
  <c r="AL104" i="3"/>
  <c r="AL103" i="3"/>
  <c r="AL102" i="3"/>
  <c r="AL101" i="3"/>
  <c r="AL100" i="3"/>
  <c r="AL99" i="3"/>
  <c r="AL98" i="3"/>
  <c r="AL97" i="3"/>
  <c r="AL96" i="3"/>
  <c r="AL95" i="3"/>
  <c r="AL94" i="3"/>
  <c r="AL93" i="3"/>
  <c r="AL92" i="3"/>
  <c r="AL91" i="3"/>
  <c r="AL90" i="3"/>
  <c r="AL89" i="3"/>
  <c r="AL88" i="3"/>
  <c r="AL87" i="3"/>
  <c r="AL86" i="3"/>
  <c r="AL85" i="3"/>
  <c r="AL84" i="3"/>
  <c r="AL83" i="3"/>
  <c r="AE137" i="3"/>
  <c r="AE136" i="3"/>
  <c r="AE135" i="3"/>
  <c r="AE134" i="3"/>
  <c r="AE133" i="3"/>
  <c r="AE132" i="3"/>
  <c r="AE131" i="3"/>
  <c r="AE130" i="3"/>
  <c r="AE129" i="3"/>
  <c r="AE128" i="3"/>
  <c r="AE127" i="3"/>
  <c r="AE126" i="3"/>
  <c r="AE125" i="3"/>
  <c r="AE124" i="3"/>
  <c r="AE123" i="3"/>
  <c r="AE122" i="3"/>
  <c r="AE121" i="3"/>
  <c r="AE120" i="3"/>
  <c r="AE119" i="3"/>
  <c r="AE118" i="3"/>
  <c r="AE117" i="3"/>
  <c r="AE116" i="3"/>
  <c r="AE115" i="3"/>
  <c r="AE114" i="3"/>
  <c r="AE113" i="3"/>
  <c r="AE112" i="3"/>
  <c r="AE111" i="3"/>
  <c r="AE110" i="3"/>
  <c r="AE109" i="3"/>
  <c r="AE108" i="3"/>
  <c r="AE107" i="3"/>
  <c r="AE106" i="3"/>
  <c r="AE105" i="3"/>
  <c r="AE104" i="3"/>
  <c r="AE103" i="3"/>
  <c r="AE102" i="3"/>
  <c r="AE101" i="3"/>
  <c r="AE100" i="3"/>
  <c r="AE99" i="3"/>
  <c r="AE98" i="3"/>
  <c r="AE97" i="3"/>
  <c r="AE96" i="3"/>
  <c r="AE95" i="3"/>
  <c r="AE94" i="3"/>
  <c r="AE93" i="3"/>
  <c r="AE92" i="3"/>
  <c r="AE91" i="3"/>
  <c r="AE90" i="3"/>
  <c r="AE89" i="3"/>
  <c r="AE88" i="3"/>
  <c r="AE87" i="3"/>
  <c r="AE86" i="3"/>
  <c r="AE85" i="3"/>
  <c r="AE84" i="3"/>
  <c r="AE83" i="3"/>
  <c r="X137" i="3"/>
  <c r="X136" i="3"/>
  <c r="X135" i="3"/>
  <c r="X134" i="3"/>
  <c r="X133" i="3"/>
  <c r="X132" i="3"/>
  <c r="X131" i="3"/>
  <c r="X130" i="3"/>
  <c r="X129" i="3"/>
  <c r="X128" i="3"/>
  <c r="X127" i="3"/>
  <c r="X126" i="3"/>
  <c r="X125" i="3"/>
  <c r="X124" i="3"/>
  <c r="X123" i="3"/>
  <c r="X122" i="3"/>
  <c r="X121" i="3"/>
  <c r="X120" i="3"/>
  <c r="X119" i="3"/>
  <c r="X118" i="3"/>
  <c r="X117" i="3"/>
  <c r="X116" i="3"/>
  <c r="X115" i="3"/>
  <c r="X114" i="3"/>
  <c r="X113" i="3"/>
  <c r="X112" i="3"/>
  <c r="X111" i="3"/>
  <c r="X110" i="3"/>
  <c r="X109" i="3"/>
  <c r="X108" i="3"/>
  <c r="X107" i="3"/>
  <c r="X106" i="3"/>
  <c r="X105" i="3"/>
  <c r="X104" i="3"/>
  <c r="X103" i="3"/>
  <c r="X102" i="3"/>
  <c r="X101" i="3"/>
  <c r="X100" i="3"/>
  <c r="X99" i="3"/>
  <c r="X98" i="3"/>
  <c r="X97" i="3"/>
  <c r="X96" i="3"/>
  <c r="X95" i="3"/>
  <c r="X94" i="3"/>
  <c r="X93" i="3"/>
  <c r="X92" i="3"/>
  <c r="X91" i="3"/>
  <c r="X90" i="3"/>
  <c r="X89" i="3"/>
  <c r="X88" i="3"/>
  <c r="X87" i="3"/>
  <c r="X86" i="3"/>
  <c r="X85" i="3"/>
  <c r="X84" i="3"/>
  <c r="X83" i="3"/>
  <c r="P137" i="3"/>
  <c r="P136" i="3"/>
  <c r="P135" i="3"/>
  <c r="P134" i="3"/>
  <c r="P133" i="3"/>
  <c r="P132" i="3"/>
  <c r="P131" i="3"/>
  <c r="P130" i="3"/>
  <c r="P129" i="3"/>
  <c r="P128" i="3"/>
  <c r="P127" i="3"/>
  <c r="P126" i="3"/>
  <c r="P125" i="3"/>
  <c r="P124" i="3"/>
  <c r="P123" i="3"/>
  <c r="P122" i="3"/>
  <c r="P121" i="3"/>
  <c r="P120" i="3"/>
  <c r="P119" i="3"/>
  <c r="P118" i="3"/>
  <c r="P117" i="3"/>
  <c r="P116" i="3"/>
  <c r="P115" i="3"/>
  <c r="P114" i="3"/>
  <c r="P113" i="3"/>
  <c r="P112" i="3"/>
  <c r="P111" i="3"/>
  <c r="P110" i="3"/>
  <c r="P109" i="3"/>
  <c r="P108" i="3"/>
  <c r="P107" i="3"/>
  <c r="P106" i="3"/>
  <c r="P105" i="3"/>
  <c r="P104" i="3"/>
  <c r="P103" i="3"/>
  <c r="P102" i="3"/>
  <c r="P101" i="3"/>
  <c r="P100" i="3"/>
  <c r="P99" i="3"/>
  <c r="P98" i="3"/>
  <c r="P97" i="3"/>
  <c r="P96" i="3"/>
  <c r="P95" i="3"/>
  <c r="P94" i="3"/>
  <c r="P93" i="3"/>
  <c r="P92" i="3"/>
  <c r="P91" i="3"/>
  <c r="P90" i="3"/>
  <c r="P89" i="3"/>
  <c r="P88" i="3"/>
  <c r="P87" i="3"/>
  <c r="P86" i="3"/>
  <c r="P85" i="3"/>
  <c r="P84" i="3"/>
  <c r="P83" i="3"/>
  <c r="I137" i="3"/>
  <c r="I136" i="3"/>
  <c r="I135" i="3"/>
  <c r="I134" i="3"/>
  <c r="I133" i="3"/>
  <c r="I132" i="3"/>
  <c r="I131" i="3"/>
  <c r="I130" i="3"/>
  <c r="I129" i="3"/>
  <c r="I128" i="3"/>
  <c r="I127" i="3"/>
  <c r="I126" i="3"/>
  <c r="I125" i="3"/>
  <c r="I124" i="3"/>
  <c r="I123" i="3"/>
  <c r="I122" i="3"/>
  <c r="I121" i="3"/>
  <c r="I120" i="3"/>
  <c r="I119" i="3"/>
  <c r="I118" i="3"/>
  <c r="I117" i="3"/>
  <c r="I116" i="3"/>
  <c r="I115" i="3"/>
  <c r="I114" i="3"/>
  <c r="I113" i="3"/>
  <c r="I112" i="3"/>
  <c r="I111" i="3"/>
  <c r="I110" i="3"/>
  <c r="I109" i="3"/>
  <c r="I108" i="3"/>
  <c r="I107" i="3"/>
  <c r="I106" i="3"/>
  <c r="I105" i="3"/>
  <c r="I104" i="3"/>
  <c r="I103" i="3"/>
  <c r="I102" i="3"/>
  <c r="I101" i="3"/>
  <c r="I100" i="3"/>
  <c r="I99" i="3"/>
  <c r="I98" i="3"/>
  <c r="I97" i="3"/>
  <c r="I96" i="3"/>
  <c r="I95" i="3"/>
  <c r="I94" i="3"/>
  <c r="I93" i="3"/>
  <c r="I92" i="3"/>
  <c r="I91" i="3"/>
  <c r="I90" i="3"/>
  <c r="I89" i="3"/>
  <c r="I88" i="3"/>
  <c r="I87" i="3"/>
  <c r="I86" i="3"/>
  <c r="I85" i="3"/>
  <c r="I84" i="3"/>
  <c r="I83" i="3"/>
  <c r="B137" i="3"/>
  <c r="B136" i="3"/>
  <c r="B135" i="3"/>
  <c r="B134" i="3"/>
  <c r="B133" i="3"/>
  <c r="B132" i="3"/>
  <c r="B131" i="3"/>
  <c r="B130" i="3"/>
  <c r="B129" i="3"/>
  <c r="B128" i="3"/>
  <c r="B127" i="3"/>
  <c r="B126" i="3"/>
  <c r="B125" i="3"/>
  <c r="B124" i="3"/>
  <c r="B123" i="3"/>
  <c r="B122" i="3"/>
  <c r="B121" i="3"/>
  <c r="B120" i="3"/>
  <c r="B119" i="3"/>
  <c r="B118" i="3"/>
  <c r="B117" i="3"/>
  <c r="B116" i="3"/>
  <c r="B115" i="3"/>
  <c r="B114" i="3"/>
  <c r="B113" i="3"/>
  <c r="B112" i="3"/>
  <c r="B111" i="3"/>
  <c r="B110" i="3"/>
  <c r="B109" i="3"/>
  <c r="B108" i="3"/>
  <c r="B107" i="3"/>
  <c r="B106" i="3"/>
  <c r="B105" i="3"/>
  <c r="B104" i="3"/>
  <c r="B103" i="3"/>
  <c r="B102" i="3"/>
  <c r="B101" i="3"/>
  <c r="B100" i="3"/>
  <c r="B99" i="3"/>
  <c r="B98" i="3"/>
  <c r="B97" i="3"/>
  <c r="B96" i="3"/>
  <c r="B95" i="3"/>
  <c r="B94" i="3"/>
  <c r="B93" i="3"/>
  <c r="B92" i="3"/>
  <c r="B91" i="3"/>
  <c r="B90" i="3"/>
  <c r="B89" i="3"/>
  <c r="B88" i="3"/>
  <c r="B87" i="3"/>
  <c r="B86" i="3"/>
  <c r="B85" i="3"/>
  <c r="B84" i="3"/>
  <c r="B83" i="3"/>
  <c r="B70" i="3"/>
  <c r="B71" i="3"/>
  <c r="B72" i="3"/>
  <c r="B73" i="3"/>
  <c r="B74" i="3"/>
  <c r="B75" i="3"/>
  <c r="AL43" i="3"/>
  <c r="AL44" i="3"/>
  <c r="AL45" i="3"/>
  <c r="AL46" i="3"/>
  <c r="AL47" i="3"/>
  <c r="AL48" i="3"/>
  <c r="AL49" i="3"/>
  <c r="AL50" i="3"/>
  <c r="AL51" i="3"/>
  <c r="AL52" i="3"/>
  <c r="AL53" i="3"/>
  <c r="AL54" i="3"/>
  <c r="AL55" i="3"/>
  <c r="AL56" i="3"/>
  <c r="AL57" i="3"/>
  <c r="AL58" i="3"/>
  <c r="AL59" i="3"/>
  <c r="AL60" i="3"/>
  <c r="AL61" i="3"/>
  <c r="AL62" i="3"/>
  <c r="AL63" i="3"/>
  <c r="AL64" i="3"/>
  <c r="AL65" i="3"/>
  <c r="AL66" i="3"/>
  <c r="AL67" i="3"/>
  <c r="AL68" i="3"/>
  <c r="AL69" i="3"/>
  <c r="AL70" i="3"/>
  <c r="AL71" i="3"/>
  <c r="AL72" i="3"/>
  <c r="AL73" i="3"/>
  <c r="AL74" i="3"/>
  <c r="AL75" i="3"/>
  <c r="AE43" i="3"/>
  <c r="AE44" i="3"/>
  <c r="AE45" i="3"/>
  <c r="AE46" i="3"/>
  <c r="AE47" i="3"/>
  <c r="AE48" i="3"/>
  <c r="AE49" i="3"/>
  <c r="AE50" i="3"/>
  <c r="AE51" i="3"/>
  <c r="AE52" i="3"/>
  <c r="AE53" i="3"/>
  <c r="AE54" i="3"/>
  <c r="AE55" i="3"/>
  <c r="AE56" i="3"/>
  <c r="AE57" i="3"/>
  <c r="AE58" i="3"/>
  <c r="AE59" i="3"/>
  <c r="AE60" i="3"/>
  <c r="AE61" i="3"/>
  <c r="AE62" i="3"/>
  <c r="AE63" i="3"/>
  <c r="AE64" i="3"/>
  <c r="AE65" i="3"/>
  <c r="AE66" i="3"/>
  <c r="AE67" i="3"/>
  <c r="AE68" i="3"/>
  <c r="AE69" i="3"/>
  <c r="AE70" i="3"/>
  <c r="AE71" i="3"/>
  <c r="AE72" i="3"/>
  <c r="AE73" i="3"/>
  <c r="AE74" i="3"/>
  <c r="AE75" i="3"/>
  <c r="X43" i="3"/>
  <c r="X44" i="3"/>
  <c r="X45" i="3"/>
  <c r="X46" i="3"/>
  <c r="X47" i="3"/>
  <c r="X48" i="3"/>
  <c r="X49" i="3"/>
  <c r="X50" i="3"/>
  <c r="X51" i="3"/>
  <c r="X52" i="3"/>
  <c r="X53" i="3"/>
  <c r="X54" i="3"/>
  <c r="X55" i="3"/>
  <c r="X56" i="3"/>
  <c r="X57" i="3"/>
  <c r="X58" i="3"/>
  <c r="X59" i="3"/>
  <c r="X60" i="3"/>
  <c r="X61" i="3"/>
  <c r="X62" i="3"/>
  <c r="X63" i="3"/>
  <c r="X64" i="3"/>
  <c r="X65" i="3"/>
  <c r="X66" i="3"/>
  <c r="X67" i="3"/>
  <c r="X68" i="3"/>
  <c r="X69" i="3"/>
  <c r="X70" i="3"/>
  <c r="X71" i="3"/>
  <c r="X72" i="3"/>
  <c r="X73" i="3"/>
  <c r="X74" i="3"/>
  <c r="X75"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B43" i="3"/>
  <c r="B44" i="3"/>
  <c r="B45" i="3"/>
  <c r="B46" i="3"/>
  <c r="B47" i="3"/>
  <c r="B48" i="3"/>
  <c r="B49" i="3"/>
  <c r="B50" i="3"/>
  <c r="B51" i="3"/>
  <c r="B52" i="3"/>
  <c r="B53" i="3"/>
  <c r="B54" i="3"/>
  <c r="B55" i="3"/>
  <c r="B56" i="3"/>
  <c r="B57" i="3"/>
  <c r="B58" i="3"/>
  <c r="B59" i="3"/>
  <c r="B60" i="3"/>
  <c r="B61" i="3"/>
  <c r="B62" i="3"/>
  <c r="B63" i="3"/>
  <c r="B64" i="3"/>
  <c r="B65" i="3"/>
  <c r="B66" i="3"/>
  <c r="B67" i="3"/>
  <c r="B68" i="3"/>
  <c r="B69" i="3"/>
  <c r="M122" i="1"/>
  <c r="M121" i="1"/>
  <c r="M120" i="1"/>
  <c r="M119" i="1"/>
  <c r="M118" i="1"/>
  <c r="M117" i="1"/>
  <c r="M116" i="1"/>
  <c r="M115" i="1"/>
  <c r="M114" i="1"/>
  <c r="M113" i="1"/>
  <c r="M112" i="1"/>
  <c r="M104" i="1"/>
  <c r="M103" i="1"/>
  <c r="M102" i="1"/>
  <c r="M101" i="1"/>
  <c r="M100" i="1"/>
  <c r="M99" i="1"/>
  <c r="M98" i="1"/>
  <c r="M97" i="1"/>
  <c r="M96" i="1"/>
  <c r="M95" i="1"/>
  <c r="M94" i="1"/>
  <c r="M86" i="1"/>
  <c r="M85" i="1"/>
  <c r="M84" i="1"/>
  <c r="M83" i="1"/>
  <c r="M82" i="1"/>
  <c r="M81" i="1"/>
  <c r="M80" i="1"/>
  <c r="M79" i="1"/>
  <c r="M78" i="1"/>
  <c r="M77" i="1"/>
  <c r="M76" i="1"/>
  <c r="M68" i="1"/>
  <c r="M67" i="1"/>
  <c r="M66" i="1"/>
  <c r="M65" i="1"/>
  <c r="M64" i="1"/>
  <c r="M63" i="1"/>
  <c r="M62" i="1"/>
  <c r="M61" i="1"/>
  <c r="M60" i="1"/>
  <c r="M59" i="1"/>
  <c r="M58" i="1"/>
  <c r="M50" i="1"/>
  <c r="M49" i="1"/>
  <c r="M48" i="1"/>
  <c r="M47" i="1"/>
  <c r="M46" i="1"/>
  <c r="M45" i="1"/>
  <c r="M44" i="1"/>
  <c r="M43" i="1"/>
  <c r="M42" i="1"/>
  <c r="M41" i="1"/>
  <c r="M40" i="1"/>
  <c r="M32" i="1"/>
  <c r="M31" i="1"/>
  <c r="M30" i="1"/>
  <c r="M29" i="1"/>
  <c r="M28" i="1"/>
  <c r="M27" i="1"/>
  <c r="M26" i="1"/>
  <c r="M25" i="1"/>
  <c r="M24" i="1"/>
  <c r="M23" i="1"/>
  <c r="P23" i="1" s="1"/>
  <c r="M22" i="1"/>
  <c r="AL42" i="3"/>
  <c r="AE42" i="3"/>
  <c r="X42" i="3"/>
  <c r="P42" i="3"/>
  <c r="I42" i="3"/>
  <c r="B42" i="3"/>
  <c r="AL41" i="3"/>
  <c r="AE41" i="3"/>
  <c r="X41" i="3"/>
  <c r="P41" i="3"/>
  <c r="I41" i="3"/>
  <c r="B41" i="3"/>
  <c r="AL40" i="3"/>
  <c r="AE40" i="3"/>
  <c r="X40" i="3"/>
  <c r="P40" i="3"/>
  <c r="I40" i="3"/>
  <c r="B40" i="3"/>
  <c r="AL39" i="3"/>
  <c r="AE39" i="3"/>
  <c r="X39" i="3"/>
  <c r="P39" i="3"/>
  <c r="I39" i="3"/>
  <c r="B39" i="3"/>
  <c r="AL38" i="3"/>
  <c r="AE38" i="3"/>
  <c r="X38" i="3"/>
  <c r="P38" i="3"/>
  <c r="I38" i="3"/>
  <c r="B38" i="3"/>
  <c r="AL37" i="3"/>
  <c r="AE37" i="3"/>
  <c r="X37" i="3"/>
  <c r="P37" i="3"/>
  <c r="I37" i="3"/>
  <c r="B37" i="3"/>
  <c r="AL36" i="3"/>
  <c r="AE36" i="3"/>
  <c r="X36" i="3"/>
  <c r="P36" i="3"/>
  <c r="I36" i="3"/>
  <c r="B36" i="3"/>
  <c r="AL35" i="3"/>
  <c r="AE35" i="3"/>
  <c r="X35" i="3"/>
  <c r="P35" i="3"/>
  <c r="I35" i="3"/>
  <c r="B35" i="3"/>
  <c r="AL34" i="3"/>
  <c r="AE34" i="3"/>
  <c r="X34" i="3"/>
  <c r="P34" i="3"/>
  <c r="I34" i="3"/>
  <c r="B34" i="3"/>
  <c r="AL33" i="3"/>
  <c r="AE33" i="3"/>
  <c r="X33" i="3"/>
  <c r="P33" i="3"/>
  <c r="I33" i="3"/>
  <c r="B33" i="3"/>
  <c r="AL32" i="3"/>
  <c r="AE32" i="3"/>
  <c r="X32" i="3"/>
  <c r="P32" i="3"/>
  <c r="I32" i="3"/>
  <c r="B32" i="3"/>
  <c r="AL31" i="3"/>
  <c r="AE31" i="3"/>
  <c r="X31" i="3"/>
  <c r="P31" i="3"/>
  <c r="I31" i="3"/>
  <c r="B31" i="3"/>
  <c r="AL30" i="3"/>
  <c r="AE30" i="3"/>
  <c r="X30" i="3"/>
  <c r="P30" i="3"/>
  <c r="I30" i="3"/>
  <c r="B30" i="3"/>
  <c r="AL29" i="3"/>
  <c r="AE29" i="3"/>
  <c r="X29" i="3"/>
  <c r="P29" i="3"/>
  <c r="I29" i="3"/>
  <c r="B29" i="3"/>
  <c r="AL28" i="3"/>
  <c r="AE28" i="3"/>
  <c r="X28" i="3"/>
  <c r="P28" i="3"/>
  <c r="I28" i="3"/>
  <c r="B28" i="3"/>
  <c r="AL27" i="3"/>
  <c r="AE27" i="3"/>
  <c r="X27" i="3"/>
  <c r="P27" i="3"/>
  <c r="I27" i="3"/>
  <c r="B27" i="3"/>
  <c r="AL26" i="3"/>
  <c r="AE26" i="3"/>
  <c r="X26" i="3"/>
  <c r="P26" i="3"/>
  <c r="I26" i="3"/>
  <c r="B26" i="3"/>
  <c r="AL25" i="3"/>
  <c r="AE25" i="3"/>
  <c r="X25" i="3"/>
  <c r="P25" i="3"/>
  <c r="I25" i="3"/>
  <c r="B25" i="3"/>
  <c r="AL24" i="3"/>
  <c r="AE24" i="3"/>
  <c r="X24" i="3"/>
  <c r="P24" i="3"/>
  <c r="I24" i="3"/>
  <c r="B24" i="3"/>
  <c r="AL23" i="3"/>
  <c r="AE23" i="3"/>
  <c r="X23" i="3"/>
  <c r="P23" i="3"/>
  <c r="I23" i="3"/>
  <c r="B23" i="3"/>
  <c r="AL22" i="3"/>
  <c r="AE22" i="3"/>
  <c r="X22" i="3"/>
  <c r="P22" i="3"/>
  <c r="I22" i="3"/>
  <c r="B22" i="3"/>
  <c r="AL21" i="3"/>
  <c r="AE21" i="3"/>
  <c r="X21" i="3"/>
  <c r="P21" i="3"/>
  <c r="I21" i="3"/>
  <c r="I14" i="1"/>
  <c r="Q122" i="1" s="1"/>
  <c r="H14" i="1"/>
  <c r="P122" i="1"/>
  <c r="P121" i="1"/>
  <c r="P120" i="1"/>
  <c r="P119" i="1"/>
  <c r="P118" i="1"/>
  <c r="P117" i="1"/>
  <c r="P116" i="1"/>
  <c r="P115" i="1"/>
  <c r="P114" i="1"/>
  <c r="Q113" i="1"/>
  <c r="P113" i="1"/>
  <c r="P112" i="1"/>
  <c r="Q104" i="1"/>
  <c r="P104" i="1"/>
  <c r="P103" i="1"/>
  <c r="AG32" i="1" s="1"/>
  <c r="Q102" i="1"/>
  <c r="P102" i="1"/>
  <c r="P101" i="1"/>
  <c r="AG31" i="1" s="1"/>
  <c r="Q100" i="1"/>
  <c r="P100" i="1"/>
  <c r="P99" i="1"/>
  <c r="AG28" i="1" s="1"/>
  <c r="Q98" i="1"/>
  <c r="P98" i="1"/>
  <c r="P97" i="1"/>
  <c r="AG26" i="1" s="1"/>
  <c r="Q96" i="1"/>
  <c r="Q106" i="1" s="1"/>
  <c r="P96" i="1"/>
  <c r="P95" i="1"/>
  <c r="AG24" i="1" s="1"/>
  <c r="Q94" i="1"/>
  <c r="P94" i="1"/>
  <c r="P77" i="1"/>
  <c r="P78" i="1"/>
  <c r="P88" i="1" s="1"/>
  <c r="P79" i="1"/>
  <c r="P80" i="1"/>
  <c r="AH27" i="1" s="1"/>
  <c r="P81" i="1"/>
  <c r="P82" i="1"/>
  <c r="AH30" i="1" s="1"/>
  <c r="P83" i="1"/>
  <c r="P84" i="1"/>
  <c r="AH29" i="1" s="1"/>
  <c r="P85" i="1"/>
  <c r="P86" i="1"/>
  <c r="AH33" i="1" s="1"/>
  <c r="P76" i="1"/>
  <c r="AH23" i="1" s="1"/>
  <c r="G14" i="1"/>
  <c r="Q68" i="1" s="1"/>
  <c r="F14" i="1"/>
  <c r="P68" i="1"/>
  <c r="P67" i="1"/>
  <c r="P66" i="1"/>
  <c r="Q65" i="1"/>
  <c r="P65" i="1"/>
  <c r="P64" i="1"/>
  <c r="Q63" i="1"/>
  <c r="P63" i="1"/>
  <c r="P62" i="1"/>
  <c r="Q61" i="1"/>
  <c r="P61" i="1"/>
  <c r="P60" i="1"/>
  <c r="Q59" i="1"/>
  <c r="P59" i="1"/>
  <c r="P58" i="1"/>
  <c r="Q50" i="1"/>
  <c r="P50" i="1"/>
  <c r="Z33" i="1" s="1"/>
  <c r="P49" i="1"/>
  <c r="Q48" i="1"/>
  <c r="P48" i="1"/>
  <c r="Z29" i="1" s="1"/>
  <c r="P47" i="1"/>
  <c r="Q46" i="1"/>
  <c r="P46" i="1"/>
  <c r="Z30" i="1" s="1"/>
  <c r="P45" i="1"/>
  <c r="Q44" i="1"/>
  <c r="P44" i="1"/>
  <c r="P43" i="1"/>
  <c r="Q42" i="1"/>
  <c r="P42" i="1"/>
  <c r="P41" i="1"/>
  <c r="Q40" i="1"/>
  <c r="P40" i="1"/>
  <c r="P26" i="1"/>
  <c r="P27" i="1"/>
  <c r="Z28" i="1" s="1"/>
  <c r="P28" i="1"/>
  <c r="P29" i="1"/>
  <c r="Z31" i="1" s="1"/>
  <c r="P30" i="1"/>
  <c r="P31" i="1"/>
  <c r="Z32" i="1" s="1"/>
  <c r="P32" i="1"/>
  <c r="P22" i="1"/>
  <c r="Y23" i="1" s="1"/>
  <c r="P24" i="1"/>
  <c r="Y25" i="1" s="1"/>
  <c r="P25" i="1"/>
  <c r="H122" i="1"/>
  <c r="H120" i="1"/>
  <c r="H118" i="1"/>
  <c r="H116" i="1"/>
  <c r="H114" i="1"/>
  <c r="G104" i="1"/>
  <c r="H103" i="1"/>
  <c r="G103" i="1"/>
  <c r="G102" i="1"/>
  <c r="H101" i="1"/>
  <c r="G101" i="1"/>
  <c r="H99" i="1"/>
  <c r="G99" i="1"/>
  <c r="H97" i="1"/>
  <c r="G97" i="1"/>
  <c r="H95" i="1"/>
  <c r="H86" i="1"/>
  <c r="H84" i="1"/>
  <c r="H82" i="1"/>
  <c r="H80" i="1"/>
  <c r="H78" i="1"/>
  <c r="H76" i="1"/>
  <c r="G76" i="1"/>
  <c r="H67" i="1"/>
  <c r="H65" i="1"/>
  <c r="H63" i="1"/>
  <c r="H61" i="1"/>
  <c r="G60" i="1"/>
  <c r="H50" i="1"/>
  <c r="G50" i="1"/>
  <c r="G49" i="1"/>
  <c r="H48" i="1"/>
  <c r="G48" i="1"/>
  <c r="G47" i="1"/>
  <c r="H46" i="1"/>
  <c r="G46" i="1"/>
  <c r="H44" i="1"/>
  <c r="G44" i="1"/>
  <c r="H42" i="1"/>
  <c r="H40" i="1"/>
  <c r="G40" i="1"/>
  <c r="H26" i="1"/>
  <c r="H28" i="1"/>
  <c r="H30" i="1"/>
  <c r="H32" i="1"/>
  <c r="I15" i="1"/>
  <c r="H15" i="1"/>
  <c r="G15" i="1"/>
  <c r="F15" i="1"/>
  <c r="C14" i="1"/>
  <c r="D14" i="1"/>
  <c r="E14" i="1"/>
  <c r="C15" i="1"/>
  <c r="D15" i="1"/>
  <c r="E15" i="1"/>
  <c r="B15" i="1"/>
  <c r="AG33" i="1"/>
  <c r="Y33" i="1"/>
  <c r="AH32" i="1"/>
  <c r="AG29" i="1"/>
  <c r="Y29" i="1"/>
  <c r="AH31" i="1"/>
  <c r="AG30" i="1"/>
  <c r="Y30" i="1"/>
  <c r="AH28" i="1"/>
  <c r="AG27" i="1"/>
  <c r="Z27" i="1"/>
  <c r="Y27" i="1"/>
  <c r="AH26" i="1"/>
  <c r="Z26" i="1"/>
  <c r="Y26" i="1"/>
  <c r="AG25" i="1"/>
  <c r="AH24" i="1"/>
  <c r="AG23" i="1"/>
  <c r="D24" i="1"/>
  <c r="D42" i="1"/>
  <c r="D60" i="1"/>
  <c r="D86" i="1"/>
  <c r="G86" i="1" s="1"/>
  <c r="D104" i="1"/>
  <c r="D122" i="1"/>
  <c r="G122" i="1" s="1"/>
  <c r="D32" i="1"/>
  <c r="G32" i="1" s="1"/>
  <c r="D50" i="1"/>
  <c r="D68" i="1"/>
  <c r="G68" i="1" s="1"/>
  <c r="D85" i="1"/>
  <c r="G85" i="1" s="1"/>
  <c r="D103" i="1"/>
  <c r="D121" i="1"/>
  <c r="G121" i="1" s="1"/>
  <c r="D31" i="1"/>
  <c r="G31" i="1" s="1"/>
  <c r="D49" i="1"/>
  <c r="D67" i="1"/>
  <c r="G67" i="1" s="1"/>
  <c r="D84" i="1"/>
  <c r="D102" i="1"/>
  <c r="D120" i="1"/>
  <c r="D30" i="1"/>
  <c r="Q18" i="3" s="1"/>
  <c r="T49" i="3" s="1"/>
  <c r="D48" i="1"/>
  <c r="D66" i="1"/>
  <c r="G66" i="1" s="1"/>
  <c r="D83" i="1"/>
  <c r="G83" i="1" s="1"/>
  <c r="D101" i="1"/>
  <c r="D119" i="1"/>
  <c r="G119" i="1" s="1"/>
  <c r="D29" i="1"/>
  <c r="G29" i="1" s="1"/>
  <c r="D47" i="1"/>
  <c r="D65" i="1"/>
  <c r="G65" i="1" s="1"/>
  <c r="G71" i="1" s="1"/>
  <c r="D82" i="1"/>
  <c r="G82" i="1" s="1"/>
  <c r="D100" i="1"/>
  <c r="G100" i="1" s="1"/>
  <c r="D118" i="1"/>
  <c r="G118" i="1" s="1"/>
  <c r="D28" i="1"/>
  <c r="G28" i="1" s="1"/>
  <c r="D46" i="1"/>
  <c r="D64" i="1"/>
  <c r="G64" i="1" s="1"/>
  <c r="D81" i="1"/>
  <c r="G81" i="1" s="1"/>
  <c r="D99" i="1"/>
  <c r="D117" i="1"/>
  <c r="G117" i="1" s="1"/>
  <c r="D27" i="1"/>
  <c r="G27" i="1" s="1"/>
  <c r="D45" i="1"/>
  <c r="G45" i="1" s="1"/>
  <c r="D63" i="1"/>
  <c r="G63" i="1" s="1"/>
  <c r="D80" i="1"/>
  <c r="G80" i="1" s="1"/>
  <c r="D98" i="1"/>
  <c r="G98" i="1" s="1"/>
  <c r="D116" i="1"/>
  <c r="G116" i="1" s="1"/>
  <c r="D26" i="1"/>
  <c r="G26" i="1" s="1"/>
  <c r="D44" i="1"/>
  <c r="D62" i="1"/>
  <c r="G62" i="1" s="1"/>
  <c r="D79" i="1"/>
  <c r="G79" i="1" s="1"/>
  <c r="D97" i="1"/>
  <c r="D115" i="1"/>
  <c r="G115" i="1" s="1"/>
  <c r="D25" i="1"/>
  <c r="G25" i="1" s="1"/>
  <c r="D43" i="1"/>
  <c r="G43" i="1" s="1"/>
  <c r="D61" i="1"/>
  <c r="G61" i="1" s="1"/>
  <c r="D78" i="1"/>
  <c r="D96" i="1"/>
  <c r="G96" i="1" s="1"/>
  <c r="D114" i="1"/>
  <c r="D77" i="1"/>
  <c r="G77" i="1" s="1"/>
  <c r="D95" i="1"/>
  <c r="G95" i="1" s="1"/>
  <c r="D113" i="1"/>
  <c r="G113" i="1" s="1"/>
  <c r="D23" i="1"/>
  <c r="G23" i="1" s="1"/>
  <c r="D41" i="1"/>
  <c r="G41" i="1" s="1"/>
  <c r="D59" i="1"/>
  <c r="G59" i="1" s="1"/>
  <c r="G69" i="1" s="1"/>
  <c r="D76" i="1"/>
  <c r="D94" i="1"/>
  <c r="Y85" i="4" s="1"/>
  <c r="D112" i="1"/>
  <c r="D22" i="1"/>
  <c r="G22" i="1" s="1"/>
  <c r="D40" i="1"/>
  <c r="D58" i="1"/>
  <c r="P125" i="1"/>
  <c r="P124" i="1"/>
  <c r="P123" i="1"/>
  <c r="P107" i="1"/>
  <c r="P106" i="1"/>
  <c r="P105" i="1"/>
  <c r="P71" i="1"/>
  <c r="P70" i="1"/>
  <c r="P69" i="1"/>
  <c r="P53" i="1"/>
  <c r="Q52" i="1"/>
  <c r="P52" i="1"/>
  <c r="P51" i="1"/>
  <c r="M156" i="1"/>
  <c r="M155" i="1"/>
  <c r="M151" i="1"/>
  <c r="M150" i="1"/>
  <c r="M146" i="1"/>
  <c r="M145" i="1"/>
  <c r="M141" i="1"/>
  <c r="M140" i="1"/>
  <c r="M136" i="1"/>
  <c r="M135" i="1"/>
  <c r="M131" i="1"/>
  <c r="M130" i="1"/>
  <c r="D156" i="1"/>
  <c r="D155" i="1"/>
  <c r="D151" i="1"/>
  <c r="D150" i="1"/>
  <c r="D146" i="1"/>
  <c r="D145" i="1"/>
  <c r="D141" i="1"/>
  <c r="D140" i="1"/>
  <c r="D136" i="1"/>
  <c r="D135" i="1"/>
  <c r="D131" i="1"/>
  <c r="D130" i="1"/>
  <c r="T23" i="3" l="1"/>
  <c r="T31" i="3"/>
  <c r="T39" i="3"/>
  <c r="T53" i="3"/>
  <c r="T25" i="3"/>
  <c r="T33" i="3"/>
  <c r="T41" i="3"/>
  <c r="T45" i="3"/>
  <c r="T27" i="3"/>
  <c r="T35" i="3"/>
  <c r="T69" i="3"/>
  <c r="T29" i="3"/>
  <c r="T37" i="3"/>
  <c r="T61" i="3"/>
  <c r="AG11" i="1"/>
  <c r="AH11" i="1"/>
  <c r="AG14" i="1"/>
  <c r="AH14" i="1"/>
  <c r="AG17" i="1"/>
  <c r="AH17" i="1"/>
  <c r="AH8" i="1"/>
  <c r="AG8" i="1"/>
  <c r="Y11" i="1"/>
  <c r="Z11" i="1"/>
  <c r="Y14" i="1"/>
  <c r="Z14" i="1"/>
  <c r="Z17" i="1"/>
  <c r="Y17" i="1"/>
  <c r="Z8" i="1"/>
  <c r="Y8" i="1"/>
  <c r="AG10" i="1"/>
  <c r="AH10" i="1"/>
  <c r="AG12" i="1"/>
  <c r="AH12" i="1"/>
  <c r="AH15" i="1"/>
  <c r="AG15" i="1"/>
  <c r="AG16" i="1"/>
  <c r="AH16" i="1"/>
  <c r="AJ11" i="1"/>
  <c r="G105" i="1"/>
  <c r="G107" i="1"/>
  <c r="Z10" i="1"/>
  <c r="Y10" i="1"/>
  <c r="Z12" i="1"/>
  <c r="Y12" i="1"/>
  <c r="Y15" i="1"/>
  <c r="Z15" i="1"/>
  <c r="Z16" i="1"/>
  <c r="Y16" i="1"/>
  <c r="H53" i="1"/>
  <c r="AJ14" i="1"/>
  <c r="Z24" i="1"/>
  <c r="Y24" i="1"/>
  <c r="Y153" i="4"/>
  <c r="Y142" i="3"/>
  <c r="Y19" i="5"/>
  <c r="H52" i="1"/>
  <c r="H88" i="1"/>
  <c r="P34" i="1"/>
  <c r="P87" i="1"/>
  <c r="P89" i="1"/>
  <c r="C142" i="3"/>
  <c r="AI14" i="1"/>
  <c r="Z23" i="1"/>
  <c r="Y28" i="1"/>
  <c r="Y31" i="1"/>
  <c r="Y32" i="1"/>
  <c r="H24" i="1"/>
  <c r="G30" i="1"/>
  <c r="H23" i="1"/>
  <c r="G58" i="1"/>
  <c r="G70" i="1" s="1"/>
  <c r="G94" i="1"/>
  <c r="G106" i="1" s="1"/>
  <c r="Q23" i="1"/>
  <c r="Q32" i="1"/>
  <c r="Q30" i="1"/>
  <c r="Q28" i="1"/>
  <c r="Q26" i="1"/>
  <c r="Q85" i="1"/>
  <c r="Q83" i="1"/>
  <c r="Q81" i="1"/>
  <c r="Q79" i="1"/>
  <c r="Q77" i="1"/>
  <c r="S22" i="3"/>
  <c r="S24" i="3"/>
  <c r="S26" i="3"/>
  <c r="S28" i="3"/>
  <c r="S30" i="3"/>
  <c r="S32" i="3"/>
  <c r="S34" i="3"/>
  <c r="S36" i="3"/>
  <c r="S38" i="3"/>
  <c r="S40" i="3"/>
  <c r="S42" i="3"/>
  <c r="T75" i="3"/>
  <c r="T67" i="3"/>
  <c r="T59" i="3"/>
  <c r="T51" i="3"/>
  <c r="T43" i="3"/>
  <c r="G24" i="1"/>
  <c r="H59" i="1"/>
  <c r="H112" i="1"/>
  <c r="H124" i="1" s="1"/>
  <c r="Q67" i="1"/>
  <c r="Q115" i="1"/>
  <c r="Q119" i="1"/>
  <c r="Y15" i="5"/>
  <c r="AF153" i="4"/>
  <c r="AF142" i="3"/>
  <c r="AA11" i="1"/>
  <c r="Q142" i="3"/>
  <c r="AM153" i="4"/>
  <c r="AM142" i="3"/>
  <c r="Q51" i="1"/>
  <c r="C80" i="3"/>
  <c r="Y18" i="4"/>
  <c r="Y18" i="3"/>
  <c r="AF80" i="3"/>
  <c r="AF85" i="4"/>
  <c r="Q80" i="3"/>
  <c r="AM80" i="3"/>
  <c r="AM85" i="4"/>
  <c r="J142" i="3"/>
  <c r="AH25" i="1"/>
  <c r="H31" i="1"/>
  <c r="H29" i="1"/>
  <c r="H27" i="1"/>
  <c r="H25" i="1"/>
  <c r="H41" i="1"/>
  <c r="H51" i="1" s="1"/>
  <c r="H43" i="1"/>
  <c r="H45" i="1"/>
  <c r="H47" i="1"/>
  <c r="H49" i="1"/>
  <c r="H58" i="1"/>
  <c r="H60" i="1"/>
  <c r="H62" i="1"/>
  <c r="AB11" i="1" s="1"/>
  <c r="H64" i="1"/>
  <c r="AA14" i="1" s="1"/>
  <c r="H66" i="1"/>
  <c r="AA13" i="1" s="1"/>
  <c r="H68" i="1"/>
  <c r="AA17" i="1" s="1"/>
  <c r="H77" i="1"/>
  <c r="H79" i="1"/>
  <c r="H81" i="1"/>
  <c r="H83" i="1"/>
  <c r="H85" i="1"/>
  <c r="H94" i="1"/>
  <c r="AI7" i="1" s="1"/>
  <c r="H96" i="1"/>
  <c r="AJ9" i="1" s="1"/>
  <c r="H98" i="1"/>
  <c r="AI11" i="1" s="1"/>
  <c r="H100" i="1"/>
  <c r="H102" i="1"/>
  <c r="AI13" i="1" s="1"/>
  <c r="H104" i="1"/>
  <c r="AJ17" i="1" s="1"/>
  <c r="H113" i="1"/>
  <c r="H115" i="1"/>
  <c r="H117" i="1"/>
  <c r="H119" i="1"/>
  <c r="H125" i="1" s="1"/>
  <c r="H121" i="1"/>
  <c r="Q25" i="1"/>
  <c r="Q41" i="1"/>
  <c r="Q43" i="1"/>
  <c r="Q45" i="1"/>
  <c r="Q47" i="1"/>
  <c r="Q53" i="1" s="1"/>
  <c r="Q49" i="1"/>
  <c r="Q58" i="1"/>
  <c r="Q60" i="1"/>
  <c r="Q62" i="1"/>
  <c r="Q64" i="1"/>
  <c r="Q66" i="1"/>
  <c r="Q76" i="1"/>
  <c r="Q95" i="1"/>
  <c r="Q105" i="1" s="1"/>
  <c r="Q97" i="1"/>
  <c r="Q99" i="1"/>
  <c r="Q101" i="1"/>
  <c r="Q107" i="1" s="1"/>
  <c r="Q103" i="1"/>
  <c r="Q112" i="1"/>
  <c r="Q114" i="1"/>
  <c r="Q116" i="1"/>
  <c r="Q118" i="1"/>
  <c r="Q120" i="1"/>
  <c r="T22" i="3"/>
  <c r="T24" i="3"/>
  <c r="T26" i="3"/>
  <c r="T28" i="3"/>
  <c r="T30" i="3"/>
  <c r="T32" i="3"/>
  <c r="T34" i="3"/>
  <c r="T36" i="3"/>
  <c r="T38" i="3"/>
  <c r="T40" i="3"/>
  <c r="T73" i="3"/>
  <c r="T65" i="3"/>
  <c r="T57" i="3"/>
  <c r="Q117" i="1"/>
  <c r="Q121" i="1"/>
  <c r="H87" i="1"/>
  <c r="H89" i="1"/>
  <c r="H123" i="1"/>
  <c r="P33" i="1"/>
  <c r="P35" i="1"/>
  <c r="C18" i="3"/>
  <c r="AF18" i="4"/>
  <c r="AF18" i="3"/>
  <c r="S44" i="3"/>
  <c r="S46" i="3"/>
  <c r="S48" i="3"/>
  <c r="S50" i="3"/>
  <c r="S52" i="3"/>
  <c r="S54" i="3"/>
  <c r="S56" i="3"/>
  <c r="S58" i="3"/>
  <c r="S60" i="3"/>
  <c r="S62" i="3"/>
  <c r="S64" i="3"/>
  <c r="S66" i="3"/>
  <c r="S68" i="3"/>
  <c r="S70" i="3"/>
  <c r="S72" i="3"/>
  <c r="S74" i="3"/>
  <c r="T44" i="3"/>
  <c r="T46" i="3"/>
  <c r="T48" i="3"/>
  <c r="T50" i="3"/>
  <c r="T52" i="3"/>
  <c r="T54" i="3"/>
  <c r="T56" i="3"/>
  <c r="T58" i="3"/>
  <c r="T60" i="3"/>
  <c r="T62" i="3"/>
  <c r="T64" i="3"/>
  <c r="T66" i="3"/>
  <c r="T68" i="3"/>
  <c r="T70" i="3"/>
  <c r="T72" i="3"/>
  <c r="T74" i="3"/>
  <c r="S43" i="3"/>
  <c r="S45" i="3"/>
  <c r="S47" i="3"/>
  <c r="S49" i="3"/>
  <c r="S51" i="3"/>
  <c r="S53" i="3"/>
  <c r="S55" i="3"/>
  <c r="S57" i="3"/>
  <c r="S59" i="3"/>
  <c r="S61" i="3"/>
  <c r="S63" i="3"/>
  <c r="S65" i="3"/>
  <c r="S67" i="3"/>
  <c r="S69" i="3"/>
  <c r="S71" i="3"/>
  <c r="S73" i="3"/>
  <c r="S75" i="3"/>
  <c r="T42" i="3"/>
  <c r="AM18" i="4"/>
  <c r="AM18" i="3"/>
  <c r="J80" i="3"/>
  <c r="H22" i="1"/>
  <c r="AG7" i="1"/>
  <c r="G78" i="1"/>
  <c r="G84" i="1"/>
  <c r="G112" i="1"/>
  <c r="G114" i="1"/>
  <c r="G120" i="1"/>
  <c r="Q24" i="1"/>
  <c r="Q22" i="1"/>
  <c r="Q31" i="1"/>
  <c r="Q29" i="1"/>
  <c r="Q27" i="1"/>
  <c r="Q86" i="1"/>
  <c r="Q84" i="1"/>
  <c r="Q82" i="1"/>
  <c r="Q80" i="1"/>
  <c r="Q78" i="1"/>
  <c r="S23" i="3"/>
  <c r="S25" i="3"/>
  <c r="S27" i="3"/>
  <c r="S29" i="3"/>
  <c r="S31" i="3"/>
  <c r="S33" i="3"/>
  <c r="S35" i="3"/>
  <c r="S37" i="3"/>
  <c r="S39" i="3"/>
  <c r="S41" i="3"/>
  <c r="T71" i="3"/>
  <c r="T63" i="3"/>
  <c r="T55" i="3"/>
  <c r="T47" i="3"/>
  <c r="Y80" i="3"/>
  <c r="Y12" i="5"/>
  <c r="Y16" i="5"/>
  <c r="K16" i="5"/>
  <c r="AA14" i="5"/>
  <c r="K30" i="5"/>
  <c r="X17" i="5"/>
  <c r="H17" i="5"/>
  <c r="X13" i="5"/>
  <c r="H13" i="5"/>
  <c r="Z9" i="5"/>
  <c r="J25" i="5"/>
  <c r="Z13" i="5"/>
  <c r="J29" i="5"/>
  <c r="Z17" i="5"/>
  <c r="J33" i="5"/>
  <c r="T28" i="5"/>
  <c r="Z26" i="5"/>
  <c r="R28" i="5"/>
  <c r="T32" i="5"/>
  <c r="Z30" i="5"/>
  <c r="R32" i="5"/>
  <c r="AB23" i="5"/>
  <c r="R41" i="5"/>
  <c r="AC23" i="5" s="1"/>
  <c r="T9" i="5"/>
  <c r="R45" i="5"/>
  <c r="AC27" i="5" s="1"/>
  <c r="AB27" i="5"/>
  <c r="T13" i="5"/>
  <c r="R49" i="5"/>
  <c r="AC31" i="5" s="1"/>
  <c r="AB31" i="5"/>
  <c r="T17" i="5"/>
  <c r="AB10" i="5"/>
  <c r="J10" i="5"/>
  <c r="AB14" i="5"/>
  <c r="J14" i="5"/>
  <c r="K14" i="5"/>
  <c r="Z10" i="5"/>
  <c r="H26" i="5"/>
  <c r="X25" i="5"/>
  <c r="R11" i="5"/>
  <c r="X29" i="5"/>
  <c r="R15" i="5"/>
  <c r="T25" i="5"/>
  <c r="Z23" i="5"/>
  <c r="R25" i="5"/>
  <c r="T29" i="5"/>
  <c r="R29" i="5"/>
  <c r="Z27" i="5"/>
  <c r="T33" i="5"/>
  <c r="R33" i="5"/>
  <c r="Z31" i="5"/>
  <c r="T10" i="5"/>
  <c r="R42" i="5"/>
  <c r="AC24" i="5" s="1"/>
  <c r="AB24" i="5"/>
  <c r="T14" i="5"/>
  <c r="R46" i="5"/>
  <c r="AC28" i="5" s="1"/>
  <c r="AB28" i="5"/>
  <c r="T18" i="5"/>
  <c r="R50" i="5"/>
  <c r="AC32" i="5" s="1"/>
  <c r="AB32" i="5"/>
  <c r="AB11" i="5"/>
  <c r="J11" i="5"/>
  <c r="AB15" i="5"/>
  <c r="J15" i="5"/>
  <c r="AB19" i="5"/>
  <c r="J19" i="5"/>
  <c r="J30" i="5"/>
  <c r="Y10" i="5"/>
  <c r="K10" i="5"/>
  <c r="AA12" i="5"/>
  <c r="AA16" i="5"/>
  <c r="K32" i="5"/>
  <c r="H42" i="5"/>
  <c r="AC10" i="5" s="1"/>
  <c r="H46" i="5"/>
  <c r="AC14" i="5" s="1"/>
  <c r="H50" i="5"/>
  <c r="R10" i="5"/>
  <c r="R14" i="5"/>
  <c r="X26" i="5"/>
  <c r="R12" i="5"/>
  <c r="X30" i="5"/>
  <c r="R16" i="5"/>
  <c r="Z24" i="5"/>
  <c r="T26" i="5"/>
  <c r="R26" i="5"/>
  <c r="Z28" i="5"/>
  <c r="T30" i="5"/>
  <c r="R30" i="5"/>
  <c r="Z32" i="5"/>
  <c r="T34" i="5"/>
  <c r="R34" i="5"/>
  <c r="T11" i="5"/>
  <c r="R43" i="5"/>
  <c r="AC25" i="5" s="1"/>
  <c r="AB25" i="5"/>
  <c r="T15" i="5"/>
  <c r="R47" i="5"/>
  <c r="AC29" i="5" s="1"/>
  <c r="AB29" i="5"/>
  <c r="T19" i="5"/>
  <c r="R51" i="5"/>
  <c r="AC33" i="5" s="1"/>
  <c r="AB33" i="5"/>
  <c r="J27" i="5"/>
  <c r="J31" i="5"/>
  <c r="J35" i="5"/>
  <c r="H11" i="5"/>
  <c r="H25" i="5"/>
  <c r="H29" i="5"/>
  <c r="H33" i="5"/>
  <c r="H43" i="5"/>
  <c r="AC11" i="5" s="1"/>
  <c r="H47" i="5"/>
  <c r="AC15" i="5" s="1"/>
  <c r="H51" i="5"/>
  <c r="AC19" i="5" s="1"/>
  <c r="H57" i="5"/>
  <c r="AE9" i="5" s="1"/>
  <c r="H61" i="5"/>
  <c r="AE13" i="5" s="1"/>
  <c r="H65" i="5"/>
  <c r="AE17" i="5" s="1"/>
  <c r="H45" i="5"/>
  <c r="AC13" i="5" s="1"/>
  <c r="R19" i="5"/>
  <c r="Z25" i="5"/>
  <c r="T27" i="5"/>
  <c r="R27" i="5"/>
  <c r="Z29" i="5"/>
  <c r="T31" i="5"/>
  <c r="R31" i="5"/>
  <c r="Z33" i="5"/>
  <c r="T35" i="5"/>
  <c r="R35" i="5"/>
  <c r="AB26" i="5"/>
  <c r="T12" i="5"/>
  <c r="R44" i="5"/>
  <c r="AC26" i="5" s="1"/>
  <c r="AB30" i="5"/>
  <c r="T16" i="5"/>
  <c r="R48" i="5"/>
  <c r="AC30" i="5" s="1"/>
  <c r="J9" i="5"/>
  <c r="AB9" i="5"/>
  <c r="J18" i="5"/>
  <c r="J28" i="5"/>
  <c r="K28" i="5" s="1"/>
  <c r="J32" i="5"/>
  <c r="K9" i="5"/>
  <c r="H34" i="5"/>
  <c r="H44" i="5"/>
  <c r="AC12" i="5" s="1"/>
  <c r="H48" i="5"/>
  <c r="AC16" i="5" s="1"/>
  <c r="J17" i="5"/>
  <c r="J13" i="5"/>
  <c r="H27" i="5"/>
  <c r="H31" i="5"/>
  <c r="H35" i="5"/>
  <c r="R9" i="5"/>
  <c r="R13" i="5"/>
  <c r="Y31" i="5"/>
  <c r="R18" i="5"/>
  <c r="Y32" i="5" l="1"/>
  <c r="U18" i="5"/>
  <c r="U26" i="5"/>
  <c r="AA24" i="5"/>
  <c r="AI29" i="1"/>
  <c r="AK29" i="1" s="1"/>
  <c r="AJ29" i="1"/>
  <c r="AL29" i="1" s="1"/>
  <c r="Q124" i="1"/>
  <c r="Q125" i="1"/>
  <c r="Q123" i="1"/>
  <c r="AB44" i="3"/>
  <c r="AB48" i="3"/>
  <c r="AB52" i="3"/>
  <c r="AB56" i="3"/>
  <c r="AB60" i="3"/>
  <c r="AB64" i="3"/>
  <c r="AB68" i="3"/>
  <c r="AB72" i="3"/>
  <c r="AA43" i="3"/>
  <c r="AA47" i="3"/>
  <c r="AA51" i="3"/>
  <c r="AA55" i="3"/>
  <c r="AA59" i="3"/>
  <c r="AA63" i="3"/>
  <c r="AA67" i="3"/>
  <c r="AA71" i="3"/>
  <c r="AA75" i="3"/>
  <c r="AA42" i="3"/>
  <c r="AB45" i="3"/>
  <c r="AB49" i="3"/>
  <c r="AB53" i="3"/>
  <c r="AB57" i="3"/>
  <c r="AB61" i="3"/>
  <c r="AB65" i="3"/>
  <c r="AB69" i="3"/>
  <c r="AB73" i="3"/>
  <c r="AA44" i="3"/>
  <c r="AA48" i="3"/>
  <c r="AA52" i="3"/>
  <c r="AA56" i="3"/>
  <c r="AA60" i="3"/>
  <c r="AA64" i="3"/>
  <c r="AA68" i="3"/>
  <c r="AA72" i="3"/>
  <c r="AB46" i="3"/>
  <c r="AB50" i="3"/>
  <c r="AB54" i="3"/>
  <c r="AB58" i="3"/>
  <c r="AB62" i="3"/>
  <c r="AB66" i="3"/>
  <c r="AB70" i="3"/>
  <c r="AB74" i="3"/>
  <c r="AA45" i="3"/>
  <c r="AA49" i="3"/>
  <c r="AA53" i="3"/>
  <c r="AA57" i="3"/>
  <c r="AA61" i="3"/>
  <c r="AA65" i="3"/>
  <c r="AA69" i="3"/>
  <c r="AA73" i="3"/>
  <c r="AB43" i="3"/>
  <c r="AB59" i="3"/>
  <c r="AB75" i="3"/>
  <c r="AA58" i="3"/>
  <c r="AA74" i="3"/>
  <c r="AB42" i="3"/>
  <c r="AB41" i="3"/>
  <c r="AB39" i="3"/>
  <c r="AB37" i="3"/>
  <c r="AB35" i="3"/>
  <c r="AB33" i="3"/>
  <c r="AB31" i="3"/>
  <c r="AB29" i="3"/>
  <c r="AB27" i="3"/>
  <c r="AB25" i="3"/>
  <c r="AB23" i="3"/>
  <c r="AB21" i="3"/>
  <c r="AA34" i="3"/>
  <c r="AA28" i="3"/>
  <c r="AA22" i="3"/>
  <c r="AB47" i="3"/>
  <c r="AB63" i="3"/>
  <c r="AA46" i="3"/>
  <c r="AA62" i="3"/>
  <c r="AA41" i="3"/>
  <c r="AA39" i="3"/>
  <c r="AA37" i="3"/>
  <c r="AA35" i="3"/>
  <c r="AA33" i="3"/>
  <c r="AA31" i="3"/>
  <c r="AA29" i="3"/>
  <c r="AA27" i="3"/>
  <c r="AA25" i="3"/>
  <c r="AA23" i="3"/>
  <c r="AB71" i="3"/>
  <c r="AA40" i="3"/>
  <c r="AA38" i="3"/>
  <c r="AA36" i="3"/>
  <c r="AA30" i="3"/>
  <c r="AA26" i="3"/>
  <c r="AB51" i="3"/>
  <c r="AB67" i="3"/>
  <c r="AA50" i="3"/>
  <c r="AA66" i="3"/>
  <c r="AB40" i="3"/>
  <c r="AB38" i="3"/>
  <c r="AB36" i="3"/>
  <c r="AB34" i="3"/>
  <c r="AB32" i="3"/>
  <c r="AB30" i="3"/>
  <c r="AB28" i="3"/>
  <c r="AB26" i="3"/>
  <c r="AB24" i="3"/>
  <c r="AB22" i="3"/>
  <c r="AB55" i="3"/>
  <c r="AA54" i="3"/>
  <c r="AA70" i="3"/>
  <c r="AA32" i="3"/>
  <c r="AA24" i="3"/>
  <c r="M44" i="3"/>
  <c r="M46" i="3"/>
  <c r="M48" i="3"/>
  <c r="M50" i="3"/>
  <c r="M52" i="3"/>
  <c r="M54" i="3"/>
  <c r="M56" i="3"/>
  <c r="M58" i="3"/>
  <c r="M60" i="3"/>
  <c r="M62" i="3"/>
  <c r="M64" i="3"/>
  <c r="M66" i="3"/>
  <c r="M68" i="3"/>
  <c r="M70" i="3"/>
  <c r="M72" i="3"/>
  <c r="M74" i="3"/>
  <c r="L43" i="3"/>
  <c r="L45" i="3"/>
  <c r="L47" i="3"/>
  <c r="L49" i="3"/>
  <c r="L51" i="3"/>
  <c r="L53" i="3"/>
  <c r="L55" i="3"/>
  <c r="L57" i="3"/>
  <c r="L59" i="3"/>
  <c r="L61" i="3"/>
  <c r="L63" i="3"/>
  <c r="L65" i="3"/>
  <c r="L67" i="3"/>
  <c r="L69" i="3"/>
  <c r="L71" i="3"/>
  <c r="L73" i="3"/>
  <c r="L75" i="3"/>
  <c r="M43" i="3"/>
  <c r="M45" i="3"/>
  <c r="M47" i="3"/>
  <c r="M49" i="3"/>
  <c r="M51" i="3"/>
  <c r="M53" i="3"/>
  <c r="M55" i="3"/>
  <c r="M57" i="3"/>
  <c r="M59" i="3"/>
  <c r="M61" i="3"/>
  <c r="M63" i="3"/>
  <c r="M65" i="3"/>
  <c r="M67" i="3"/>
  <c r="M69" i="3"/>
  <c r="M71" i="3"/>
  <c r="M73" i="3"/>
  <c r="M75" i="3"/>
  <c r="L44" i="3"/>
  <c r="L52" i="3"/>
  <c r="L60" i="3"/>
  <c r="L68" i="3"/>
  <c r="M42" i="3"/>
  <c r="M40" i="3"/>
  <c r="M38" i="3"/>
  <c r="M36" i="3"/>
  <c r="M34" i="3"/>
  <c r="M32" i="3"/>
  <c r="M30" i="3"/>
  <c r="M28" i="3"/>
  <c r="M26" i="3"/>
  <c r="M24" i="3"/>
  <c r="M22" i="3"/>
  <c r="L66" i="3"/>
  <c r="L41" i="3"/>
  <c r="L35" i="3"/>
  <c r="L27" i="3"/>
  <c r="L46" i="3"/>
  <c r="L54" i="3"/>
  <c r="L62" i="3"/>
  <c r="L70" i="3"/>
  <c r="L42" i="3"/>
  <c r="L40" i="3"/>
  <c r="L38" i="3"/>
  <c r="L36" i="3"/>
  <c r="L34" i="3"/>
  <c r="L32" i="3"/>
  <c r="L30" i="3"/>
  <c r="L28" i="3"/>
  <c r="L26" i="3"/>
  <c r="L24" i="3"/>
  <c r="L22" i="3"/>
  <c r="L50" i="3"/>
  <c r="L37" i="3"/>
  <c r="L29" i="3"/>
  <c r="L25" i="3"/>
  <c r="L48" i="3"/>
  <c r="L56" i="3"/>
  <c r="L64" i="3"/>
  <c r="L72" i="3"/>
  <c r="M41" i="3"/>
  <c r="M39" i="3"/>
  <c r="M37" i="3"/>
  <c r="M35" i="3"/>
  <c r="M33" i="3"/>
  <c r="M31" i="3"/>
  <c r="M29" i="3"/>
  <c r="M27" i="3"/>
  <c r="M25" i="3"/>
  <c r="M23" i="3"/>
  <c r="L58" i="3"/>
  <c r="L74" i="3"/>
  <c r="L39" i="3"/>
  <c r="L33" i="3"/>
  <c r="L31" i="3"/>
  <c r="L23" i="3"/>
  <c r="AL17" i="1"/>
  <c r="AL11" i="1"/>
  <c r="AA18" i="5"/>
  <c r="K34" i="5"/>
  <c r="G124" i="1"/>
  <c r="G123" i="1"/>
  <c r="G125" i="1"/>
  <c r="AB198" i="3"/>
  <c r="AB196" i="3"/>
  <c r="AB194" i="3"/>
  <c r="AB192" i="3"/>
  <c r="AB190" i="3"/>
  <c r="AB188" i="3"/>
  <c r="AB186" i="3"/>
  <c r="AB184" i="3"/>
  <c r="AB182" i="3"/>
  <c r="AB180" i="3"/>
  <c r="AB178" i="3"/>
  <c r="AB176" i="3"/>
  <c r="AB174" i="3"/>
  <c r="AB172" i="3"/>
  <c r="AB170" i="3"/>
  <c r="AB168" i="3"/>
  <c r="AB166" i="3"/>
  <c r="AB164" i="3"/>
  <c r="AB162" i="3"/>
  <c r="AB160" i="3"/>
  <c r="AB158" i="3"/>
  <c r="AB156" i="3"/>
  <c r="AB154" i="3"/>
  <c r="AB152" i="3"/>
  <c r="AB150" i="3"/>
  <c r="AB148" i="3"/>
  <c r="AB146" i="3"/>
  <c r="AI199" i="3"/>
  <c r="AI197" i="3"/>
  <c r="AI195" i="3"/>
  <c r="AI193" i="3"/>
  <c r="AI191" i="3"/>
  <c r="AI189" i="3"/>
  <c r="AI187" i="3"/>
  <c r="AI185" i="3"/>
  <c r="AI183" i="3"/>
  <c r="AI181" i="3"/>
  <c r="AI179" i="3"/>
  <c r="AI177" i="3"/>
  <c r="AI175" i="3"/>
  <c r="AI173" i="3"/>
  <c r="AI171" i="3"/>
  <c r="AI169" i="3"/>
  <c r="AI167" i="3"/>
  <c r="AI165" i="3"/>
  <c r="AI163" i="3"/>
  <c r="AI161" i="3"/>
  <c r="AI159" i="3"/>
  <c r="AI157" i="3"/>
  <c r="AI155" i="3"/>
  <c r="AI153" i="3"/>
  <c r="AI151" i="3"/>
  <c r="AI149" i="3"/>
  <c r="AI147" i="3"/>
  <c r="AI145" i="3"/>
  <c r="AP198" i="3"/>
  <c r="AP196" i="3"/>
  <c r="AP194" i="3"/>
  <c r="AP192" i="3"/>
  <c r="AP190" i="3"/>
  <c r="AP188" i="3"/>
  <c r="AP186" i="3"/>
  <c r="AP184" i="3"/>
  <c r="AP182" i="3"/>
  <c r="AP180" i="3"/>
  <c r="AP178" i="3"/>
  <c r="AP176" i="3"/>
  <c r="AP174" i="3"/>
  <c r="AP172" i="3"/>
  <c r="AP170" i="3"/>
  <c r="AP168" i="3"/>
  <c r="AP166" i="3"/>
  <c r="AP164" i="3"/>
  <c r="AP162" i="3"/>
  <c r="AP160" i="3"/>
  <c r="AP158" i="3"/>
  <c r="AP156" i="3"/>
  <c r="AP154" i="3"/>
  <c r="AP152" i="3"/>
  <c r="AP150" i="3"/>
  <c r="AP148" i="3"/>
  <c r="AP146" i="3"/>
  <c r="AP137" i="3"/>
  <c r="AP135" i="3"/>
  <c r="AP133" i="3"/>
  <c r="AP131" i="3"/>
  <c r="AP129" i="3"/>
  <c r="AP127" i="3"/>
  <c r="AP125" i="3"/>
  <c r="AP123" i="3"/>
  <c r="AP121" i="3"/>
  <c r="AP119" i="3"/>
  <c r="AP117" i="3"/>
  <c r="AP115" i="3"/>
  <c r="AP113" i="3"/>
  <c r="AP111" i="3"/>
  <c r="AP109" i="3"/>
  <c r="AP107" i="3"/>
  <c r="AP105" i="3"/>
  <c r="AP103" i="3"/>
  <c r="AP101" i="3"/>
  <c r="AP99" i="3"/>
  <c r="AP97" i="3"/>
  <c r="AP95" i="3"/>
  <c r="AP93" i="3"/>
  <c r="AP91" i="3"/>
  <c r="AP89" i="3"/>
  <c r="AP87" i="3"/>
  <c r="AA198" i="3"/>
  <c r="AA196" i="3"/>
  <c r="AA194" i="3"/>
  <c r="AA192" i="3"/>
  <c r="AA190" i="3"/>
  <c r="AA188" i="3"/>
  <c r="AA186" i="3"/>
  <c r="AA184" i="3"/>
  <c r="AA182" i="3"/>
  <c r="AA180" i="3"/>
  <c r="AA178" i="3"/>
  <c r="AA176" i="3"/>
  <c r="AA174" i="3"/>
  <c r="AA172" i="3"/>
  <c r="AA170" i="3"/>
  <c r="AA168" i="3"/>
  <c r="AA166" i="3"/>
  <c r="AA164" i="3"/>
  <c r="AA162" i="3"/>
  <c r="AA160" i="3"/>
  <c r="AA158" i="3"/>
  <c r="AA156" i="3"/>
  <c r="AA154" i="3"/>
  <c r="AA152" i="3"/>
  <c r="AA150" i="3"/>
  <c r="AA148" i="3"/>
  <c r="AA146" i="3"/>
  <c r="AH199" i="3"/>
  <c r="AH197" i="3"/>
  <c r="AH195" i="3"/>
  <c r="AH193" i="3"/>
  <c r="AH191" i="3"/>
  <c r="AH189" i="3"/>
  <c r="AH187" i="3"/>
  <c r="AH185" i="3"/>
  <c r="AH183" i="3"/>
  <c r="AH181" i="3"/>
  <c r="AH179" i="3"/>
  <c r="AH177" i="3"/>
  <c r="AH175" i="3"/>
  <c r="AH173" i="3"/>
  <c r="AH171" i="3"/>
  <c r="AH169" i="3"/>
  <c r="AH167" i="3"/>
  <c r="AH165" i="3"/>
  <c r="AH163" i="3"/>
  <c r="AH161" i="3"/>
  <c r="AH159" i="3"/>
  <c r="AH157" i="3"/>
  <c r="AH155" i="3"/>
  <c r="AH153" i="3"/>
  <c r="AH151" i="3"/>
  <c r="AH149" i="3"/>
  <c r="AH147" i="3"/>
  <c r="AH145" i="3"/>
  <c r="AO198" i="3"/>
  <c r="AO196" i="3"/>
  <c r="AO194" i="3"/>
  <c r="AO192" i="3"/>
  <c r="AO190" i="3"/>
  <c r="AO188" i="3"/>
  <c r="AO186" i="3"/>
  <c r="AO184" i="3"/>
  <c r="AO182" i="3"/>
  <c r="AO180" i="3"/>
  <c r="AO178" i="3"/>
  <c r="AO176" i="3"/>
  <c r="AO174" i="3"/>
  <c r="AO172" i="3"/>
  <c r="AO170" i="3"/>
  <c r="AO168" i="3"/>
  <c r="AO166" i="3"/>
  <c r="AO164" i="3"/>
  <c r="AO162" i="3"/>
  <c r="AO160" i="3"/>
  <c r="AO158" i="3"/>
  <c r="AO156" i="3"/>
  <c r="AO154" i="3"/>
  <c r="AO152" i="3"/>
  <c r="AO150" i="3"/>
  <c r="AO148" i="3"/>
  <c r="AO146" i="3"/>
  <c r="AO137" i="3"/>
  <c r="AO135" i="3"/>
  <c r="AO133" i="3"/>
  <c r="AO131" i="3"/>
  <c r="AO129" i="3"/>
  <c r="AO127" i="3"/>
  <c r="AO125" i="3"/>
  <c r="AO123" i="3"/>
  <c r="AO121" i="3"/>
  <c r="AO119" i="3"/>
  <c r="AO117" i="3"/>
  <c r="AO115" i="3"/>
  <c r="AO113" i="3"/>
  <c r="AO111" i="3"/>
  <c r="AO109" i="3"/>
  <c r="AO107" i="3"/>
  <c r="AO105" i="3"/>
  <c r="AO103" i="3"/>
  <c r="AO101" i="3"/>
  <c r="AO99" i="3"/>
  <c r="AO97" i="3"/>
  <c r="AO95" i="3"/>
  <c r="AO93" i="3"/>
  <c r="AO91" i="3"/>
  <c r="AO89" i="3"/>
  <c r="AB199" i="3"/>
  <c r="AB197" i="3"/>
  <c r="AB195" i="3"/>
  <c r="AB193" i="3"/>
  <c r="AB191" i="3"/>
  <c r="AB189" i="3"/>
  <c r="AB187" i="3"/>
  <c r="AB185" i="3"/>
  <c r="AB183" i="3"/>
  <c r="AB181" i="3"/>
  <c r="AB179" i="3"/>
  <c r="AB177" i="3"/>
  <c r="AB175" i="3"/>
  <c r="AB173" i="3"/>
  <c r="AB171" i="3"/>
  <c r="AB169" i="3"/>
  <c r="AB167" i="3"/>
  <c r="AB165" i="3"/>
  <c r="AB163" i="3"/>
  <c r="AB161" i="3"/>
  <c r="AB159" i="3"/>
  <c r="AB157" i="3"/>
  <c r="AB155" i="3"/>
  <c r="AB153" i="3"/>
  <c r="AB151" i="3"/>
  <c r="AB149" i="3"/>
  <c r="AB147" i="3"/>
  <c r="AB145" i="3"/>
  <c r="AI198" i="3"/>
  <c r="AI196" i="3"/>
  <c r="AI194" i="3"/>
  <c r="AI192" i="3"/>
  <c r="AI190" i="3"/>
  <c r="AI188" i="3"/>
  <c r="AI186" i="3"/>
  <c r="AI184" i="3"/>
  <c r="AI182" i="3"/>
  <c r="AI180" i="3"/>
  <c r="AI178" i="3"/>
  <c r="AI176" i="3"/>
  <c r="AI174" i="3"/>
  <c r="AI172" i="3"/>
  <c r="AI170" i="3"/>
  <c r="AI168" i="3"/>
  <c r="AI166" i="3"/>
  <c r="AI164" i="3"/>
  <c r="AI162" i="3"/>
  <c r="AI160" i="3"/>
  <c r="AI158" i="3"/>
  <c r="AI156" i="3"/>
  <c r="AI154" i="3"/>
  <c r="AI152" i="3"/>
  <c r="AI150" i="3"/>
  <c r="AI148" i="3"/>
  <c r="AI146" i="3"/>
  <c r="AP199" i="3"/>
  <c r="AP197" i="3"/>
  <c r="AP195" i="3"/>
  <c r="AP193" i="3"/>
  <c r="AP191" i="3"/>
  <c r="AP189" i="3"/>
  <c r="AP187" i="3"/>
  <c r="AP185" i="3"/>
  <c r="AP183" i="3"/>
  <c r="AP181" i="3"/>
  <c r="AP179" i="3"/>
  <c r="AP177" i="3"/>
  <c r="AP175" i="3"/>
  <c r="AP173" i="3"/>
  <c r="AP171" i="3"/>
  <c r="AP169" i="3"/>
  <c r="AP167" i="3"/>
  <c r="AP165" i="3"/>
  <c r="AP163" i="3"/>
  <c r="AP161" i="3"/>
  <c r="AP159" i="3"/>
  <c r="AP157" i="3"/>
  <c r="AP155" i="3"/>
  <c r="AP153" i="3"/>
  <c r="AP151" i="3"/>
  <c r="AP149" i="3"/>
  <c r="AP147" i="3"/>
  <c r="AP145" i="3"/>
  <c r="AP136" i="3"/>
  <c r="AP134" i="3"/>
  <c r="AP132" i="3"/>
  <c r="AP130" i="3"/>
  <c r="AP128" i="3"/>
  <c r="AP126" i="3"/>
  <c r="AP124" i="3"/>
  <c r="AP122" i="3"/>
  <c r="AP120" i="3"/>
  <c r="AP118" i="3"/>
  <c r="AP116" i="3"/>
  <c r="AP114" i="3"/>
  <c r="AP112" i="3"/>
  <c r="AP110" i="3"/>
  <c r="AP108" i="3"/>
  <c r="AP106" i="3"/>
  <c r="AP104" i="3"/>
  <c r="AP102" i="3"/>
  <c r="AP100" i="3"/>
  <c r="AP98" i="3"/>
  <c r="AP96" i="3"/>
  <c r="AP94" i="3"/>
  <c r="AP92" i="3"/>
  <c r="AP90" i="3"/>
  <c r="AP88" i="3"/>
  <c r="AP86" i="3"/>
  <c r="AA193" i="3"/>
  <c r="AA185" i="3"/>
  <c r="AA177" i="3"/>
  <c r="AA169" i="3"/>
  <c r="AA161" i="3"/>
  <c r="AA153" i="3"/>
  <c r="AA145" i="3"/>
  <c r="AH192" i="3"/>
  <c r="AH184" i="3"/>
  <c r="AH176" i="3"/>
  <c r="AH168" i="3"/>
  <c r="AH160" i="3"/>
  <c r="AH152" i="3"/>
  <c r="AO199" i="3"/>
  <c r="AO191" i="3"/>
  <c r="AO183" i="3"/>
  <c r="AO175" i="3"/>
  <c r="AO167" i="3"/>
  <c r="AO159" i="3"/>
  <c r="AO151" i="3"/>
  <c r="AO136" i="3"/>
  <c r="AO128" i="3"/>
  <c r="AO120" i="3"/>
  <c r="AO112" i="3"/>
  <c r="AO104" i="3"/>
  <c r="AO96" i="3"/>
  <c r="AO88" i="3"/>
  <c r="AO85" i="3"/>
  <c r="AO83" i="3"/>
  <c r="AH136" i="3"/>
  <c r="AH134" i="3"/>
  <c r="AH132" i="3"/>
  <c r="AH130" i="3"/>
  <c r="AH128" i="3"/>
  <c r="AH126" i="3"/>
  <c r="AH124" i="3"/>
  <c r="AH122" i="3"/>
  <c r="AH120" i="3"/>
  <c r="AH118" i="3"/>
  <c r="AH116" i="3"/>
  <c r="AH114" i="3"/>
  <c r="AH112" i="3"/>
  <c r="AH110" i="3"/>
  <c r="AH108" i="3"/>
  <c r="AH106" i="3"/>
  <c r="AH104" i="3"/>
  <c r="AH102" i="3"/>
  <c r="AH100" i="3"/>
  <c r="AH98" i="3"/>
  <c r="AH96" i="3"/>
  <c r="AH94" i="3"/>
  <c r="AH92" i="3"/>
  <c r="AH90" i="3"/>
  <c r="AH88" i="3"/>
  <c r="AH86" i="3"/>
  <c r="AH84" i="3"/>
  <c r="AA137" i="3"/>
  <c r="AA135" i="3"/>
  <c r="AA133" i="3"/>
  <c r="AA131" i="3"/>
  <c r="AA129" i="3"/>
  <c r="AA127" i="3"/>
  <c r="AA125" i="3"/>
  <c r="AA123" i="3"/>
  <c r="AA121" i="3"/>
  <c r="AA119" i="3"/>
  <c r="AA117" i="3"/>
  <c r="AA115" i="3"/>
  <c r="AA113" i="3"/>
  <c r="AA111" i="3"/>
  <c r="AA109" i="3"/>
  <c r="AA107" i="3"/>
  <c r="AA105" i="3"/>
  <c r="AA103" i="3"/>
  <c r="AA101" i="3"/>
  <c r="AA99" i="3"/>
  <c r="AA97" i="3"/>
  <c r="AA95" i="3"/>
  <c r="AA93" i="3"/>
  <c r="AA91" i="3"/>
  <c r="AA89" i="3"/>
  <c r="AA87" i="3"/>
  <c r="AA85" i="3"/>
  <c r="AA83" i="3"/>
  <c r="E58" i="3"/>
  <c r="E60" i="3"/>
  <c r="E62" i="3"/>
  <c r="E64" i="3"/>
  <c r="E66" i="3"/>
  <c r="E68" i="3"/>
  <c r="E70" i="3"/>
  <c r="E72" i="3"/>
  <c r="E74" i="3"/>
  <c r="E43" i="3"/>
  <c r="E45" i="3"/>
  <c r="E47" i="3"/>
  <c r="E49" i="3"/>
  <c r="E51" i="3"/>
  <c r="E53" i="3"/>
  <c r="E55" i="3"/>
  <c r="E57" i="3"/>
  <c r="AA199" i="3"/>
  <c r="AA191" i="3"/>
  <c r="AA183" i="3"/>
  <c r="AA175" i="3"/>
  <c r="AA167" i="3"/>
  <c r="AA159" i="3"/>
  <c r="AA151" i="3"/>
  <c r="AH198" i="3"/>
  <c r="AH190" i="3"/>
  <c r="AH182" i="3"/>
  <c r="AH174" i="3"/>
  <c r="AH166" i="3"/>
  <c r="AH158" i="3"/>
  <c r="AH150" i="3"/>
  <c r="AO197" i="3"/>
  <c r="AO189" i="3"/>
  <c r="AO181" i="3"/>
  <c r="AO173" i="3"/>
  <c r="AO165" i="3"/>
  <c r="AO157" i="3"/>
  <c r="AO149" i="3"/>
  <c r="AO134" i="3"/>
  <c r="AO126" i="3"/>
  <c r="AO118" i="3"/>
  <c r="AO110" i="3"/>
  <c r="AO102" i="3"/>
  <c r="AO94" i="3"/>
  <c r="AO87" i="3"/>
  <c r="AP84" i="3"/>
  <c r="AI137" i="3"/>
  <c r="AI135" i="3"/>
  <c r="AI133" i="3"/>
  <c r="AI131" i="3"/>
  <c r="AI129" i="3"/>
  <c r="AI127" i="3"/>
  <c r="AI125" i="3"/>
  <c r="AI123" i="3"/>
  <c r="AI121" i="3"/>
  <c r="AI119" i="3"/>
  <c r="AI117" i="3"/>
  <c r="AI115" i="3"/>
  <c r="AI113" i="3"/>
  <c r="AI111" i="3"/>
  <c r="AI109" i="3"/>
  <c r="AI107" i="3"/>
  <c r="AI105" i="3"/>
  <c r="AI103" i="3"/>
  <c r="AI101" i="3"/>
  <c r="AI99" i="3"/>
  <c r="AI97" i="3"/>
  <c r="AI95" i="3"/>
  <c r="AI93" i="3"/>
  <c r="AI91" i="3"/>
  <c r="AI89" i="3"/>
  <c r="AI87" i="3"/>
  <c r="AI85" i="3"/>
  <c r="AI83" i="3"/>
  <c r="AB136" i="3"/>
  <c r="AB134" i="3"/>
  <c r="AB132" i="3"/>
  <c r="AB130" i="3"/>
  <c r="AB128" i="3"/>
  <c r="AB126" i="3"/>
  <c r="AB124" i="3"/>
  <c r="AB122" i="3"/>
  <c r="AB120" i="3"/>
  <c r="AB118" i="3"/>
  <c r="AB116" i="3"/>
  <c r="AB114" i="3"/>
  <c r="AB112" i="3"/>
  <c r="AB110" i="3"/>
  <c r="AB108" i="3"/>
  <c r="AB106" i="3"/>
  <c r="AB104" i="3"/>
  <c r="AB102" i="3"/>
  <c r="AB100" i="3"/>
  <c r="AB98" i="3"/>
  <c r="AB96" i="3"/>
  <c r="AB94" i="3"/>
  <c r="AB92" i="3"/>
  <c r="AB90" i="3"/>
  <c r="AB88" i="3"/>
  <c r="AB86" i="3"/>
  <c r="AB84" i="3"/>
  <c r="F58" i="3"/>
  <c r="F60" i="3"/>
  <c r="F62" i="3"/>
  <c r="F64" i="3"/>
  <c r="F66" i="3"/>
  <c r="F68" i="3"/>
  <c r="F70" i="3"/>
  <c r="F72" i="3"/>
  <c r="F74" i="3"/>
  <c r="F43" i="3"/>
  <c r="F45" i="3"/>
  <c r="F47" i="3"/>
  <c r="F49" i="3"/>
  <c r="F51" i="3"/>
  <c r="F53" i="3"/>
  <c r="F55" i="3"/>
  <c r="F57" i="3"/>
  <c r="AA197" i="3"/>
  <c r="AA189" i="3"/>
  <c r="AA181" i="3"/>
  <c r="AA173" i="3"/>
  <c r="AA165" i="3"/>
  <c r="AA157" i="3"/>
  <c r="AA149" i="3"/>
  <c r="AH196" i="3"/>
  <c r="AH188" i="3"/>
  <c r="AH180" i="3"/>
  <c r="AH172" i="3"/>
  <c r="AH164" i="3"/>
  <c r="AH156" i="3"/>
  <c r="AH148" i="3"/>
  <c r="AO195" i="3"/>
  <c r="AO187" i="3"/>
  <c r="AO179" i="3"/>
  <c r="AO171" i="3"/>
  <c r="AO163" i="3"/>
  <c r="AO155" i="3"/>
  <c r="AO147" i="3"/>
  <c r="AO132" i="3"/>
  <c r="AO124" i="3"/>
  <c r="AO116" i="3"/>
  <c r="AO108" i="3"/>
  <c r="AO100" i="3"/>
  <c r="AO92" i="3"/>
  <c r="AO86" i="3"/>
  <c r="AO84" i="3"/>
  <c r="AH137" i="3"/>
  <c r="AH135" i="3"/>
  <c r="AH133" i="3"/>
  <c r="AH131" i="3"/>
  <c r="AH129" i="3"/>
  <c r="AH127" i="3"/>
  <c r="AH125" i="3"/>
  <c r="AH123" i="3"/>
  <c r="AH121" i="3"/>
  <c r="AH119" i="3"/>
  <c r="AH117" i="3"/>
  <c r="AH115" i="3"/>
  <c r="AH113" i="3"/>
  <c r="AH111" i="3"/>
  <c r="AH109" i="3"/>
  <c r="AH107" i="3"/>
  <c r="AH105" i="3"/>
  <c r="AH103" i="3"/>
  <c r="AH101" i="3"/>
  <c r="AH99" i="3"/>
  <c r="AH97" i="3"/>
  <c r="AH95" i="3"/>
  <c r="AH93" i="3"/>
  <c r="AH91" i="3"/>
  <c r="AH89" i="3"/>
  <c r="AH87" i="3"/>
  <c r="AH85" i="3"/>
  <c r="AH83" i="3"/>
  <c r="AA136" i="3"/>
  <c r="AA134" i="3"/>
  <c r="AA132" i="3"/>
  <c r="AA130" i="3"/>
  <c r="AA128" i="3"/>
  <c r="AA126" i="3"/>
  <c r="AA124" i="3"/>
  <c r="AA122" i="3"/>
  <c r="AA120" i="3"/>
  <c r="AA118" i="3"/>
  <c r="AA116" i="3"/>
  <c r="AA114" i="3"/>
  <c r="AA112" i="3"/>
  <c r="AA110" i="3"/>
  <c r="AA108" i="3"/>
  <c r="AA106" i="3"/>
  <c r="AA104" i="3"/>
  <c r="AA102" i="3"/>
  <c r="AA100" i="3"/>
  <c r="AA98" i="3"/>
  <c r="AA96" i="3"/>
  <c r="AA94" i="3"/>
  <c r="AA92" i="3"/>
  <c r="AA90" i="3"/>
  <c r="AA88" i="3"/>
  <c r="AA86" i="3"/>
  <c r="AA84" i="3"/>
  <c r="E59" i="3"/>
  <c r="E61" i="3"/>
  <c r="E63" i="3"/>
  <c r="E65" i="3"/>
  <c r="E67" i="3"/>
  <c r="E69" i="3"/>
  <c r="E71" i="3"/>
  <c r="E73" i="3"/>
  <c r="E75" i="3"/>
  <c r="E44" i="3"/>
  <c r="E46" i="3"/>
  <c r="E48" i="3"/>
  <c r="E50" i="3"/>
  <c r="E52" i="3"/>
  <c r="E54" i="3"/>
  <c r="E56" i="3"/>
  <c r="AA179" i="3"/>
  <c r="AA147" i="3"/>
  <c r="AH170" i="3"/>
  <c r="AO193" i="3"/>
  <c r="AO161" i="3"/>
  <c r="AO122" i="3"/>
  <c r="AO90" i="3"/>
  <c r="AI134" i="3"/>
  <c r="AI126" i="3"/>
  <c r="AI118" i="3"/>
  <c r="AI110" i="3"/>
  <c r="AI102" i="3"/>
  <c r="AI94" i="3"/>
  <c r="AI86" i="3"/>
  <c r="AB133" i="3"/>
  <c r="AB125" i="3"/>
  <c r="AB117" i="3"/>
  <c r="AB109" i="3"/>
  <c r="AB101" i="3"/>
  <c r="AB93" i="3"/>
  <c r="AB85" i="3"/>
  <c r="F65" i="3"/>
  <c r="F73" i="3"/>
  <c r="F48" i="3"/>
  <c r="F56" i="3"/>
  <c r="E42" i="3"/>
  <c r="E40" i="3"/>
  <c r="E38" i="3"/>
  <c r="E36" i="3"/>
  <c r="E34" i="3"/>
  <c r="E32" i="3"/>
  <c r="E30" i="3"/>
  <c r="E28" i="3"/>
  <c r="E26" i="3"/>
  <c r="E24" i="3"/>
  <c r="E22" i="3"/>
  <c r="F46" i="3"/>
  <c r="F40" i="3"/>
  <c r="F38" i="3"/>
  <c r="F32" i="3"/>
  <c r="F30" i="3"/>
  <c r="F26" i="3"/>
  <c r="AA171" i="3"/>
  <c r="AH194" i="3"/>
  <c r="AH162" i="3"/>
  <c r="AO185" i="3"/>
  <c r="AO153" i="3"/>
  <c r="AO114" i="3"/>
  <c r="AP85" i="3"/>
  <c r="AI132" i="3"/>
  <c r="AI124" i="3"/>
  <c r="AI116" i="3"/>
  <c r="AI108" i="3"/>
  <c r="AI100" i="3"/>
  <c r="AI92" i="3"/>
  <c r="AI84" i="3"/>
  <c r="AB131" i="3"/>
  <c r="AB123" i="3"/>
  <c r="AB115" i="3"/>
  <c r="AB107" i="3"/>
  <c r="AB99" i="3"/>
  <c r="AB91" i="3"/>
  <c r="AB83" i="3"/>
  <c r="F59" i="3"/>
  <c r="F67" i="3"/>
  <c r="F75" i="3"/>
  <c r="F50" i="3"/>
  <c r="F41" i="3"/>
  <c r="F39" i="3"/>
  <c r="F37" i="3"/>
  <c r="F35" i="3"/>
  <c r="F33" i="3"/>
  <c r="F31" i="3"/>
  <c r="F29" i="3"/>
  <c r="F27" i="3"/>
  <c r="F25" i="3"/>
  <c r="F23" i="3"/>
  <c r="F21" i="3"/>
  <c r="AA187" i="3"/>
  <c r="AH146" i="3"/>
  <c r="AI136" i="3"/>
  <c r="AI104" i="3"/>
  <c r="AB135" i="3"/>
  <c r="AB103" i="3"/>
  <c r="F71" i="3"/>
  <c r="F42" i="3"/>
  <c r="F36" i="3"/>
  <c r="F34" i="3"/>
  <c r="F28" i="3"/>
  <c r="F24" i="3"/>
  <c r="AA195" i="3"/>
  <c r="AA163" i="3"/>
  <c r="AH186" i="3"/>
  <c r="AH154" i="3"/>
  <c r="AO177" i="3"/>
  <c r="AO145" i="3"/>
  <c r="AO106" i="3"/>
  <c r="AP83" i="3"/>
  <c r="AI130" i="3"/>
  <c r="AI122" i="3"/>
  <c r="AI114" i="3"/>
  <c r="AI106" i="3"/>
  <c r="AI98" i="3"/>
  <c r="AI90" i="3"/>
  <c r="AB137" i="3"/>
  <c r="AB129" i="3"/>
  <c r="AB121" i="3"/>
  <c r="AB113" i="3"/>
  <c r="AB105" i="3"/>
  <c r="AB97" i="3"/>
  <c r="AB89" i="3"/>
  <c r="F61" i="3"/>
  <c r="F69" i="3"/>
  <c r="F44" i="3"/>
  <c r="F52" i="3"/>
  <c r="E41" i="3"/>
  <c r="E39" i="3"/>
  <c r="E37" i="3"/>
  <c r="E35" i="3"/>
  <c r="E33" i="3"/>
  <c r="E31" i="3"/>
  <c r="E29" i="3"/>
  <c r="E27" i="3"/>
  <c r="E25" i="3"/>
  <c r="E23" i="3"/>
  <c r="AA155" i="3"/>
  <c r="AH178" i="3"/>
  <c r="AO169" i="3"/>
  <c r="AO130" i="3"/>
  <c r="AO98" i="3"/>
  <c r="AI128" i="3"/>
  <c r="AI120" i="3"/>
  <c r="AI112" i="3"/>
  <c r="AI96" i="3"/>
  <c r="AI88" i="3"/>
  <c r="AB127" i="3"/>
  <c r="AB119" i="3"/>
  <c r="AB111" i="3"/>
  <c r="AB95" i="3"/>
  <c r="AB87" i="3"/>
  <c r="F63" i="3"/>
  <c r="F54" i="3"/>
  <c r="F22" i="3"/>
  <c r="H106" i="1"/>
  <c r="H105" i="1"/>
  <c r="H107" i="1"/>
  <c r="AB15" i="1"/>
  <c r="AJ31" i="1"/>
  <c r="AL31" i="1" s="1"/>
  <c r="AI31" i="1"/>
  <c r="AK31" i="1" s="1"/>
  <c r="U17" i="5"/>
  <c r="AC18" i="5"/>
  <c r="K18" i="5"/>
  <c r="Y25" i="5"/>
  <c r="U11" i="5"/>
  <c r="Y17" i="5"/>
  <c r="K17" i="5"/>
  <c r="AI25" i="1"/>
  <c r="AK25" i="1" s="1"/>
  <c r="Q88" i="1"/>
  <c r="Q89" i="1"/>
  <c r="Q87" i="1"/>
  <c r="AJ25" i="1"/>
  <c r="AB23" i="1"/>
  <c r="AA23" i="1"/>
  <c r="AC23" i="1" s="1"/>
  <c r="G53" i="1"/>
  <c r="G51" i="1"/>
  <c r="G52" i="1"/>
  <c r="AO79" i="4"/>
  <c r="AO77" i="4"/>
  <c r="AO75" i="4"/>
  <c r="AH79" i="4"/>
  <c r="AH77" i="4"/>
  <c r="AH75" i="4"/>
  <c r="AA79" i="4"/>
  <c r="AA77" i="4"/>
  <c r="AA75" i="4"/>
  <c r="AA146" i="4"/>
  <c r="AA144" i="4"/>
  <c r="AA142" i="4"/>
  <c r="AH146" i="4"/>
  <c r="AH144" i="4"/>
  <c r="AH142" i="4"/>
  <c r="AO146" i="4"/>
  <c r="AO144" i="4"/>
  <c r="AO142" i="4"/>
  <c r="AO214" i="4"/>
  <c r="AO212" i="4"/>
  <c r="AO210" i="4"/>
  <c r="AH214" i="4"/>
  <c r="AH212" i="4"/>
  <c r="AH210" i="4"/>
  <c r="AB212" i="4"/>
  <c r="AB214" i="4"/>
  <c r="F77" i="4"/>
  <c r="F79" i="4"/>
  <c r="AP80" i="4"/>
  <c r="AP78" i="4"/>
  <c r="AP76" i="4"/>
  <c r="AI80" i="4"/>
  <c r="AI78" i="4"/>
  <c r="AI76" i="4"/>
  <c r="AB80" i="4"/>
  <c r="AB78" i="4"/>
  <c r="AB76" i="4"/>
  <c r="AB147" i="4"/>
  <c r="AB145" i="4"/>
  <c r="AB143" i="4"/>
  <c r="AI147" i="4"/>
  <c r="AI145" i="4"/>
  <c r="AI143" i="4"/>
  <c r="AP147" i="4"/>
  <c r="AP145" i="4"/>
  <c r="AP143" i="4"/>
  <c r="AP215" i="4"/>
  <c r="AP213" i="4"/>
  <c r="AP211" i="4"/>
  <c r="AI215" i="4"/>
  <c r="AI213" i="4"/>
  <c r="AI211" i="4"/>
  <c r="AA211" i="4"/>
  <c r="AA213" i="4"/>
  <c r="AA215" i="4"/>
  <c r="E76" i="4"/>
  <c r="E78" i="4"/>
  <c r="E80" i="4"/>
  <c r="AO78" i="4"/>
  <c r="AH80" i="4"/>
  <c r="AH76" i="4"/>
  <c r="AA78" i="4"/>
  <c r="AA147" i="4"/>
  <c r="AA143" i="4"/>
  <c r="AH145" i="4"/>
  <c r="AO147" i="4"/>
  <c r="AO143" i="4"/>
  <c r="AO213" i="4"/>
  <c r="AH215" i="4"/>
  <c r="AH211" i="4"/>
  <c r="AB213" i="4"/>
  <c r="E79" i="4"/>
  <c r="AO209" i="4"/>
  <c r="AP206" i="4"/>
  <c r="AO205" i="4"/>
  <c r="AP202" i="4"/>
  <c r="AO201" i="4"/>
  <c r="AP198" i="4"/>
  <c r="AO197" i="4"/>
  <c r="AP194" i="4"/>
  <c r="AO193" i="4"/>
  <c r="AP190" i="4"/>
  <c r="AO189" i="4"/>
  <c r="AP186" i="4"/>
  <c r="AO185" i="4"/>
  <c r="AP182" i="4"/>
  <c r="AO181" i="4"/>
  <c r="AP178" i="4"/>
  <c r="AO177" i="4"/>
  <c r="AP174" i="4"/>
  <c r="AO173" i="4"/>
  <c r="AP170" i="4"/>
  <c r="AO169" i="4"/>
  <c r="AP166" i="4"/>
  <c r="AO165" i="4"/>
  <c r="AP162" i="4"/>
  <c r="AO161" i="4"/>
  <c r="AP158" i="4"/>
  <c r="AO157" i="4"/>
  <c r="AI208" i="4"/>
  <c r="AH207" i="4"/>
  <c r="AI204" i="4"/>
  <c r="AH203" i="4"/>
  <c r="AI200" i="4"/>
  <c r="AH199" i="4"/>
  <c r="AI196" i="4"/>
  <c r="AH195" i="4"/>
  <c r="AI192" i="4"/>
  <c r="AH191" i="4"/>
  <c r="AI188" i="4"/>
  <c r="AH187" i="4"/>
  <c r="AI184" i="4"/>
  <c r="AH183" i="4"/>
  <c r="AI180" i="4"/>
  <c r="AH179" i="4"/>
  <c r="AI176" i="4"/>
  <c r="AH175" i="4"/>
  <c r="AI172" i="4"/>
  <c r="AH171" i="4"/>
  <c r="AI168" i="4"/>
  <c r="AH167" i="4"/>
  <c r="AI164" i="4"/>
  <c r="AP77" i="4"/>
  <c r="AI79" i="4"/>
  <c r="AI75" i="4"/>
  <c r="AB77" i="4"/>
  <c r="AB146" i="4"/>
  <c r="AB142" i="4"/>
  <c r="AI144" i="4"/>
  <c r="AP146" i="4"/>
  <c r="AP142" i="4"/>
  <c r="AP212" i="4"/>
  <c r="AI214" i="4"/>
  <c r="AI210" i="4"/>
  <c r="AA214" i="4"/>
  <c r="F76" i="4"/>
  <c r="F80" i="4"/>
  <c r="AP207" i="4"/>
  <c r="AO206" i="4"/>
  <c r="AP203" i="4"/>
  <c r="AO202" i="4"/>
  <c r="AP199" i="4"/>
  <c r="AO198" i="4"/>
  <c r="AP195" i="4"/>
  <c r="AO194" i="4"/>
  <c r="AP191" i="4"/>
  <c r="AO190" i="4"/>
  <c r="AP187" i="4"/>
  <c r="AO186" i="4"/>
  <c r="AP183" i="4"/>
  <c r="AO182" i="4"/>
  <c r="AP179" i="4"/>
  <c r="AO178" i="4"/>
  <c r="AP175" i="4"/>
  <c r="AO174" i="4"/>
  <c r="AP171" i="4"/>
  <c r="AO170" i="4"/>
  <c r="AP167" i="4"/>
  <c r="AO166" i="4"/>
  <c r="AP163" i="4"/>
  <c r="AO162" i="4"/>
  <c r="AP159" i="4"/>
  <c r="AO158" i="4"/>
  <c r="AI209" i="4"/>
  <c r="AH208" i="4"/>
  <c r="AI205" i="4"/>
  <c r="AH204" i="4"/>
  <c r="AI201" i="4"/>
  <c r="AH200" i="4"/>
  <c r="AI197" i="4"/>
  <c r="AH196" i="4"/>
  <c r="AI193" i="4"/>
  <c r="AH192" i="4"/>
  <c r="AI189" i="4"/>
  <c r="AH188" i="4"/>
  <c r="AI185" i="4"/>
  <c r="AH184" i="4"/>
  <c r="AI181" i="4"/>
  <c r="AH180" i="4"/>
  <c r="AI177" i="4"/>
  <c r="AH176" i="4"/>
  <c r="AI173" i="4"/>
  <c r="AH172" i="4"/>
  <c r="AI169" i="4"/>
  <c r="AH168" i="4"/>
  <c r="AI165" i="4"/>
  <c r="AH164" i="4"/>
  <c r="AP79" i="4"/>
  <c r="AI77" i="4"/>
  <c r="AB75" i="4"/>
  <c r="AI146" i="4"/>
  <c r="AP144" i="4"/>
  <c r="AP210" i="4"/>
  <c r="AA212" i="4"/>
  <c r="E77" i="4"/>
  <c r="AO208" i="4"/>
  <c r="AO204" i="4"/>
  <c r="AO200" i="4"/>
  <c r="AO196" i="4"/>
  <c r="AO192" i="4"/>
  <c r="AO188" i="4"/>
  <c r="AO184" i="4"/>
  <c r="AO180" i="4"/>
  <c r="AO176" i="4"/>
  <c r="AO172" i="4"/>
  <c r="AO168" i="4"/>
  <c r="AO164" i="4"/>
  <c r="AO160" i="4"/>
  <c r="AO156" i="4"/>
  <c r="AH206" i="4"/>
  <c r="AH202" i="4"/>
  <c r="AH198" i="4"/>
  <c r="AH194" i="4"/>
  <c r="AH190" i="4"/>
  <c r="AH186" i="4"/>
  <c r="AH182" i="4"/>
  <c r="AH178" i="4"/>
  <c r="AH174" i="4"/>
  <c r="AH170" i="4"/>
  <c r="AH166" i="4"/>
  <c r="AI162" i="4"/>
  <c r="AH161" i="4"/>
  <c r="AI158" i="4"/>
  <c r="AH157" i="4"/>
  <c r="AA209" i="4"/>
  <c r="AB206" i="4"/>
  <c r="AA205" i="4"/>
  <c r="AB202" i="4"/>
  <c r="AA201" i="4"/>
  <c r="AB198" i="4"/>
  <c r="AA197" i="4"/>
  <c r="AB194" i="4"/>
  <c r="AA193" i="4"/>
  <c r="AB190" i="4"/>
  <c r="AA189" i="4"/>
  <c r="AB186" i="4"/>
  <c r="AA185" i="4"/>
  <c r="AB182" i="4"/>
  <c r="AA181" i="4"/>
  <c r="AB178" i="4"/>
  <c r="AA177" i="4"/>
  <c r="AB174" i="4"/>
  <c r="AA173" i="4"/>
  <c r="AB170" i="4"/>
  <c r="AA169" i="4"/>
  <c r="AB166" i="4"/>
  <c r="AA165" i="4"/>
  <c r="AB162" i="4"/>
  <c r="AA161" i="4"/>
  <c r="AB158" i="4"/>
  <c r="AA157" i="4"/>
  <c r="AO76" i="4"/>
  <c r="AA80" i="4"/>
  <c r="AA145" i="4"/>
  <c r="AH143" i="4"/>
  <c r="AO215" i="4"/>
  <c r="AH213" i="4"/>
  <c r="AB215" i="4"/>
  <c r="F78" i="4"/>
  <c r="AP209" i="4"/>
  <c r="AP205" i="4"/>
  <c r="AP201" i="4"/>
  <c r="AP197" i="4"/>
  <c r="AP193" i="4"/>
  <c r="AP189" i="4"/>
  <c r="AP185" i="4"/>
  <c r="AP181" i="4"/>
  <c r="AP177" i="4"/>
  <c r="AP173" i="4"/>
  <c r="AP169" i="4"/>
  <c r="AP165" i="4"/>
  <c r="AP161" i="4"/>
  <c r="AP157" i="4"/>
  <c r="AI207" i="4"/>
  <c r="AI203" i="4"/>
  <c r="AI199" i="4"/>
  <c r="AI195" i="4"/>
  <c r="AI191" i="4"/>
  <c r="AI187" i="4"/>
  <c r="AI183" i="4"/>
  <c r="AI179" i="4"/>
  <c r="AI175" i="4"/>
  <c r="AI171" i="4"/>
  <c r="AI167" i="4"/>
  <c r="AI163" i="4"/>
  <c r="AH162" i="4"/>
  <c r="AI159" i="4"/>
  <c r="AH158" i="4"/>
  <c r="AB210" i="4"/>
  <c r="AB207" i="4"/>
  <c r="AA206" i="4"/>
  <c r="AB203" i="4"/>
  <c r="AA202" i="4"/>
  <c r="AB199" i="4"/>
  <c r="AA198" i="4"/>
  <c r="AB195" i="4"/>
  <c r="AA194" i="4"/>
  <c r="AB191" i="4"/>
  <c r="AA190" i="4"/>
  <c r="AB187" i="4"/>
  <c r="AA186" i="4"/>
  <c r="AB183" i="4"/>
  <c r="AA182" i="4"/>
  <c r="AB179" i="4"/>
  <c r="AA178" i="4"/>
  <c r="AB175" i="4"/>
  <c r="AA174" i="4"/>
  <c r="AB171" i="4"/>
  <c r="AA170" i="4"/>
  <c r="AB167" i="4"/>
  <c r="AA166" i="4"/>
  <c r="AB163" i="4"/>
  <c r="AA162" i="4"/>
  <c r="AB159" i="4"/>
  <c r="AA158" i="4"/>
  <c r="AP139" i="4"/>
  <c r="AO138" i="4"/>
  <c r="AP135" i="4"/>
  <c r="AO134" i="4"/>
  <c r="AP131" i="4"/>
  <c r="AO130" i="4"/>
  <c r="AP127" i="4"/>
  <c r="AO126" i="4"/>
  <c r="AP123" i="4"/>
  <c r="AO122" i="4"/>
  <c r="AP119" i="4"/>
  <c r="AO118" i="4"/>
  <c r="AP115" i="4"/>
  <c r="AO114" i="4"/>
  <c r="AP111" i="4"/>
  <c r="AO110" i="4"/>
  <c r="AP107" i="4"/>
  <c r="AO106" i="4"/>
  <c r="AP75" i="4"/>
  <c r="AB79" i="4"/>
  <c r="AB144" i="4"/>
  <c r="AI142" i="4"/>
  <c r="AP214" i="4"/>
  <c r="AI212" i="4"/>
  <c r="AO207" i="4"/>
  <c r="AO203" i="4"/>
  <c r="AO199" i="4"/>
  <c r="AO195" i="4"/>
  <c r="AO191" i="4"/>
  <c r="AO187" i="4"/>
  <c r="AO183" i="4"/>
  <c r="AO179" i="4"/>
  <c r="AO175" i="4"/>
  <c r="AO171" i="4"/>
  <c r="AO167" i="4"/>
  <c r="AO163" i="4"/>
  <c r="AO159" i="4"/>
  <c r="AH209" i="4"/>
  <c r="AH205" i="4"/>
  <c r="AH201" i="4"/>
  <c r="AH197" i="4"/>
  <c r="AH193" i="4"/>
  <c r="AH189" i="4"/>
  <c r="AH185" i="4"/>
  <c r="AH181" i="4"/>
  <c r="AH177" i="4"/>
  <c r="AH173" i="4"/>
  <c r="AH169" i="4"/>
  <c r="AH165" i="4"/>
  <c r="AH163" i="4"/>
  <c r="AI160" i="4"/>
  <c r="AH159" i="4"/>
  <c r="AI156" i="4"/>
  <c r="AA210" i="4"/>
  <c r="AB208" i="4"/>
  <c r="AA207" i="4"/>
  <c r="AB204" i="4"/>
  <c r="AA203" i="4"/>
  <c r="AB200" i="4"/>
  <c r="AA199" i="4"/>
  <c r="AB196" i="4"/>
  <c r="AA195" i="4"/>
  <c r="AB192" i="4"/>
  <c r="AA191" i="4"/>
  <c r="AB188" i="4"/>
  <c r="AA187" i="4"/>
  <c r="AB184" i="4"/>
  <c r="AA183" i="4"/>
  <c r="AB180" i="4"/>
  <c r="AA179" i="4"/>
  <c r="AB176" i="4"/>
  <c r="AA175" i="4"/>
  <c r="AB172" i="4"/>
  <c r="AA171" i="4"/>
  <c r="AB168" i="4"/>
  <c r="AA167" i="4"/>
  <c r="AB164" i="4"/>
  <c r="AA163" i="4"/>
  <c r="AB160" i="4"/>
  <c r="AA159" i="4"/>
  <c r="AB156" i="4"/>
  <c r="AO80" i="4"/>
  <c r="AO145" i="4"/>
  <c r="AP208" i="4"/>
  <c r="AP192" i="4"/>
  <c r="AP176" i="4"/>
  <c r="AP160" i="4"/>
  <c r="AI198" i="4"/>
  <c r="AI182" i="4"/>
  <c r="AI166" i="4"/>
  <c r="AH160" i="4"/>
  <c r="AI157" i="4"/>
  <c r="AB209" i="4"/>
  <c r="AA204" i="4"/>
  <c r="AB201" i="4"/>
  <c r="AA196" i="4"/>
  <c r="AB193" i="4"/>
  <c r="AA188" i="4"/>
  <c r="AB185" i="4"/>
  <c r="AA180" i="4"/>
  <c r="AB177" i="4"/>
  <c r="AA172" i="4"/>
  <c r="AB169" i="4"/>
  <c r="AA164" i="4"/>
  <c r="AB161" i="4"/>
  <c r="AA156" i="4"/>
  <c r="AO141" i="4"/>
  <c r="AP136" i="4"/>
  <c r="AO133" i="4"/>
  <c r="AP128" i="4"/>
  <c r="AO125" i="4"/>
  <c r="AP120" i="4"/>
  <c r="AO117" i="4"/>
  <c r="AP112" i="4"/>
  <c r="AO109" i="4"/>
  <c r="AP104" i="4"/>
  <c r="AO103" i="4"/>
  <c r="AP100" i="4"/>
  <c r="AO99" i="4"/>
  <c r="AP96" i="4"/>
  <c r="AO95" i="4"/>
  <c r="AP92" i="4"/>
  <c r="AO91" i="4"/>
  <c r="AP88" i="4"/>
  <c r="AH141" i="4"/>
  <c r="AI138" i="4"/>
  <c r="AH137" i="4"/>
  <c r="AI134" i="4"/>
  <c r="AH133" i="4"/>
  <c r="AI130" i="4"/>
  <c r="AH129" i="4"/>
  <c r="AI126" i="4"/>
  <c r="AH125" i="4"/>
  <c r="AI122" i="4"/>
  <c r="AH121" i="4"/>
  <c r="AI118" i="4"/>
  <c r="AH117" i="4"/>
  <c r="AI114" i="4"/>
  <c r="AH113" i="4"/>
  <c r="AI110" i="4"/>
  <c r="AH109" i="4"/>
  <c r="AI106" i="4"/>
  <c r="AH105" i="4"/>
  <c r="AI102" i="4"/>
  <c r="AH101" i="4"/>
  <c r="AI98" i="4"/>
  <c r="AH97" i="4"/>
  <c r="AI94" i="4"/>
  <c r="AH93" i="4"/>
  <c r="AI90" i="4"/>
  <c r="AH89" i="4"/>
  <c r="AB140" i="4"/>
  <c r="AA139" i="4"/>
  <c r="AB136" i="4"/>
  <c r="AA135" i="4"/>
  <c r="AB132" i="4"/>
  <c r="AA131" i="4"/>
  <c r="AB128" i="4"/>
  <c r="AA127" i="4"/>
  <c r="AB124" i="4"/>
  <c r="AA123" i="4"/>
  <c r="AB120" i="4"/>
  <c r="AA119" i="4"/>
  <c r="AB116" i="4"/>
  <c r="AA115" i="4"/>
  <c r="AB112" i="4"/>
  <c r="AA111" i="4"/>
  <c r="AB108" i="4"/>
  <c r="AA107" i="4"/>
  <c r="AB104" i="4"/>
  <c r="AA103" i="4"/>
  <c r="AB100" i="4"/>
  <c r="AA99" i="4"/>
  <c r="AB96" i="4"/>
  <c r="AA95" i="4"/>
  <c r="AB92" i="4"/>
  <c r="AA91" i="4"/>
  <c r="AB88" i="4"/>
  <c r="AH78" i="4"/>
  <c r="AO211" i="4"/>
  <c r="AP204" i="4"/>
  <c r="AP188" i="4"/>
  <c r="AP172" i="4"/>
  <c r="AP156" i="4"/>
  <c r="AI194" i="4"/>
  <c r="AI178" i="4"/>
  <c r="AO139" i="4"/>
  <c r="AP137" i="4"/>
  <c r="AO136" i="4"/>
  <c r="AP134" i="4"/>
  <c r="AO131" i="4"/>
  <c r="AP129" i="4"/>
  <c r="AO128" i="4"/>
  <c r="AP126" i="4"/>
  <c r="AO123" i="4"/>
  <c r="AP121" i="4"/>
  <c r="AO120" i="4"/>
  <c r="AP118" i="4"/>
  <c r="AO115" i="4"/>
  <c r="AP113" i="4"/>
  <c r="AO112" i="4"/>
  <c r="AP110" i="4"/>
  <c r="AO107" i="4"/>
  <c r="AP105" i="4"/>
  <c r="AO104" i="4"/>
  <c r="AP101" i="4"/>
  <c r="AO100" i="4"/>
  <c r="AP97" i="4"/>
  <c r="AO96" i="4"/>
  <c r="AP93" i="4"/>
  <c r="AO92" i="4"/>
  <c r="AP89" i="4"/>
  <c r="AO88" i="4"/>
  <c r="AI139" i="4"/>
  <c r="AH138" i="4"/>
  <c r="AI135" i="4"/>
  <c r="AH134" i="4"/>
  <c r="AI131" i="4"/>
  <c r="AH130" i="4"/>
  <c r="AI127" i="4"/>
  <c r="AH126" i="4"/>
  <c r="AI123" i="4"/>
  <c r="AH122" i="4"/>
  <c r="AI119" i="4"/>
  <c r="AH118" i="4"/>
  <c r="AI115" i="4"/>
  <c r="AH114" i="4"/>
  <c r="AI111" i="4"/>
  <c r="AH110" i="4"/>
  <c r="AI107" i="4"/>
  <c r="AH106" i="4"/>
  <c r="AI103" i="4"/>
  <c r="AH102" i="4"/>
  <c r="AI99" i="4"/>
  <c r="AH98" i="4"/>
  <c r="AI95" i="4"/>
  <c r="AH94" i="4"/>
  <c r="AI91" i="4"/>
  <c r="AH90" i="4"/>
  <c r="AB141" i="4"/>
  <c r="AA140" i="4"/>
  <c r="AB137" i="4"/>
  <c r="AA136" i="4"/>
  <c r="AB133" i="4"/>
  <c r="AA132" i="4"/>
  <c r="AB129" i="4"/>
  <c r="AA128" i="4"/>
  <c r="AB125" i="4"/>
  <c r="AA124" i="4"/>
  <c r="AB121" i="4"/>
  <c r="AA120" i="4"/>
  <c r="AB117" i="4"/>
  <c r="AA116" i="4"/>
  <c r="AB113" i="4"/>
  <c r="AA112" i="4"/>
  <c r="AB109" i="4"/>
  <c r="AA108" i="4"/>
  <c r="AB105" i="4"/>
  <c r="AA104" i="4"/>
  <c r="AB101" i="4"/>
  <c r="AA100" i="4"/>
  <c r="AB97" i="4"/>
  <c r="AA96" i="4"/>
  <c r="AB93" i="4"/>
  <c r="AA92" i="4"/>
  <c r="AB89" i="4"/>
  <c r="AA88" i="4"/>
  <c r="AA76" i="4"/>
  <c r="AB211" i="4"/>
  <c r="AP200" i="4"/>
  <c r="AP184" i="4"/>
  <c r="AP168" i="4"/>
  <c r="AI206" i="4"/>
  <c r="AI190" i="4"/>
  <c r="AI174" i="4"/>
  <c r="AI161" i="4"/>
  <c r="AH156" i="4"/>
  <c r="AA208" i="4"/>
  <c r="AB205" i="4"/>
  <c r="AA200" i="4"/>
  <c r="AB197" i="4"/>
  <c r="AA192" i="4"/>
  <c r="AB189" i="4"/>
  <c r="AA184" i="4"/>
  <c r="AB181" i="4"/>
  <c r="AA176" i="4"/>
  <c r="AB173" i="4"/>
  <c r="AA168" i="4"/>
  <c r="AB165" i="4"/>
  <c r="AA160" i="4"/>
  <c r="AB157" i="4"/>
  <c r="AP140" i="4"/>
  <c r="AO137" i="4"/>
  <c r="AP132" i="4"/>
  <c r="AO129" i="4"/>
  <c r="AP124" i="4"/>
  <c r="AO121" i="4"/>
  <c r="AP116" i="4"/>
  <c r="AO113" i="4"/>
  <c r="AP108" i="4"/>
  <c r="AO105" i="4"/>
  <c r="AP102" i="4"/>
  <c r="AO101" i="4"/>
  <c r="AP98" i="4"/>
  <c r="AO97" i="4"/>
  <c r="AP94" i="4"/>
  <c r="AO93" i="4"/>
  <c r="AP90" i="4"/>
  <c r="AO89" i="4"/>
  <c r="AI140" i="4"/>
  <c r="AH139" i="4"/>
  <c r="AI136" i="4"/>
  <c r="AH135" i="4"/>
  <c r="AI132" i="4"/>
  <c r="AH131" i="4"/>
  <c r="AI128" i="4"/>
  <c r="AH127" i="4"/>
  <c r="AI124" i="4"/>
  <c r="AH123" i="4"/>
  <c r="AI120" i="4"/>
  <c r="AH119" i="4"/>
  <c r="AI116" i="4"/>
  <c r="AH115" i="4"/>
  <c r="AI112" i="4"/>
  <c r="AH111" i="4"/>
  <c r="AI108" i="4"/>
  <c r="AH107" i="4"/>
  <c r="AI104" i="4"/>
  <c r="AH103" i="4"/>
  <c r="AI100" i="4"/>
  <c r="AH99" i="4"/>
  <c r="AI96" i="4"/>
  <c r="AH95" i="4"/>
  <c r="AI92" i="4"/>
  <c r="AH91" i="4"/>
  <c r="AI88" i="4"/>
  <c r="AA141" i="4"/>
  <c r="AB138" i="4"/>
  <c r="AA137" i="4"/>
  <c r="AB134" i="4"/>
  <c r="AA133" i="4"/>
  <c r="AB130" i="4"/>
  <c r="AA129" i="4"/>
  <c r="AB126" i="4"/>
  <c r="AA125" i="4"/>
  <c r="AB122" i="4"/>
  <c r="AA121" i="4"/>
  <c r="AB118" i="4"/>
  <c r="AA117" i="4"/>
  <c r="AB114" i="4"/>
  <c r="AA113" i="4"/>
  <c r="AB110" i="4"/>
  <c r="AA109" i="4"/>
  <c r="AH147" i="4"/>
  <c r="AI202" i="4"/>
  <c r="AP138" i="4"/>
  <c r="AO135" i="4"/>
  <c r="AP130" i="4"/>
  <c r="AO127" i="4"/>
  <c r="AP122" i="4"/>
  <c r="AO119" i="4"/>
  <c r="AP114" i="4"/>
  <c r="AO111" i="4"/>
  <c r="AP106" i="4"/>
  <c r="AP103" i="4"/>
  <c r="AO98" i="4"/>
  <c r="AP95" i="4"/>
  <c r="AO90" i="4"/>
  <c r="AI141" i="4"/>
  <c r="AH136" i="4"/>
  <c r="AI133" i="4"/>
  <c r="AH128" i="4"/>
  <c r="AI125" i="4"/>
  <c r="AH120" i="4"/>
  <c r="AI117" i="4"/>
  <c r="AH112" i="4"/>
  <c r="AI109" i="4"/>
  <c r="AH104" i="4"/>
  <c r="AI101" i="4"/>
  <c r="AH96" i="4"/>
  <c r="AI93" i="4"/>
  <c r="AH88" i="4"/>
  <c r="AB139" i="4"/>
  <c r="AA134" i="4"/>
  <c r="AB131" i="4"/>
  <c r="AA126" i="4"/>
  <c r="AB123" i="4"/>
  <c r="AA118" i="4"/>
  <c r="AB115" i="4"/>
  <c r="AA110" i="4"/>
  <c r="AB107" i="4"/>
  <c r="AB103" i="4"/>
  <c r="AB99" i="4"/>
  <c r="AB95" i="4"/>
  <c r="AB91" i="4"/>
  <c r="AP72" i="4"/>
  <c r="AO71" i="4"/>
  <c r="AP68" i="4"/>
  <c r="AO67" i="4"/>
  <c r="AP64" i="4"/>
  <c r="AO63" i="4"/>
  <c r="AP60" i="4"/>
  <c r="AO59" i="4"/>
  <c r="AP56" i="4"/>
  <c r="AO55" i="4"/>
  <c r="AP52" i="4"/>
  <c r="AO51" i="4"/>
  <c r="AP48" i="4"/>
  <c r="AO47" i="4"/>
  <c r="AP44" i="4"/>
  <c r="AO43" i="4"/>
  <c r="AP40" i="4"/>
  <c r="AO39" i="4"/>
  <c r="AP36" i="4"/>
  <c r="AO35" i="4"/>
  <c r="AP32" i="4"/>
  <c r="AO31" i="4"/>
  <c r="AP28" i="4"/>
  <c r="AO27" i="4"/>
  <c r="AP24" i="4"/>
  <c r="AO23" i="4"/>
  <c r="AI74" i="4"/>
  <c r="AH73" i="4"/>
  <c r="AI70" i="4"/>
  <c r="AH69" i="4"/>
  <c r="AI66" i="4"/>
  <c r="AH65" i="4"/>
  <c r="AI62" i="4"/>
  <c r="AH61" i="4"/>
  <c r="AI58" i="4"/>
  <c r="AH57" i="4"/>
  <c r="AI54" i="4"/>
  <c r="AH53" i="4"/>
  <c r="AI50" i="4"/>
  <c r="AH49" i="4"/>
  <c r="AI46" i="4"/>
  <c r="AH45" i="4"/>
  <c r="AI42" i="4"/>
  <c r="AH41" i="4"/>
  <c r="AI38" i="4"/>
  <c r="AH37" i="4"/>
  <c r="AI34" i="4"/>
  <c r="AH33" i="4"/>
  <c r="AI30" i="4"/>
  <c r="AH29" i="4"/>
  <c r="AI26" i="4"/>
  <c r="AH25" i="4"/>
  <c r="AI22" i="4"/>
  <c r="AH21" i="4"/>
  <c r="AB72" i="4"/>
  <c r="AA71" i="4"/>
  <c r="AB68" i="4"/>
  <c r="AA67" i="4"/>
  <c r="AB64" i="4"/>
  <c r="AA63" i="4"/>
  <c r="AB60" i="4"/>
  <c r="AA59" i="4"/>
  <c r="AB56" i="4"/>
  <c r="AA55" i="4"/>
  <c r="AB52" i="4"/>
  <c r="AA51" i="4"/>
  <c r="AB48" i="4"/>
  <c r="AA47" i="4"/>
  <c r="AB44" i="4"/>
  <c r="AA43" i="4"/>
  <c r="AB40" i="4"/>
  <c r="AA39" i="4"/>
  <c r="AB36" i="4"/>
  <c r="AA35" i="4"/>
  <c r="AB32" i="4"/>
  <c r="AA31" i="4"/>
  <c r="AB28" i="4"/>
  <c r="AA27" i="4"/>
  <c r="AB24" i="4"/>
  <c r="AA23" i="4"/>
  <c r="AP196" i="4"/>
  <c r="AI186" i="4"/>
  <c r="AO140" i="4"/>
  <c r="AO132" i="4"/>
  <c r="AO124" i="4"/>
  <c r="AO116" i="4"/>
  <c r="AO108" i="4"/>
  <c r="AA105" i="4"/>
  <c r="AA101" i="4"/>
  <c r="AA97" i="4"/>
  <c r="AA93" i="4"/>
  <c r="AA89" i="4"/>
  <c r="AP73" i="4"/>
  <c r="AO72" i="4"/>
  <c r="AP69" i="4"/>
  <c r="AO68" i="4"/>
  <c r="AP65" i="4"/>
  <c r="AO64" i="4"/>
  <c r="AP61" i="4"/>
  <c r="AO60" i="4"/>
  <c r="AP57" i="4"/>
  <c r="AO56" i="4"/>
  <c r="AP53" i="4"/>
  <c r="AO52" i="4"/>
  <c r="AP49" i="4"/>
  <c r="AO48" i="4"/>
  <c r="AP45" i="4"/>
  <c r="AO44" i="4"/>
  <c r="AP41" i="4"/>
  <c r="AO40" i="4"/>
  <c r="AP37" i="4"/>
  <c r="AO36" i="4"/>
  <c r="AP33" i="4"/>
  <c r="AO32" i="4"/>
  <c r="AP29" i="4"/>
  <c r="AO28" i="4"/>
  <c r="AP25" i="4"/>
  <c r="AO24" i="4"/>
  <c r="AP21" i="4"/>
  <c r="AH74" i="4"/>
  <c r="AI71" i="4"/>
  <c r="AH70" i="4"/>
  <c r="AI67" i="4"/>
  <c r="AH66" i="4"/>
  <c r="AI63" i="4"/>
  <c r="AH62" i="4"/>
  <c r="AI59" i="4"/>
  <c r="AH58" i="4"/>
  <c r="AI55" i="4"/>
  <c r="AH54" i="4"/>
  <c r="AI51" i="4"/>
  <c r="AH50" i="4"/>
  <c r="AI47" i="4"/>
  <c r="AH46" i="4"/>
  <c r="AI43" i="4"/>
  <c r="AH42" i="4"/>
  <c r="AI39" i="4"/>
  <c r="AH38" i="4"/>
  <c r="AI35" i="4"/>
  <c r="AH34" i="4"/>
  <c r="AI31" i="4"/>
  <c r="AH30" i="4"/>
  <c r="AI27" i="4"/>
  <c r="AH26" i="4"/>
  <c r="AI23" i="4"/>
  <c r="AH22" i="4"/>
  <c r="AB73" i="4"/>
  <c r="AA72" i="4"/>
  <c r="AB69" i="4"/>
  <c r="AA68" i="4"/>
  <c r="AB65" i="4"/>
  <c r="AA64" i="4"/>
  <c r="AB61" i="4"/>
  <c r="AA60" i="4"/>
  <c r="AB57" i="4"/>
  <c r="AA56" i="4"/>
  <c r="AB53" i="4"/>
  <c r="AA52" i="4"/>
  <c r="AB49" i="4"/>
  <c r="AA48" i="4"/>
  <c r="AB45" i="4"/>
  <c r="AA44" i="4"/>
  <c r="AB41" i="4"/>
  <c r="AA40" i="4"/>
  <c r="AB37" i="4"/>
  <c r="AA36" i="4"/>
  <c r="AB33" i="4"/>
  <c r="AA32" i="4"/>
  <c r="AB29" i="4"/>
  <c r="AA28" i="4"/>
  <c r="AB25" i="4"/>
  <c r="AA24" i="4"/>
  <c r="AB21" i="4"/>
  <c r="AP180" i="4"/>
  <c r="AI170" i="4"/>
  <c r="AO102" i="4"/>
  <c r="AP99" i="4"/>
  <c r="AO94" i="4"/>
  <c r="AP91" i="4"/>
  <c r="AH140" i="4"/>
  <c r="AI137" i="4"/>
  <c r="AH132" i="4"/>
  <c r="AI129" i="4"/>
  <c r="AH124" i="4"/>
  <c r="AI121" i="4"/>
  <c r="AH116" i="4"/>
  <c r="AI113" i="4"/>
  <c r="AH108" i="4"/>
  <c r="AI105" i="4"/>
  <c r="AH100" i="4"/>
  <c r="AI97" i="4"/>
  <c r="AH92" i="4"/>
  <c r="AI89" i="4"/>
  <c r="AA138" i="4"/>
  <c r="AB135" i="4"/>
  <c r="AA130" i="4"/>
  <c r="AB127" i="4"/>
  <c r="AA122" i="4"/>
  <c r="AB119" i="4"/>
  <c r="AA114" i="4"/>
  <c r="AB111" i="4"/>
  <c r="AB106" i="4"/>
  <c r="AB102" i="4"/>
  <c r="AB98" i="4"/>
  <c r="AB94" i="4"/>
  <c r="AB90" i="4"/>
  <c r="AP74" i="4"/>
  <c r="AO73" i="4"/>
  <c r="AP70" i="4"/>
  <c r="AO69" i="4"/>
  <c r="AP66" i="4"/>
  <c r="AO65" i="4"/>
  <c r="AP62" i="4"/>
  <c r="AO61" i="4"/>
  <c r="AP58" i="4"/>
  <c r="AO57" i="4"/>
  <c r="AP54" i="4"/>
  <c r="AO53" i="4"/>
  <c r="AP50" i="4"/>
  <c r="AO49" i="4"/>
  <c r="AP46" i="4"/>
  <c r="AO45" i="4"/>
  <c r="AP42" i="4"/>
  <c r="AO41" i="4"/>
  <c r="AP38" i="4"/>
  <c r="AO37" i="4"/>
  <c r="AP34" i="4"/>
  <c r="AO33" i="4"/>
  <c r="AP30" i="4"/>
  <c r="AO29" i="4"/>
  <c r="AP26" i="4"/>
  <c r="AO25" i="4"/>
  <c r="AP22" i="4"/>
  <c r="AO21" i="4"/>
  <c r="AI72" i="4"/>
  <c r="AH71" i="4"/>
  <c r="AI68" i="4"/>
  <c r="AH67" i="4"/>
  <c r="AI64" i="4"/>
  <c r="AH63" i="4"/>
  <c r="AI60" i="4"/>
  <c r="AH59" i="4"/>
  <c r="AI56" i="4"/>
  <c r="AH55" i="4"/>
  <c r="AI52" i="4"/>
  <c r="AH51" i="4"/>
  <c r="AI48" i="4"/>
  <c r="AH47" i="4"/>
  <c r="AI44" i="4"/>
  <c r="AH43" i="4"/>
  <c r="AI40" i="4"/>
  <c r="AH39" i="4"/>
  <c r="AI36" i="4"/>
  <c r="AH35" i="4"/>
  <c r="AI32" i="4"/>
  <c r="AH31" i="4"/>
  <c r="AI28" i="4"/>
  <c r="AH27" i="4"/>
  <c r="AI24" i="4"/>
  <c r="AH23" i="4"/>
  <c r="AB74" i="4"/>
  <c r="AA73" i="4"/>
  <c r="AB70" i="4"/>
  <c r="AA69" i="4"/>
  <c r="AB66" i="4"/>
  <c r="AA65" i="4"/>
  <c r="AB62" i="4"/>
  <c r="AA61" i="4"/>
  <c r="AB58" i="4"/>
  <c r="AA57" i="4"/>
  <c r="AB54" i="4"/>
  <c r="AA53" i="4"/>
  <c r="AB50" i="4"/>
  <c r="AA49" i="4"/>
  <c r="AB46" i="4"/>
  <c r="AA45" i="4"/>
  <c r="AB42" i="4"/>
  <c r="AA41" i="4"/>
  <c r="AP125" i="4"/>
  <c r="AA98" i="4"/>
  <c r="AA37" i="4"/>
  <c r="AA33" i="4"/>
  <c r="AA29" i="4"/>
  <c r="AA25" i="4"/>
  <c r="AA21" i="4"/>
  <c r="F74" i="4"/>
  <c r="E73" i="4"/>
  <c r="F70" i="4"/>
  <c r="E69" i="4"/>
  <c r="F66" i="4"/>
  <c r="E65" i="4"/>
  <c r="F62" i="4"/>
  <c r="E61" i="4"/>
  <c r="F58" i="4"/>
  <c r="E57" i="4"/>
  <c r="F54" i="4"/>
  <c r="E53" i="4"/>
  <c r="F50" i="4"/>
  <c r="E49" i="4"/>
  <c r="F46" i="4"/>
  <c r="E45" i="4"/>
  <c r="F42" i="4"/>
  <c r="E41" i="4"/>
  <c r="F38" i="4"/>
  <c r="E37" i="4"/>
  <c r="F34" i="4"/>
  <c r="E33" i="4"/>
  <c r="F30" i="4"/>
  <c r="E29" i="4"/>
  <c r="F26" i="4"/>
  <c r="E25" i="4"/>
  <c r="F22" i="4"/>
  <c r="E21" i="4"/>
  <c r="AP117" i="4"/>
  <c r="AA94" i="4"/>
  <c r="AO74" i="4"/>
  <c r="AP71" i="4"/>
  <c r="AO66" i="4"/>
  <c r="AP63" i="4"/>
  <c r="AO58" i="4"/>
  <c r="AP55" i="4"/>
  <c r="AO50" i="4"/>
  <c r="AP47" i="4"/>
  <c r="AO42" i="4"/>
  <c r="AP39" i="4"/>
  <c r="AO34" i="4"/>
  <c r="AP31" i="4"/>
  <c r="AO26" i="4"/>
  <c r="AP23" i="4"/>
  <c r="AH72" i="4"/>
  <c r="AI69" i="4"/>
  <c r="AH64" i="4"/>
  <c r="AI61" i="4"/>
  <c r="AH56" i="4"/>
  <c r="AI53" i="4"/>
  <c r="AH48" i="4"/>
  <c r="AI45" i="4"/>
  <c r="AH40" i="4"/>
  <c r="AI37" i="4"/>
  <c r="AH32" i="4"/>
  <c r="AI29" i="4"/>
  <c r="AH24" i="4"/>
  <c r="AI21" i="4"/>
  <c r="AA70" i="4"/>
  <c r="AB67" i="4"/>
  <c r="AA62" i="4"/>
  <c r="AB59" i="4"/>
  <c r="AA54" i="4"/>
  <c r="AB51" i="4"/>
  <c r="AA46" i="4"/>
  <c r="AB43" i="4"/>
  <c r="AB38" i="4"/>
  <c r="AB34" i="4"/>
  <c r="AB30" i="4"/>
  <c r="AB26" i="4"/>
  <c r="AB22" i="4"/>
  <c r="F75" i="4"/>
  <c r="E74" i="4"/>
  <c r="F71" i="4"/>
  <c r="E70" i="4"/>
  <c r="F67" i="4"/>
  <c r="E66" i="4"/>
  <c r="F63" i="4"/>
  <c r="E62" i="4"/>
  <c r="F59" i="4"/>
  <c r="E58" i="4"/>
  <c r="F55" i="4"/>
  <c r="E54" i="4"/>
  <c r="F51" i="4"/>
  <c r="E50" i="4"/>
  <c r="F47" i="4"/>
  <c r="E46" i="4"/>
  <c r="F43" i="4"/>
  <c r="E42" i="4"/>
  <c r="F39" i="4"/>
  <c r="E38" i="4"/>
  <c r="F35" i="4"/>
  <c r="E34" i="4"/>
  <c r="F31" i="4"/>
  <c r="E30" i="4"/>
  <c r="F27" i="4"/>
  <c r="E26" i="4"/>
  <c r="F23" i="4"/>
  <c r="E22" i="4"/>
  <c r="AP141" i="4"/>
  <c r="AP109" i="4"/>
  <c r="AA106" i="4"/>
  <c r="AA90" i="4"/>
  <c r="AA38" i="4"/>
  <c r="AA34" i="4"/>
  <c r="AA30" i="4"/>
  <c r="AA26" i="4"/>
  <c r="AA22" i="4"/>
  <c r="E75" i="4"/>
  <c r="F72" i="4"/>
  <c r="E71" i="4"/>
  <c r="F68" i="4"/>
  <c r="E67" i="4"/>
  <c r="F64" i="4"/>
  <c r="E63" i="4"/>
  <c r="F60" i="4"/>
  <c r="E59" i="4"/>
  <c r="F56" i="4"/>
  <c r="E55" i="4"/>
  <c r="F52" i="4"/>
  <c r="E51" i="4"/>
  <c r="F48" i="4"/>
  <c r="E47" i="4"/>
  <c r="F44" i="4"/>
  <c r="E43" i="4"/>
  <c r="F40" i="4"/>
  <c r="E39" i="4"/>
  <c r="F36" i="4"/>
  <c r="E35" i="4"/>
  <c r="F32" i="4"/>
  <c r="E31" i="4"/>
  <c r="F28" i="4"/>
  <c r="E27" i="4"/>
  <c r="F24" i="4"/>
  <c r="AO70" i="4"/>
  <c r="AP67" i="4"/>
  <c r="AO54" i="4"/>
  <c r="AP51" i="4"/>
  <c r="AO38" i="4"/>
  <c r="AP35" i="4"/>
  <c r="AO22" i="4"/>
  <c r="AI73" i="4"/>
  <c r="AH60" i="4"/>
  <c r="AI57" i="4"/>
  <c r="AH44" i="4"/>
  <c r="AI41" i="4"/>
  <c r="AH28" i="4"/>
  <c r="AI25" i="4"/>
  <c r="AA66" i="4"/>
  <c r="AB63" i="4"/>
  <c r="AA50" i="4"/>
  <c r="AB47" i="4"/>
  <c r="AB31" i="4"/>
  <c r="E72" i="4"/>
  <c r="F69" i="4"/>
  <c r="E64" i="4"/>
  <c r="F61" i="4"/>
  <c r="E56" i="4"/>
  <c r="F53" i="4"/>
  <c r="E48" i="4"/>
  <c r="F45" i="4"/>
  <c r="E40" i="4"/>
  <c r="F37" i="4"/>
  <c r="E32" i="4"/>
  <c r="F29" i="4"/>
  <c r="E24" i="4"/>
  <c r="F21" i="4"/>
  <c r="AB27" i="4"/>
  <c r="AP164" i="4"/>
  <c r="AO62" i="4"/>
  <c r="AP59" i="4"/>
  <c r="AO46" i="4"/>
  <c r="AP43" i="4"/>
  <c r="AO30" i="4"/>
  <c r="AP27" i="4"/>
  <c r="AH68" i="4"/>
  <c r="AI65" i="4"/>
  <c r="AH52" i="4"/>
  <c r="AI49" i="4"/>
  <c r="AH36" i="4"/>
  <c r="AI33" i="4"/>
  <c r="AA74" i="4"/>
  <c r="AB71" i="4"/>
  <c r="AA58" i="4"/>
  <c r="AB55" i="4"/>
  <c r="AA42" i="4"/>
  <c r="AB39" i="4"/>
  <c r="AB23" i="4"/>
  <c r="F73" i="4"/>
  <c r="E68" i="4"/>
  <c r="F65" i="4"/>
  <c r="E60" i="4"/>
  <c r="F57" i="4"/>
  <c r="E52" i="4"/>
  <c r="F49" i="4"/>
  <c r="E44" i="4"/>
  <c r="F41" i="4"/>
  <c r="E36" i="4"/>
  <c r="F33" i="4"/>
  <c r="E28" i="4"/>
  <c r="F25" i="4"/>
  <c r="AP133" i="4"/>
  <c r="AA102" i="4"/>
  <c r="AB35" i="4"/>
  <c r="AJ10" i="1"/>
  <c r="AL10" i="1" s="1"/>
  <c r="AI10" i="1"/>
  <c r="AB16" i="1"/>
  <c r="AD16" i="1" s="1"/>
  <c r="AA16" i="1"/>
  <c r="AC16" i="1" s="1"/>
  <c r="AJ24" i="1"/>
  <c r="AL24" i="1" s="1"/>
  <c r="AI24" i="1"/>
  <c r="AK24" i="1" s="1"/>
  <c r="AJ32" i="1"/>
  <c r="AL32" i="1" s="1"/>
  <c r="AI32" i="1"/>
  <c r="AK32" i="1" s="1"/>
  <c r="AA33" i="1"/>
  <c r="AC33" i="1" s="1"/>
  <c r="AB33" i="1"/>
  <c r="AD33" i="1" s="1"/>
  <c r="AB8" i="1"/>
  <c r="AA8" i="1"/>
  <c r="AC31" i="1"/>
  <c r="AD23" i="1"/>
  <c r="AD12" i="1"/>
  <c r="AB17" i="1"/>
  <c r="AJ13" i="1"/>
  <c r="AB13" i="1"/>
  <c r="AK10" i="1"/>
  <c r="AC14" i="1"/>
  <c r="AJ7" i="1"/>
  <c r="AK11" i="1"/>
  <c r="Y23" i="5"/>
  <c r="U9" i="5"/>
  <c r="Y24" i="5"/>
  <c r="U10" i="5"/>
  <c r="U25" i="5"/>
  <c r="AA23" i="5"/>
  <c r="AK7" i="1"/>
  <c r="AJ12" i="1"/>
  <c r="AI12" i="1"/>
  <c r="AA19" i="5"/>
  <c r="K35" i="5"/>
  <c r="U35" i="5"/>
  <c r="AA33" i="5"/>
  <c r="Y11" i="5"/>
  <c r="K11" i="5"/>
  <c r="U30" i="5"/>
  <c r="AA28" i="5"/>
  <c r="Y26" i="5"/>
  <c r="U12" i="5"/>
  <c r="AI33" i="1"/>
  <c r="AK33" i="1" s="1"/>
  <c r="AJ33" i="1"/>
  <c r="AL33" i="1" s="1"/>
  <c r="AA15" i="5"/>
  <c r="K31" i="5"/>
  <c r="Y33" i="5"/>
  <c r="U19" i="5"/>
  <c r="AA17" i="5"/>
  <c r="K33" i="5"/>
  <c r="U34" i="5"/>
  <c r="AA32" i="5"/>
  <c r="U29" i="5"/>
  <c r="AA27" i="5"/>
  <c r="AA26" i="5"/>
  <c r="U28" i="5"/>
  <c r="AI27" i="1"/>
  <c r="AK27" i="1" s="1"/>
  <c r="AJ27" i="1"/>
  <c r="AL27" i="1" s="1"/>
  <c r="AA28" i="1"/>
  <c r="AC28" i="1" s="1"/>
  <c r="AB28" i="1"/>
  <c r="AD28" i="1" s="1"/>
  <c r="AC25" i="1"/>
  <c r="U10" i="1" s="1"/>
  <c r="Q34" i="1"/>
  <c r="AB25" i="1"/>
  <c r="AD25" i="1" s="1"/>
  <c r="Q33" i="1"/>
  <c r="Q35" i="1"/>
  <c r="AG13" i="1"/>
  <c r="AK13" i="1" s="1"/>
  <c r="AH13" i="1"/>
  <c r="AL13" i="1" s="1"/>
  <c r="AB7" i="1"/>
  <c r="AA7" i="1"/>
  <c r="AP44" i="3"/>
  <c r="AP46" i="3"/>
  <c r="AP48" i="3"/>
  <c r="AP50" i="3"/>
  <c r="AP52" i="3"/>
  <c r="AP54" i="3"/>
  <c r="AP56" i="3"/>
  <c r="AP58" i="3"/>
  <c r="AP60" i="3"/>
  <c r="AP62" i="3"/>
  <c r="AP64" i="3"/>
  <c r="AP66" i="3"/>
  <c r="AP68" i="3"/>
  <c r="AP70" i="3"/>
  <c r="AP72" i="3"/>
  <c r="AP74" i="3"/>
  <c r="AO43" i="3"/>
  <c r="AO45" i="3"/>
  <c r="AO47" i="3"/>
  <c r="AO49" i="3"/>
  <c r="AO51" i="3"/>
  <c r="AO53" i="3"/>
  <c r="AO55" i="3"/>
  <c r="AO57" i="3"/>
  <c r="AO59" i="3"/>
  <c r="AO61" i="3"/>
  <c r="AO63" i="3"/>
  <c r="AO65" i="3"/>
  <c r="AO67" i="3"/>
  <c r="AO69" i="3"/>
  <c r="AO71" i="3"/>
  <c r="AO73" i="3"/>
  <c r="AO75" i="3"/>
  <c r="AP42" i="3"/>
  <c r="AP43" i="3"/>
  <c r="AP45" i="3"/>
  <c r="AP47" i="3"/>
  <c r="AP49" i="3"/>
  <c r="AP51" i="3"/>
  <c r="AP53" i="3"/>
  <c r="AP55" i="3"/>
  <c r="AP57" i="3"/>
  <c r="AP59" i="3"/>
  <c r="AP61" i="3"/>
  <c r="AP63" i="3"/>
  <c r="AP65" i="3"/>
  <c r="AP67" i="3"/>
  <c r="AP69" i="3"/>
  <c r="AP71" i="3"/>
  <c r="AP73" i="3"/>
  <c r="AP75" i="3"/>
  <c r="AO42" i="3"/>
  <c r="AO48" i="3"/>
  <c r="AO56" i="3"/>
  <c r="AO64" i="3"/>
  <c r="AO72" i="3"/>
  <c r="AP40" i="3"/>
  <c r="AP38" i="3"/>
  <c r="AP36" i="3"/>
  <c r="AP34" i="3"/>
  <c r="AP32" i="3"/>
  <c r="AP30" i="3"/>
  <c r="AP28" i="3"/>
  <c r="AP26" i="3"/>
  <c r="AP24" i="3"/>
  <c r="AP22" i="3"/>
  <c r="AO33" i="3"/>
  <c r="AO27" i="3"/>
  <c r="AO21" i="3"/>
  <c r="AO50" i="3"/>
  <c r="AO58" i="3"/>
  <c r="AO66" i="3"/>
  <c r="AO74" i="3"/>
  <c r="AO40" i="3"/>
  <c r="AO38" i="3"/>
  <c r="AO36" i="3"/>
  <c r="AO34" i="3"/>
  <c r="AO32" i="3"/>
  <c r="AO30" i="3"/>
  <c r="AO28" i="3"/>
  <c r="AO26" i="3"/>
  <c r="AO24" i="3"/>
  <c r="AO22" i="3"/>
  <c r="AO46" i="3"/>
  <c r="AO62" i="3"/>
  <c r="AO37" i="3"/>
  <c r="AO29" i="3"/>
  <c r="AO25" i="3"/>
  <c r="AO44" i="3"/>
  <c r="AO52" i="3"/>
  <c r="AO60" i="3"/>
  <c r="AO68" i="3"/>
  <c r="AP41" i="3"/>
  <c r="AP39" i="3"/>
  <c r="AP37" i="3"/>
  <c r="AP35" i="3"/>
  <c r="AP33" i="3"/>
  <c r="AP31" i="3"/>
  <c r="AP29" i="3"/>
  <c r="AP27" i="3"/>
  <c r="AP25" i="3"/>
  <c r="AP23" i="3"/>
  <c r="AP21" i="3"/>
  <c r="AO54" i="3"/>
  <c r="AO70" i="3"/>
  <c r="AO41" i="3"/>
  <c r="AO39" i="3"/>
  <c r="AO35" i="3"/>
  <c r="AO31" i="3"/>
  <c r="AO23" i="3"/>
  <c r="AI46" i="3"/>
  <c r="AI50" i="3"/>
  <c r="AI54" i="3"/>
  <c r="AI58" i="3"/>
  <c r="AI62" i="3"/>
  <c r="AI66" i="3"/>
  <c r="AI70" i="3"/>
  <c r="AI74" i="3"/>
  <c r="AH45" i="3"/>
  <c r="AH49" i="3"/>
  <c r="AH53" i="3"/>
  <c r="AH57" i="3"/>
  <c r="AH61" i="3"/>
  <c r="AH65" i="3"/>
  <c r="AH69" i="3"/>
  <c r="AH73" i="3"/>
  <c r="AI42" i="3"/>
  <c r="AI43" i="3"/>
  <c r="AI47" i="3"/>
  <c r="AI51" i="3"/>
  <c r="AI55" i="3"/>
  <c r="AI59" i="3"/>
  <c r="AI63" i="3"/>
  <c r="AI67" i="3"/>
  <c r="AI71" i="3"/>
  <c r="AI75" i="3"/>
  <c r="AH46" i="3"/>
  <c r="AH50" i="3"/>
  <c r="AH54" i="3"/>
  <c r="AH58" i="3"/>
  <c r="AH62" i="3"/>
  <c r="AH66" i="3"/>
  <c r="AH70" i="3"/>
  <c r="AH74" i="3"/>
  <c r="AH42" i="3"/>
  <c r="AI44" i="3"/>
  <c r="AI48" i="3"/>
  <c r="AI52" i="3"/>
  <c r="AI56" i="3"/>
  <c r="AI60" i="3"/>
  <c r="AI64" i="3"/>
  <c r="AI68" i="3"/>
  <c r="AI72" i="3"/>
  <c r="AH43" i="3"/>
  <c r="AH47" i="3"/>
  <c r="AH51" i="3"/>
  <c r="AH55" i="3"/>
  <c r="AH59" i="3"/>
  <c r="AH63" i="3"/>
  <c r="AH67" i="3"/>
  <c r="AH71" i="3"/>
  <c r="AH75" i="3"/>
  <c r="AI45" i="3"/>
  <c r="AI61" i="3"/>
  <c r="AH44" i="3"/>
  <c r="AH60" i="3"/>
  <c r="AH40" i="3"/>
  <c r="AH38" i="3"/>
  <c r="AH36" i="3"/>
  <c r="AH34" i="3"/>
  <c r="AH32" i="3"/>
  <c r="AH30" i="3"/>
  <c r="AH28" i="3"/>
  <c r="AH26" i="3"/>
  <c r="AH24" i="3"/>
  <c r="AH22" i="3"/>
  <c r="AI32" i="3"/>
  <c r="AI30" i="3"/>
  <c r="AI26" i="3"/>
  <c r="AI49" i="3"/>
  <c r="AI65" i="3"/>
  <c r="AH48" i="3"/>
  <c r="AH64" i="3"/>
  <c r="AI41" i="3"/>
  <c r="AI39" i="3"/>
  <c r="AI37" i="3"/>
  <c r="AI35" i="3"/>
  <c r="AI33" i="3"/>
  <c r="AI31" i="3"/>
  <c r="AI29" i="3"/>
  <c r="AI27" i="3"/>
  <c r="AI25" i="3"/>
  <c r="AI23" i="3"/>
  <c r="AI21" i="3"/>
  <c r="AI73" i="3"/>
  <c r="AH72" i="3"/>
  <c r="AI34" i="3"/>
  <c r="AI28" i="3"/>
  <c r="AI24" i="3"/>
  <c r="AI53" i="3"/>
  <c r="AI69" i="3"/>
  <c r="AH52" i="3"/>
  <c r="AH68" i="3"/>
  <c r="AH41" i="3"/>
  <c r="AH39" i="3"/>
  <c r="AH37" i="3"/>
  <c r="AH35" i="3"/>
  <c r="AH33" i="3"/>
  <c r="AH31" i="3"/>
  <c r="AH29" i="3"/>
  <c r="AH27" i="3"/>
  <c r="AH25" i="3"/>
  <c r="AH23" i="3"/>
  <c r="AH21" i="3"/>
  <c r="AI57" i="3"/>
  <c r="AH56" i="3"/>
  <c r="AI40" i="3"/>
  <c r="AI38" i="3"/>
  <c r="AI36" i="3"/>
  <c r="AI22" i="3"/>
  <c r="AB26" i="1"/>
  <c r="AD26" i="1" s="1"/>
  <c r="AA26" i="1"/>
  <c r="AC26" i="1" s="1"/>
  <c r="AJ16" i="1"/>
  <c r="AI16" i="1"/>
  <c r="AK16" i="1" s="1"/>
  <c r="AJ8" i="1"/>
  <c r="AL8" i="1" s="1"/>
  <c r="AI8" i="1"/>
  <c r="AK8" i="1" s="1"/>
  <c r="AB10" i="1"/>
  <c r="AA10" i="1"/>
  <c r="AC10" i="1" s="1"/>
  <c r="AL25" i="1"/>
  <c r="Z9" i="1"/>
  <c r="G33" i="1"/>
  <c r="G34" i="1"/>
  <c r="G35" i="1"/>
  <c r="Y9" i="1"/>
  <c r="AJ26" i="1"/>
  <c r="AL26" i="1" s="1"/>
  <c r="AI26" i="1"/>
  <c r="AK26" i="1" s="1"/>
  <c r="AB27" i="1"/>
  <c r="AD27" i="1" s="1"/>
  <c r="AA27" i="1"/>
  <c r="AC27" i="1" s="1"/>
  <c r="AA24" i="1"/>
  <c r="AC24" i="1" s="1"/>
  <c r="AB24" i="1"/>
  <c r="AD24" i="1" s="1"/>
  <c r="Z13" i="1"/>
  <c r="AD13" i="1" s="1"/>
  <c r="Y13" i="1"/>
  <c r="AC13" i="1" s="1"/>
  <c r="AI17" i="1"/>
  <c r="AK17" i="1" s="1"/>
  <c r="AB14" i="1"/>
  <c r="AD14" i="1" s="1"/>
  <c r="AD15" i="1"/>
  <c r="AL16" i="1"/>
  <c r="AL12" i="1"/>
  <c r="AC8" i="1"/>
  <c r="AC17" i="1"/>
  <c r="AD11" i="1"/>
  <c r="AL14" i="1"/>
  <c r="Z7" i="1"/>
  <c r="AD7" i="1" s="1"/>
  <c r="U31" i="5"/>
  <c r="AA29" i="5"/>
  <c r="AA9" i="5"/>
  <c r="K25" i="5"/>
  <c r="AB32" i="1"/>
  <c r="AD32" i="1" s="1"/>
  <c r="AA32" i="1"/>
  <c r="AC32" i="1" s="1"/>
  <c r="AA29" i="1"/>
  <c r="AC29" i="1" s="1"/>
  <c r="AB29" i="1"/>
  <c r="AD29" i="1" s="1"/>
  <c r="Y27" i="5"/>
  <c r="U13" i="5"/>
  <c r="AA11" i="5"/>
  <c r="K27" i="5"/>
  <c r="U27" i="5"/>
  <c r="AA25" i="5"/>
  <c r="AA13" i="5"/>
  <c r="K29" i="5"/>
  <c r="Y30" i="5"/>
  <c r="U16" i="5"/>
  <c r="Y28" i="5"/>
  <c r="U14" i="5"/>
  <c r="U33" i="5"/>
  <c r="AA31" i="5"/>
  <c r="Y29" i="5"/>
  <c r="U15" i="5"/>
  <c r="AA10" i="5"/>
  <c r="K26" i="5"/>
  <c r="AA30" i="5"/>
  <c r="U32" i="5"/>
  <c r="Y13" i="5"/>
  <c r="K13" i="5"/>
  <c r="K12" i="5"/>
  <c r="AI30" i="1"/>
  <c r="AK30" i="1" s="1"/>
  <c r="AJ30" i="1"/>
  <c r="AL30" i="1" s="1"/>
  <c r="AB31" i="1"/>
  <c r="AD31" i="1" s="1"/>
  <c r="AA31" i="1"/>
  <c r="AG9" i="1"/>
  <c r="AK9" i="1" s="1"/>
  <c r="G89" i="1"/>
  <c r="G87" i="1"/>
  <c r="AH9" i="1"/>
  <c r="AL9" i="1" s="1"/>
  <c r="G88" i="1"/>
  <c r="AI23" i="1"/>
  <c r="AK23" i="1" s="1"/>
  <c r="AJ23" i="1"/>
  <c r="AL23" i="1" s="1"/>
  <c r="Q70" i="1"/>
  <c r="Q69" i="1"/>
  <c r="Q71" i="1"/>
  <c r="AJ15" i="1"/>
  <c r="AL15" i="1" s="1"/>
  <c r="AI15" i="1"/>
  <c r="AK15" i="1" s="1"/>
  <c r="H70" i="1"/>
  <c r="H69" i="1"/>
  <c r="H71" i="1"/>
  <c r="AB12" i="1"/>
  <c r="AA12" i="1"/>
  <c r="AC12" i="1" s="1"/>
  <c r="AI9" i="1"/>
  <c r="K15" i="5"/>
  <c r="AJ28" i="1"/>
  <c r="AL28" i="1" s="1"/>
  <c r="AI28" i="1"/>
  <c r="AK28" i="1" s="1"/>
  <c r="AB30" i="1"/>
  <c r="AD30" i="1" s="1"/>
  <c r="AA30" i="1"/>
  <c r="AC30" i="1" s="1"/>
  <c r="AH7" i="1"/>
  <c r="AB9" i="1"/>
  <c r="H34" i="1"/>
  <c r="AA9" i="1"/>
  <c r="H35" i="1"/>
  <c r="H33" i="1"/>
  <c r="K19" i="5"/>
  <c r="AC15" i="1"/>
  <c r="AD10" i="1"/>
  <c r="AK12" i="1"/>
  <c r="AD8" i="1"/>
  <c r="AD17" i="1"/>
  <c r="AC11" i="1"/>
  <c r="AK14" i="1"/>
  <c r="Y7" i="1"/>
  <c r="AC7" i="1" s="1"/>
  <c r="AC9" i="1" l="1"/>
  <c r="AD9" i="1"/>
  <c r="H12" i="3"/>
  <c r="H12" i="4"/>
  <c r="G12" i="4"/>
  <c r="I13" i="3"/>
  <c r="I14" i="3"/>
  <c r="AL7" i="1"/>
  <c r="H13" i="4"/>
  <c r="G13" i="4"/>
  <c r="G14" i="4"/>
  <c r="I14" i="4"/>
  <c r="H13" i="3"/>
  <c r="G13" i="3"/>
  <c r="I12" i="4"/>
  <c r="G12" i="3"/>
  <c r="I12" i="3"/>
  <c r="I13" i="4"/>
  <c r="H14" i="4"/>
  <c r="H14" i="3"/>
  <c r="G14" i="3"/>
  <c r="L8" i="4" l="1"/>
  <c r="M9" i="3"/>
  <c r="L9" i="3"/>
  <c r="M9" i="4"/>
  <c r="L9" i="4"/>
  <c r="M8" i="3"/>
  <c r="M10" i="3"/>
  <c r="L10" i="3"/>
  <c r="M8" i="4"/>
  <c r="M10" i="4"/>
  <c r="L1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6" authorId="0" shapeId="0" xr:uid="{00000000-0006-0000-0200-000001000000}">
      <text>
        <r>
          <rPr>
            <b/>
            <sz val="10"/>
            <color indexed="81"/>
            <rFont val="Calibri"/>
            <family val="2"/>
          </rPr>
          <t>Microsoft Office User:</t>
        </r>
        <r>
          <rPr>
            <sz val="10"/>
            <color indexed="81"/>
            <rFont val="Calibri"/>
            <family val="2"/>
          </rPr>
          <t xml:space="preserve">
Bi_f is average %ID/g after 7.5 h (=10x Bi t1/2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6" authorId="0" shapeId="0" xr:uid="{00000000-0006-0000-0300-000001000000}">
      <text>
        <r>
          <rPr>
            <b/>
            <sz val="10"/>
            <color indexed="81"/>
            <rFont val="Calibri"/>
            <family val="2"/>
          </rPr>
          <t>Microsoft Office User:</t>
        </r>
        <r>
          <rPr>
            <sz val="10"/>
            <color indexed="81"/>
            <rFont val="Calibri"/>
            <family val="2"/>
          </rPr>
          <t xml:space="preserve">
Bi_f is average %ID/g after 7.5 h (=10x Bi t1/2</t>
        </r>
      </text>
    </comment>
  </commentList>
</comments>
</file>

<file path=xl/sharedStrings.xml><?xml version="1.0" encoding="utf-8"?>
<sst xmlns="http://schemas.openxmlformats.org/spreadsheetml/2006/main" count="1064" uniqueCount="135">
  <si>
    <t>Date injection</t>
  </si>
  <si>
    <t>Date euthanesia</t>
  </si>
  <si>
    <t>Time p.i.</t>
  </si>
  <si>
    <t>Radionuclide</t>
  </si>
  <si>
    <t>Targeting agent</t>
  </si>
  <si>
    <t>Standards</t>
  </si>
  <si>
    <t>Standard 1</t>
  </si>
  <si>
    <t>Standard 2</t>
  </si>
  <si>
    <t>Standard 3</t>
  </si>
  <si>
    <t>Mean</t>
  </si>
  <si>
    <t>SD</t>
  </si>
  <si>
    <t>Mouse</t>
  </si>
  <si>
    <t>Tissue</t>
  </si>
  <si>
    <t>Empty (g)</t>
  </si>
  <si>
    <t>Full (g)</t>
  </si>
  <si>
    <t>Weight (g)</t>
  </si>
  <si>
    <t>Blood</t>
  </si>
  <si>
    <t>Muscle</t>
  </si>
  <si>
    <t xml:space="preserve">Tumour </t>
  </si>
  <si>
    <t>Lung</t>
  </si>
  <si>
    <t>Spleen</t>
  </si>
  <si>
    <t>Pancreas</t>
  </si>
  <si>
    <t>Kidney</t>
  </si>
  <si>
    <t>Liver</t>
  </si>
  <si>
    <t>Small intestine</t>
  </si>
  <si>
    <t>Bone</t>
  </si>
  <si>
    <t xml:space="preserve">Tumour/Muscle </t>
  </si>
  <si>
    <t>Tumour/Blood</t>
  </si>
  <si>
    <t>Tumour/Liver</t>
  </si>
  <si>
    <t>Bonemarrow</t>
  </si>
  <si>
    <t>Day 1</t>
  </si>
  <si>
    <t>Day 7</t>
  </si>
  <si>
    <t>day 1</t>
  </si>
  <si>
    <t>day 7</t>
  </si>
  <si>
    <t>Ac-PS</t>
  </si>
  <si>
    <t>Ac-DOTA</t>
  </si>
  <si>
    <t>Fr-221 (cpm)</t>
  </si>
  <si>
    <t>Bi-213 (cpm)</t>
  </si>
  <si>
    <t>Fr-221 (%ID/g)</t>
  </si>
  <si>
    <t>Bi-213 (%ID/g)</t>
  </si>
  <si>
    <t xml:space="preserve">day 1 </t>
  </si>
  <si>
    <t>stdev</t>
  </si>
  <si>
    <t>Ac-225</t>
  </si>
  <si>
    <t>STDEV</t>
  </si>
  <si>
    <t>Werkprotocol 2015-0071-130</t>
  </si>
  <si>
    <t>Therapeutic efficacy of Ac-225-labeled polymersomes after intratumoral injections</t>
  </si>
  <si>
    <t>1 day</t>
  </si>
  <si>
    <t>7 day</t>
  </si>
  <si>
    <t>average</t>
  </si>
  <si>
    <t>Fr-221</t>
  </si>
  <si>
    <t>Bi-213</t>
  </si>
  <si>
    <t>Mean (st Ac-PS)</t>
  </si>
  <si>
    <t>Stdev (st Ac-PS)</t>
  </si>
  <si>
    <t>Bi_i / Bi_f</t>
  </si>
  <si>
    <t>Mean (st Ac-DOTA)</t>
  </si>
  <si>
    <t>tumour</t>
  </si>
  <si>
    <t>std</t>
  </si>
  <si>
    <t>Stdev (st Ac-DOTA)</t>
  </si>
  <si>
    <t>mouse 1</t>
  </si>
  <si>
    <t>mouse 2</t>
  </si>
  <si>
    <t>mouse 3</t>
  </si>
  <si>
    <t>injection</t>
  </si>
  <si>
    <t>CO2</t>
  </si>
  <si>
    <t>mouse 4</t>
  </si>
  <si>
    <t>-</t>
  </si>
  <si>
    <t>mouse 5</t>
  </si>
  <si>
    <t>mouse 6</t>
  </si>
  <si>
    <t>weight (g)</t>
  </si>
  <si>
    <t>Kidneys</t>
  </si>
  <si>
    <t>est. t=0 - fitted using OriginPro ExpDec2 fit</t>
  </si>
  <si>
    <t>time</t>
  </si>
  <si>
    <t>t-t0 (h)</t>
  </si>
  <si>
    <t>Fr-221 (cmp)</t>
  </si>
  <si>
    <t>mouse 2 - blood</t>
  </si>
  <si>
    <t>mouse 2 - tumour</t>
  </si>
  <si>
    <t>mouse 2 - kidneys</t>
  </si>
  <si>
    <t>mouse 27 - blood</t>
  </si>
  <si>
    <t>mouse 18 - blood</t>
  </si>
  <si>
    <t>mouse 18 - tumour</t>
  </si>
  <si>
    <t>mouse 18 - kidneys</t>
  </si>
  <si>
    <t>mouse 27 - tumour</t>
  </si>
  <si>
    <t>mouse 27 - kidneys</t>
  </si>
  <si>
    <t>mouse 37 - blood</t>
  </si>
  <si>
    <t>mouse 37 - tumour</t>
  </si>
  <si>
    <t>mouse 37 - kidneys</t>
  </si>
  <si>
    <t>mouse 19 - blood</t>
  </si>
  <si>
    <t>mouse 19 - tumour</t>
  </si>
  <si>
    <t>mouse 19 - kidneys</t>
  </si>
  <si>
    <t>mouse 25 - blood</t>
  </si>
  <si>
    <t>mouse 25 - tumour</t>
  </si>
  <si>
    <t>mouse 25 - kidneys</t>
  </si>
  <si>
    <t>mouse 29 - blood</t>
  </si>
  <si>
    <t>mouse 29 - tumour</t>
  </si>
  <si>
    <t>mouse 29 - kidneys</t>
  </si>
  <si>
    <t>mouse 10 - blood</t>
  </si>
  <si>
    <t>mouse 10 - tumour</t>
  </si>
  <si>
    <t>mouse 10 - kidneys</t>
  </si>
  <si>
    <t>mouse 14 - blood</t>
  </si>
  <si>
    <t>mouse 14 - tumour</t>
  </si>
  <si>
    <t>mouse 14 - kidneys</t>
  </si>
  <si>
    <t>mouse 50 - blood</t>
  </si>
  <si>
    <t>mouse 50 - tumour</t>
  </si>
  <si>
    <t>mouse 50 - kidneys</t>
  </si>
  <si>
    <t>mouse 26 - blood</t>
  </si>
  <si>
    <t>mouse 26 - tumour</t>
  </si>
  <si>
    <t>mouse 26 - kidneys</t>
  </si>
  <si>
    <t>mouse 33 - blood</t>
  </si>
  <si>
    <t>mouse 33 - tumour</t>
  </si>
  <si>
    <t>mouse 33 - kidneys</t>
  </si>
  <si>
    <t>10 kBq Ac</t>
  </si>
  <si>
    <t>average 10 and 50 kBq</t>
  </si>
  <si>
    <t>uncertainty</t>
  </si>
  <si>
    <t>10 kBq PS - day 1</t>
  </si>
  <si>
    <t>50 kBq PS - day 1</t>
  </si>
  <si>
    <t>10 kBq PS - day 7</t>
  </si>
  <si>
    <t>50 kBq PS - day 7</t>
  </si>
  <si>
    <t>10 kBq DOTA - day 1</t>
  </si>
  <si>
    <t>10 kBq DOTA - day 7</t>
  </si>
  <si>
    <t>50 kBq DOTA - day 1</t>
  </si>
  <si>
    <t>50 kBq DOTA - day 7</t>
  </si>
  <si>
    <t>Ac-PS day 1</t>
  </si>
  <si>
    <t>Ac-PS day 7</t>
  </si>
  <si>
    <t>Ac-DOTA day 1</t>
  </si>
  <si>
    <t>Ac-DOTA day 7</t>
  </si>
  <si>
    <t>Tumour</t>
  </si>
  <si>
    <t>tumour/kidney</t>
  </si>
  <si>
    <t>factor</t>
  </si>
  <si>
    <t>NOTE: it’s a big mess, but I think its quite ok now. Initially, I apparently forgot to use the right weights here (in all cases) and therefore I had to sort of manually adjust the origin fits according to the new values. However, should be linear and seems to be ok. Didnt do the conversions for the DOTA stuff though since i wont be using that anyhow</t>
  </si>
  <si>
    <t>%ID/g</t>
  </si>
  <si>
    <t>blood</t>
  </si>
  <si>
    <t>kidney</t>
  </si>
  <si>
    <t>Bi(t=0)</t>
  </si>
  <si>
    <t>Bi(eq)</t>
  </si>
  <si>
    <t>R</t>
  </si>
  <si>
    <t>tumor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</si>
</sst>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 #,##0.00_-;_-* &quot;-&quot;??_-;_-@_-"/>
    <numFmt numFmtId="165" formatCode="[$-413]d/mmm/yy;@"/>
    <numFmt numFmtId="166" formatCode="0.0000"/>
    <numFmt numFmtId="167" formatCode="0.0"/>
    <numFmt numFmtId="168" formatCode="0.0%"/>
    <numFmt numFmtId="169" formatCode="d/mm/yyyy;@"/>
    <numFmt numFmtId="170" formatCode="_-* #,##0_-;\-* #,##0_-;_-* &quot;-&quot;??_-;_-@_-"/>
  </numFmts>
  <fonts count="12" x14ac:knownFonts="1">
    <font>
      <sz val="11"/>
      <color theme="1"/>
      <name val="Calibri"/>
      <family val="2"/>
      <scheme val="minor"/>
    </font>
    <font>
      <b/>
      <sz val="10"/>
      <color theme="1"/>
      <name val="Arial"/>
      <family val="2"/>
    </font>
    <font>
      <sz val="10"/>
      <name val="Arial"/>
      <family val="2"/>
    </font>
    <font>
      <b/>
      <sz val="10"/>
      <color indexed="8"/>
      <name val="Arial"/>
      <family val="2"/>
    </font>
    <font>
      <b/>
      <sz val="11"/>
      <color theme="1"/>
      <name val="Calibri"/>
      <family val="2"/>
      <scheme val="minor"/>
    </font>
    <font>
      <sz val="11"/>
      <color theme="1"/>
      <name val="Calibri"/>
      <family val="2"/>
      <scheme val="minor"/>
    </font>
    <font>
      <b/>
      <sz val="11"/>
      <color rgb="FF000000"/>
      <name val="Calibri"/>
      <family val="2"/>
      <scheme val="minor"/>
    </font>
    <font>
      <sz val="11"/>
      <color rgb="FF000000"/>
      <name val="Calibri"/>
      <family val="2"/>
      <scheme val="minor"/>
    </font>
    <font>
      <b/>
      <sz val="10"/>
      <color indexed="81"/>
      <name val="Calibri"/>
      <family val="2"/>
    </font>
    <font>
      <sz val="10"/>
      <color indexed="81"/>
      <name val="Calibri"/>
      <family val="2"/>
    </font>
    <font>
      <u/>
      <sz val="11"/>
      <color theme="10"/>
      <name val="Calibri"/>
      <family val="2"/>
      <scheme val="minor"/>
    </font>
    <font>
      <u/>
      <sz val="11"/>
      <color theme="11"/>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5" tint="0.39997558519241921"/>
        <bgColor indexed="64"/>
      </patternFill>
    </fill>
  </fills>
  <borders count="13">
    <border>
      <left/>
      <right/>
      <top/>
      <bottom/>
      <diagonal/>
    </border>
    <border>
      <left/>
      <right/>
      <top/>
      <bottom style="medium">
        <color auto="1"/>
      </bottom>
      <diagonal/>
    </border>
    <border>
      <left style="dashed">
        <color auto="1"/>
      </left>
      <right style="dashed">
        <color auto="1"/>
      </right>
      <top style="dashed">
        <color auto="1"/>
      </top>
      <bottom style="medium">
        <color auto="1"/>
      </bottom>
      <diagonal/>
    </border>
    <border>
      <left/>
      <right/>
      <top style="dashed">
        <color auto="1"/>
      </top>
      <bottom style="medium">
        <color auto="1"/>
      </bottom>
      <diagonal/>
    </border>
    <border>
      <left style="dashed">
        <color auto="1"/>
      </left>
      <right style="dashed">
        <color auto="1"/>
      </right>
      <top/>
      <bottom style="dashed">
        <color auto="1"/>
      </bottom>
      <diagonal/>
    </border>
    <border>
      <left style="dashed">
        <color auto="1"/>
      </left>
      <right style="dashed">
        <color auto="1"/>
      </right>
      <top style="dashed">
        <color auto="1"/>
      </top>
      <bottom style="dashed">
        <color auto="1"/>
      </bottom>
      <diagonal/>
    </border>
    <border>
      <left style="dashed">
        <color auto="1"/>
      </left>
      <right style="dashed">
        <color auto="1"/>
      </right>
      <top/>
      <bottom/>
      <diagonal/>
    </border>
    <border>
      <left style="dashed">
        <color auto="1"/>
      </left>
      <right style="dashed">
        <color auto="1"/>
      </right>
      <top style="dashed">
        <color auto="1"/>
      </top>
      <bottom/>
      <diagonal/>
    </border>
    <border>
      <left style="dashed">
        <color auto="1"/>
      </left>
      <right/>
      <top style="dashed">
        <color auto="1"/>
      </top>
      <bottom style="dashed">
        <color auto="1"/>
      </bottom>
      <diagonal/>
    </border>
    <border>
      <left style="dashed">
        <color auto="1"/>
      </left>
      <right/>
      <top/>
      <bottom style="dashed">
        <color auto="1"/>
      </bottom>
      <diagonal/>
    </border>
    <border>
      <left style="dashed">
        <color auto="1"/>
      </left>
      <right/>
      <top style="dashed">
        <color auto="1"/>
      </top>
      <bottom style="medium">
        <color auto="1"/>
      </bottom>
      <diagonal/>
    </border>
    <border>
      <left style="dashed">
        <color auto="1"/>
      </left>
      <right/>
      <top/>
      <bottom style="medium">
        <color auto="1"/>
      </bottom>
      <diagonal/>
    </border>
    <border>
      <left/>
      <right style="dashed">
        <color auto="1"/>
      </right>
      <top/>
      <bottom style="medium">
        <color auto="1"/>
      </bottom>
      <diagonal/>
    </border>
  </borders>
  <cellStyleXfs count="15">
    <xf numFmtId="0" fontId="0" fillId="0" borderId="0"/>
    <xf numFmtId="9" fontId="5" fillId="0" borderId="0" applyFont="0" applyFill="0" applyBorder="0" applyAlignment="0" applyProtection="0"/>
    <xf numFmtId="164" fontId="5"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77">
    <xf numFmtId="0" fontId="0" fillId="0" borderId="0" xfId="0"/>
    <xf numFmtId="0" fontId="1" fillId="0" borderId="0" xfId="0" applyFont="1"/>
    <xf numFmtId="0" fontId="0" fillId="0" borderId="0" xfId="0" applyBorder="1"/>
    <xf numFmtId="0" fontId="0" fillId="0" borderId="0" xfId="0" applyBorder="1" applyAlignment="1">
      <alignment horizontal="left"/>
    </xf>
    <xf numFmtId="0" fontId="1" fillId="0" borderId="0" xfId="0" applyFont="1" applyBorder="1"/>
    <xf numFmtId="0" fontId="1" fillId="0" borderId="0" xfId="0" applyFont="1" applyBorder="1" applyAlignment="1">
      <alignment horizontal="left"/>
    </xf>
    <xf numFmtId="165" fontId="0" fillId="0" borderId="0" xfId="0" applyNumberFormat="1" applyBorder="1"/>
    <xf numFmtId="166" fontId="0" fillId="0" borderId="0" xfId="0" applyNumberFormat="1" applyAlignment="1">
      <alignment horizontal="right"/>
    </xf>
    <xf numFmtId="166" fontId="0" fillId="0" borderId="0" xfId="0" applyNumberFormat="1" applyBorder="1" applyAlignment="1">
      <alignment horizontal="right"/>
    </xf>
    <xf numFmtId="0" fontId="0" fillId="0" borderId="0" xfId="0" applyBorder="1" applyAlignment="1">
      <alignment horizontal="right"/>
    </xf>
    <xf numFmtId="0" fontId="3" fillId="0" borderId="0" xfId="0" applyFont="1"/>
    <xf numFmtId="49" fontId="3" fillId="0" borderId="0" xfId="0" applyNumberFormat="1" applyFont="1" applyAlignment="1">
      <alignment horizontal="center"/>
    </xf>
    <xf numFmtId="1" fontId="0" fillId="0" borderId="0" xfId="0" applyNumberFormat="1" applyAlignment="1">
      <alignment horizontal="center"/>
    </xf>
    <xf numFmtId="1" fontId="0" fillId="0" borderId="1" xfId="0" applyNumberFormat="1" applyBorder="1" applyAlignment="1">
      <alignment horizontal="center"/>
    </xf>
    <xf numFmtId="0" fontId="0" fillId="0" borderId="2" xfId="0" applyBorder="1"/>
    <xf numFmtId="1" fontId="3" fillId="0" borderId="2" xfId="0" applyNumberFormat="1" applyFont="1" applyBorder="1"/>
    <xf numFmtId="0" fontId="3" fillId="0" borderId="3" xfId="0" applyFont="1" applyBorder="1"/>
    <xf numFmtId="0" fontId="3" fillId="0" borderId="2" xfId="0" applyFont="1" applyBorder="1"/>
    <xf numFmtId="0" fontId="0" fillId="0" borderId="4" xfId="0" applyBorder="1"/>
    <xf numFmtId="166" fontId="0" fillId="0" borderId="4" xfId="0" applyNumberFormat="1" applyBorder="1"/>
    <xf numFmtId="0" fontId="0" fillId="0" borderId="5" xfId="0" applyBorder="1"/>
    <xf numFmtId="166" fontId="0" fillId="0" borderId="5" xfId="0" applyNumberFormat="1" applyBorder="1"/>
    <xf numFmtId="2" fontId="0" fillId="0" borderId="5" xfId="0" applyNumberFormat="1" applyBorder="1"/>
    <xf numFmtId="166" fontId="0" fillId="0" borderId="6" xfId="0" applyNumberFormat="1" applyFill="1" applyBorder="1"/>
    <xf numFmtId="0" fontId="0" fillId="0" borderId="2" xfId="0" applyFill="1" applyBorder="1"/>
    <xf numFmtId="166" fontId="0" fillId="0" borderId="2" xfId="0" applyNumberFormat="1" applyBorder="1"/>
    <xf numFmtId="2" fontId="0" fillId="0" borderId="4" xfId="0" applyNumberFormat="1" applyBorder="1"/>
    <xf numFmtId="166" fontId="0" fillId="0" borderId="7" xfId="0" applyNumberFormat="1" applyBorder="1"/>
    <xf numFmtId="0" fontId="0" fillId="0" borderId="7" xfId="0" applyBorder="1"/>
    <xf numFmtId="2" fontId="0" fillId="0" borderId="7" xfId="0" applyNumberFormat="1" applyBorder="1"/>
    <xf numFmtId="0" fontId="0" fillId="0" borderId="8" xfId="0" applyBorder="1"/>
    <xf numFmtId="166" fontId="0" fillId="0" borderId="0" xfId="0" applyNumberFormat="1" applyBorder="1"/>
    <xf numFmtId="2" fontId="0" fillId="0" borderId="0" xfId="0" applyNumberFormat="1" applyBorder="1"/>
    <xf numFmtId="1" fontId="0" fillId="0" borderId="0" xfId="0" applyNumberFormat="1" applyBorder="1" applyAlignment="1">
      <alignment horizontal="center"/>
    </xf>
    <xf numFmtId="0" fontId="0" fillId="0" borderId="0" xfId="0" applyFill="1" applyBorder="1"/>
    <xf numFmtId="0" fontId="4" fillId="0" borderId="0" xfId="0" applyFont="1" applyBorder="1"/>
    <xf numFmtId="1" fontId="0" fillId="0" borderId="7" xfId="0" applyNumberFormat="1" applyBorder="1"/>
    <xf numFmtId="0" fontId="4" fillId="0" borderId="0" xfId="0" applyFont="1"/>
    <xf numFmtId="0" fontId="0" fillId="0" borderId="6" xfId="0" applyFill="1" applyBorder="1"/>
    <xf numFmtId="0" fontId="0" fillId="0" borderId="9" xfId="0" applyBorder="1"/>
    <xf numFmtId="22" fontId="0" fillId="0" borderId="0" xfId="0" applyNumberFormat="1"/>
    <xf numFmtId="2" fontId="0" fillId="0" borderId="8" xfId="0" applyNumberFormat="1" applyBorder="1"/>
    <xf numFmtId="2" fontId="0" fillId="0" borderId="10" xfId="0" applyNumberFormat="1" applyBorder="1"/>
    <xf numFmtId="49" fontId="3" fillId="0" borderId="0" xfId="0" applyNumberFormat="1" applyFont="1" applyBorder="1" applyAlignment="1">
      <alignment horizontal="center"/>
    </xf>
    <xf numFmtId="167" fontId="0" fillId="0" borderId="0" xfId="0" applyNumberFormat="1" applyBorder="1"/>
    <xf numFmtId="10" fontId="0" fillId="0" borderId="0" xfId="1" applyNumberFormat="1" applyFont="1" applyBorder="1"/>
    <xf numFmtId="168" fontId="0" fillId="0" borderId="0" xfId="1" applyNumberFormat="1" applyFont="1" applyBorder="1"/>
    <xf numFmtId="10" fontId="0" fillId="0" borderId="0" xfId="1" applyNumberFormat="1" applyFont="1"/>
    <xf numFmtId="9" fontId="0" fillId="0" borderId="0" xfId="1" applyFont="1" applyBorder="1"/>
    <xf numFmtId="2" fontId="0" fillId="0" borderId="0" xfId="1" applyNumberFormat="1" applyFont="1" applyBorder="1"/>
    <xf numFmtId="2" fontId="0" fillId="0" borderId="0" xfId="0" applyNumberFormat="1"/>
    <xf numFmtId="167" fontId="0" fillId="0" borderId="0" xfId="0" applyNumberFormat="1"/>
    <xf numFmtId="10" fontId="0" fillId="0" borderId="0" xfId="0" applyNumberFormat="1" applyBorder="1"/>
    <xf numFmtId="9" fontId="0" fillId="0" borderId="0" xfId="1" applyFont="1"/>
    <xf numFmtId="169" fontId="0" fillId="0" borderId="0" xfId="0" applyNumberFormat="1" applyBorder="1"/>
    <xf numFmtId="169" fontId="0" fillId="0" borderId="0" xfId="0" applyNumberFormat="1" applyAlignment="1">
      <alignment horizontal="right"/>
    </xf>
    <xf numFmtId="169" fontId="2" fillId="0" borderId="0" xfId="0" applyNumberFormat="1" applyFont="1" applyAlignment="1">
      <alignment horizontal="right"/>
    </xf>
    <xf numFmtId="164" fontId="0" fillId="0" borderId="0" xfId="2" applyFont="1"/>
    <xf numFmtId="22" fontId="0" fillId="0" borderId="0" xfId="0" applyNumberFormat="1" applyBorder="1"/>
    <xf numFmtId="22" fontId="4" fillId="0" borderId="0" xfId="0" applyNumberFormat="1" applyFont="1"/>
    <xf numFmtId="0" fontId="6" fillId="0" borderId="0" xfId="0" applyFont="1"/>
    <xf numFmtId="0" fontId="7" fillId="0" borderId="0" xfId="0" applyFont="1"/>
    <xf numFmtId="0" fontId="7" fillId="0" borderId="0" xfId="0" applyFont="1" applyBorder="1"/>
    <xf numFmtId="0" fontId="0" fillId="0" borderId="11" xfId="0" applyBorder="1"/>
    <xf numFmtId="0" fontId="0" fillId="0" borderId="12" xfId="0" applyBorder="1"/>
    <xf numFmtId="0" fontId="0" fillId="0" borderId="0" xfId="0" applyFill="1"/>
    <xf numFmtId="164" fontId="0" fillId="0" borderId="0" xfId="2" applyFont="1" applyFill="1"/>
    <xf numFmtId="22" fontId="0" fillId="0" borderId="0" xfId="0" applyNumberFormat="1" applyFill="1"/>
    <xf numFmtId="0" fontId="7" fillId="2" borderId="0" xfId="0" applyFont="1" applyFill="1"/>
    <xf numFmtId="170" fontId="0" fillId="0" borderId="0" xfId="2" applyNumberFormat="1" applyFont="1"/>
    <xf numFmtId="164" fontId="0" fillId="0" borderId="0" xfId="0" applyNumberFormat="1"/>
    <xf numFmtId="9" fontId="0" fillId="3" borderId="0" xfId="1" applyFont="1" applyFill="1"/>
    <xf numFmtId="164" fontId="0" fillId="3" borderId="0" xfId="2" applyFont="1" applyFill="1"/>
    <xf numFmtId="0" fontId="0" fillId="3" borderId="0" xfId="0" applyFill="1"/>
    <xf numFmtId="49" fontId="3" fillId="0" borderId="0" xfId="0" applyNumberFormat="1" applyFont="1" applyBorder="1" applyAlignment="1">
      <alignment horizontal="center"/>
    </xf>
    <xf numFmtId="49" fontId="3" fillId="0" borderId="0" xfId="0" applyNumberFormat="1" applyFont="1" applyAlignment="1">
      <alignment horizontal="center"/>
    </xf>
    <xf numFmtId="164" fontId="4" fillId="0" borderId="0" xfId="2" applyFont="1" applyAlignment="1">
      <alignment horizontal="center"/>
    </xf>
  </cellXfs>
  <cellStyles count="15">
    <cellStyle name="Comma" xfId="2" builtinId="3"/>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8.0636482939632506E-2"/>
          <c:y val="6.0185185185185203E-2"/>
          <c:w val="0.88325240594925603"/>
          <c:h val="0.77095417525598997"/>
        </c:manualLayout>
      </c:layout>
      <c:barChart>
        <c:barDir val="col"/>
        <c:grouping val="clustered"/>
        <c:varyColors val="0"/>
        <c:ser>
          <c:idx val="0"/>
          <c:order val="0"/>
          <c:tx>
            <c:strRef>
              <c:f>BioD!$Y$5</c:f>
              <c:strCache>
                <c:ptCount val="1"/>
                <c:pt idx="0">
                  <c:v>Ac-PS day 1</c:v>
                </c:pt>
              </c:strCache>
            </c:strRef>
          </c:tx>
          <c:spPr>
            <a:solidFill>
              <a:schemeClr val="dk1">
                <a:tint val="88500"/>
              </a:schemeClr>
            </a:solidFill>
            <a:ln>
              <a:noFill/>
            </a:ln>
            <a:effectLst/>
          </c:spPr>
          <c:invertIfNegative val="0"/>
          <c:errBars>
            <c:errBarType val="both"/>
            <c:errValType val="cust"/>
            <c:noEndCap val="0"/>
            <c:plus>
              <c:numRef>
                <c:f>BioD!$Z$7:$Z$17</c:f>
                <c:numCache>
                  <c:formatCode>General</c:formatCode>
                  <c:ptCount val="11"/>
                  <c:pt idx="0">
                    <c:v>3.0168353916685136E-2</c:v>
                  </c:pt>
                  <c:pt idx="1">
                    <c:v>4.0809366282873585</c:v>
                  </c:pt>
                  <c:pt idx="2">
                    <c:v>86.757933831939695</c:v>
                  </c:pt>
                  <c:pt idx="3">
                    <c:v>1.3360734303427225E-2</c:v>
                  </c:pt>
                  <c:pt idx="4">
                    <c:v>1.6876947902197919</c:v>
                  </c:pt>
                  <c:pt idx="5">
                    <c:v>2.7453913941606324E-2</c:v>
                  </c:pt>
                  <c:pt idx="6">
                    <c:v>0.15504449122198524</c:v>
                  </c:pt>
                  <c:pt idx="7">
                    <c:v>0.1873050208366015</c:v>
                  </c:pt>
                  <c:pt idx="8">
                    <c:v>8.6204536992454076E-2</c:v>
                  </c:pt>
                  <c:pt idx="9">
                    <c:v>0.36977695763537893</c:v>
                  </c:pt>
                  <c:pt idx="10">
                    <c:v>7.9284274234531382E-2</c:v>
                  </c:pt>
                </c:numCache>
              </c:numRef>
            </c:plus>
            <c:minus>
              <c:numRef>
                <c:f>BioD!$Z$7:$Z$17</c:f>
                <c:numCache>
                  <c:formatCode>General</c:formatCode>
                  <c:ptCount val="11"/>
                  <c:pt idx="0">
                    <c:v>3.0168353916685136E-2</c:v>
                  </c:pt>
                  <c:pt idx="1">
                    <c:v>4.0809366282873585</c:v>
                  </c:pt>
                  <c:pt idx="2">
                    <c:v>86.757933831939695</c:v>
                  </c:pt>
                  <c:pt idx="3">
                    <c:v>1.3360734303427225E-2</c:v>
                  </c:pt>
                  <c:pt idx="4">
                    <c:v>1.6876947902197919</c:v>
                  </c:pt>
                  <c:pt idx="5">
                    <c:v>2.7453913941606324E-2</c:v>
                  </c:pt>
                  <c:pt idx="6">
                    <c:v>0.15504449122198524</c:v>
                  </c:pt>
                  <c:pt idx="7">
                    <c:v>0.1873050208366015</c:v>
                  </c:pt>
                  <c:pt idx="8">
                    <c:v>8.6204536992454076E-2</c:v>
                  </c:pt>
                  <c:pt idx="9">
                    <c:v>0.36977695763537893</c:v>
                  </c:pt>
                  <c:pt idx="10">
                    <c:v>7.9284274234531382E-2</c:v>
                  </c:pt>
                </c:numCache>
              </c:numRef>
            </c:minus>
            <c:spPr>
              <a:noFill/>
              <a:ln w="9525" cap="flat" cmpd="sng" algn="ctr">
                <a:solidFill>
                  <a:schemeClr val="tx1">
                    <a:lumMod val="65000"/>
                    <a:lumOff val="35000"/>
                  </a:schemeClr>
                </a:solidFill>
                <a:round/>
              </a:ln>
              <a:effectLst/>
            </c:spPr>
          </c:errBars>
          <c:cat>
            <c:strRef>
              <c:f>BioD!$X$23:$X$33</c:f>
              <c:strCache>
                <c:ptCount val="11"/>
                <c:pt idx="0">
                  <c:v>Blood</c:v>
                </c:pt>
                <c:pt idx="1">
                  <c:v>Muscle</c:v>
                </c:pt>
                <c:pt idx="2">
                  <c:v>Tumour </c:v>
                </c:pt>
                <c:pt idx="3">
                  <c:v>Lung</c:v>
                </c:pt>
                <c:pt idx="4">
                  <c:v>Spleen</c:v>
                </c:pt>
                <c:pt idx="5">
                  <c:v>Pancreas</c:v>
                </c:pt>
                <c:pt idx="6">
                  <c:v>Kidney</c:v>
                </c:pt>
                <c:pt idx="7">
                  <c:v>Liver</c:v>
                </c:pt>
                <c:pt idx="8">
                  <c:v>Small intestine</c:v>
                </c:pt>
                <c:pt idx="9">
                  <c:v>Bonemarrow</c:v>
                </c:pt>
                <c:pt idx="10">
                  <c:v>Bone</c:v>
                </c:pt>
              </c:strCache>
            </c:strRef>
          </c:cat>
          <c:val>
            <c:numRef>
              <c:f>BioD!$Y$7:$Y$17</c:f>
              <c:numCache>
                <c:formatCode>0.00</c:formatCode>
                <c:ptCount val="11"/>
                <c:pt idx="0">
                  <c:v>4.9066224637089768E-2</c:v>
                </c:pt>
                <c:pt idx="1">
                  <c:v>4.3727148099351982</c:v>
                </c:pt>
                <c:pt idx="2">
                  <c:v>201.19178777112393</c:v>
                </c:pt>
                <c:pt idx="3">
                  <c:v>0.25499447549314586</c:v>
                </c:pt>
                <c:pt idx="4">
                  <c:v>3.7642771795599472</c:v>
                </c:pt>
                <c:pt idx="5">
                  <c:v>0.14013253035926035</c:v>
                </c:pt>
                <c:pt idx="6">
                  <c:v>0.85655286777486894</c:v>
                </c:pt>
                <c:pt idx="7">
                  <c:v>7.8203678656949442</c:v>
                </c:pt>
                <c:pt idx="8">
                  <c:v>0.26984726430175865</c:v>
                </c:pt>
                <c:pt idx="9">
                  <c:v>0.47893163148867829</c:v>
                </c:pt>
                <c:pt idx="10">
                  <c:v>1.4497130197277694</c:v>
                </c:pt>
              </c:numCache>
            </c:numRef>
          </c:val>
          <c:extLst>
            <c:ext xmlns:c16="http://schemas.microsoft.com/office/drawing/2014/chart" uri="{C3380CC4-5D6E-409C-BE32-E72D297353CC}">
              <c16:uniqueId val="{00000000-24EA-6449-8D2F-04D319E75C64}"/>
            </c:ext>
          </c:extLst>
        </c:ser>
        <c:ser>
          <c:idx val="2"/>
          <c:order val="1"/>
          <c:tx>
            <c:strRef>
              <c:f>BioD!$Y$21</c:f>
              <c:strCache>
                <c:ptCount val="1"/>
                <c:pt idx="0">
                  <c:v>Ac-PS day 7</c:v>
                </c:pt>
              </c:strCache>
            </c:strRef>
          </c:tx>
          <c:spPr>
            <a:solidFill>
              <a:schemeClr val="dk1">
                <a:tint val="75000"/>
              </a:schemeClr>
            </a:solidFill>
            <a:ln>
              <a:noFill/>
            </a:ln>
            <a:effectLst/>
          </c:spPr>
          <c:invertIfNegative val="0"/>
          <c:errBars>
            <c:errBarType val="both"/>
            <c:errValType val="cust"/>
            <c:noEndCap val="0"/>
            <c:plus>
              <c:numRef>
                <c:f>BioD!$Z$23:$Z$33</c:f>
                <c:numCache>
                  <c:formatCode>General</c:formatCode>
                  <c:ptCount val="11"/>
                  <c:pt idx="0">
                    <c:v>2.8247900125367969E-3</c:v>
                  </c:pt>
                  <c:pt idx="1">
                    <c:v>2.9297753675677173E-2</c:v>
                  </c:pt>
                  <c:pt idx="2">
                    <c:v>224.12717472849405</c:v>
                  </c:pt>
                  <c:pt idx="3">
                    <c:v>4.4048857677332957E-2</c:v>
                  </c:pt>
                  <c:pt idx="4">
                    <c:v>4.3681243514494001</c:v>
                  </c:pt>
                  <c:pt idx="5">
                    <c:v>0.12496080140263113</c:v>
                  </c:pt>
                  <c:pt idx="6">
                    <c:v>0.47914497395971711</c:v>
                  </c:pt>
                  <c:pt idx="7">
                    <c:v>1.4734420186712718</c:v>
                  </c:pt>
                  <c:pt idx="8">
                    <c:v>5.8438784295522024E-2</c:v>
                  </c:pt>
                  <c:pt idx="9">
                    <c:v>0.25420342068901353</c:v>
                  </c:pt>
                  <c:pt idx="10">
                    <c:v>1.0675123353438549</c:v>
                  </c:pt>
                </c:numCache>
              </c:numRef>
            </c:plus>
            <c:minus>
              <c:numRef>
                <c:f>BioD!$Z$23:$Z$33</c:f>
                <c:numCache>
                  <c:formatCode>General</c:formatCode>
                  <c:ptCount val="11"/>
                  <c:pt idx="0">
                    <c:v>2.8247900125367969E-3</c:v>
                  </c:pt>
                  <c:pt idx="1">
                    <c:v>2.9297753675677173E-2</c:v>
                  </c:pt>
                  <c:pt idx="2">
                    <c:v>224.12717472849405</c:v>
                  </c:pt>
                  <c:pt idx="3">
                    <c:v>4.4048857677332957E-2</c:v>
                  </c:pt>
                  <c:pt idx="4">
                    <c:v>4.3681243514494001</c:v>
                  </c:pt>
                  <c:pt idx="5">
                    <c:v>0.12496080140263113</c:v>
                  </c:pt>
                  <c:pt idx="6">
                    <c:v>0.47914497395971711</c:v>
                  </c:pt>
                  <c:pt idx="7">
                    <c:v>1.4734420186712718</c:v>
                  </c:pt>
                  <c:pt idx="8">
                    <c:v>5.8438784295522024E-2</c:v>
                  </c:pt>
                  <c:pt idx="9">
                    <c:v>0.25420342068901353</c:v>
                  </c:pt>
                  <c:pt idx="10">
                    <c:v>1.0675123353438549</c:v>
                  </c:pt>
                </c:numCache>
              </c:numRef>
            </c:minus>
            <c:spPr>
              <a:noFill/>
              <a:ln w="9525" cap="flat" cmpd="sng" algn="ctr">
                <a:solidFill>
                  <a:schemeClr val="tx1">
                    <a:lumMod val="65000"/>
                    <a:lumOff val="35000"/>
                  </a:schemeClr>
                </a:solidFill>
                <a:round/>
              </a:ln>
              <a:effectLst/>
            </c:spPr>
          </c:errBars>
          <c:cat>
            <c:strRef>
              <c:f>BioD!$X$23:$X$33</c:f>
              <c:strCache>
                <c:ptCount val="11"/>
                <c:pt idx="0">
                  <c:v>Blood</c:v>
                </c:pt>
                <c:pt idx="1">
                  <c:v>Muscle</c:v>
                </c:pt>
                <c:pt idx="2">
                  <c:v>Tumour </c:v>
                </c:pt>
                <c:pt idx="3">
                  <c:v>Lung</c:v>
                </c:pt>
                <c:pt idx="4">
                  <c:v>Spleen</c:v>
                </c:pt>
                <c:pt idx="5">
                  <c:v>Pancreas</c:v>
                </c:pt>
                <c:pt idx="6">
                  <c:v>Kidney</c:v>
                </c:pt>
                <c:pt idx="7">
                  <c:v>Liver</c:v>
                </c:pt>
                <c:pt idx="8">
                  <c:v>Small intestine</c:v>
                </c:pt>
                <c:pt idx="9">
                  <c:v>Bonemarrow</c:v>
                </c:pt>
                <c:pt idx="10">
                  <c:v>Bone</c:v>
                </c:pt>
              </c:strCache>
            </c:strRef>
          </c:cat>
          <c:val>
            <c:numRef>
              <c:f>BioD!$Y$23:$Y$33</c:f>
              <c:numCache>
                <c:formatCode>0.00</c:formatCode>
                <c:ptCount val="11"/>
                <c:pt idx="0">
                  <c:v>1.6308932741422859E-3</c:v>
                </c:pt>
                <c:pt idx="1">
                  <c:v>2.1198221388085317E-2</c:v>
                </c:pt>
                <c:pt idx="2">
                  <c:v>257.19114766310076</c:v>
                </c:pt>
                <c:pt idx="3">
                  <c:v>0.27857147978586067</c:v>
                </c:pt>
                <c:pt idx="4">
                  <c:v>12.633503927467908</c:v>
                </c:pt>
                <c:pt idx="5">
                  <c:v>0.20812923471997127</c:v>
                </c:pt>
                <c:pt idx="6">
                  <c:v>0.80178909750433114</c:v>
                </c:pt>
                <c:pt idx="7">
                  <c:v>13.300159150513215</c:v>
                </c:pt>
                <c:pt idx="8">
                  <c:v>0.15386856894173051</c:v>
                </c:pt>
                <c:pt idx="9">
                  <c:v>0.28540279824951759</c:v>
                </c:pt>
                <c:pt idx="10">
                  <c:v>2.2363124984457019</c:v>
                </c:pt>
              </c:numCache>
            </c:numRef>
          </c:val>
          <c:extLst>
            <c:ext xmlns:c16="http://schemas.microsoft.com/office/drawing/2014/chart" uri="{C3380CC4-5D6E-409C-BE32-E72D297353CC}">
              <c16:uniqueId val="{00000001-24EA-6449-8D2F-04D319E75C64}"/>
            </c:ext>
          </c:extLst>
        </c:ser>
        <c:ser>
          <c:idx val="1"/>
          <c:order val="2"/>
          <c:tx>
            <c:strRef>
              <c:f>BioD!$AG$5</c:f>
              <c:strCache>
                <c:ptCount val="1"/>
                <c:pt idx="0">
                  <c:v>Ac-DOTA day 1</c:v>
                </c:pt>
              </c:strCache>
            </c:strRef>
          </c:tx>
          <c:spPr>
            <a:solidFill>
              <a:schemeClr val="dk1">
                <a:tint val="55000"/>
              </a:schemeClr>
            </a:solidFill>
            <a:ln>
              <a:noFill/>
            </a:ln>
            <a:effectLst/>
          </c:spPr>
          <c:invertIfNegative val="0"/>
          <c:errBars>
            <c:errBarType val="both"/>
            <c:errValType val="cust"/>
            <c:noEndCap val="0"/>
            <c:plus>
              <c:numRef>
                <c:f>BioD!$AH$7:$AH$17</c:f>
                <c:numCache>
                  <c:formatCode>General</c:formatCode>
                  <c:ptCount val="11"/>
                  <c:pt idx="0">
                    <c:v>7.889525425849319E-3</c:v>
                  </c:pt>
                  <c:pt idx="1">
                    <c:v>1.7478055619530895E-2</c:v>
                  </c:pt>
                  <c:pt idx="2">
                    <c:v>2.8750602394063325</c:v>
                  </c:pt>
                  <c:pt idx="3">
                    <c:v>2.5203266737160005E-2</c:v>
                  </c:pt>
                  <c:pt idx="4">
                    <c:v>2.0994506406229036E-2</c:v>
                  </c:pt>
                  <c:pt idx="5">
                    <c:v>2.2738095692327973E-2</c:v>
                  </c:pt>
                  <c:pt idx="6">
                    <c:v>0.15956822617714084</c:v>
                  </c:pt>
                  <c:pt idx="7">
                    <c:v>6.9295552596307083E-2</c:v>
                  </c:pt>
                  <c:pt idx="8">
                    <c:v>2.5910551820291585E-2</c:v>
                  </c:pt>
                  <c:pt idx="9">
                    <c:v>9.4487708424059208E-2</c:v>
                  </c:pt>
                  <c:pt idx="10">
                    <c:v>2.541048071884585E-2</c:v>
                  </c:pt>
                </c:numCache>
              </c:numRef>
            </c:plus>
            <c:minus>
              <c:numRef>
                <c:f>BioD!$AH$7:$AH$17</c:f>
                <c:numCache>
                  <c:formatCode>General</c:formatCode>
                  <c:ptCount val="11"/>
                  <c:pt idx="0">
                    <c:v>7.889525425849319E-3</c:v>
                  </c:pt>
                  <c:pt idx="1">
                    <c:v>1.7478055619530895E-2</c:v>
                  </c:pt>
                  <c:pt idx="2">
                    <c:v>2.8750602394063325</c:v>
                  </c:pt>
                  <c:pt idx="3">
                    <c:v>2.5203266737160005E-2</c:v>
                  </c:pt>
                  <c:pt idx="4">
                    <c:v>2.0994506406229036E-2</c:v>
                  </c:pt>
                  <c:pt idx="5">
                    <c:v>2.2738095692327973E-2</c:v>
                  </c:pt>
                  <c:pt idx="6">
                    <c:v>0.15956822617714084</c:v>
                  </c:pt>
                  <c:pt idx="7">
                    <c:v>6.9295552596307083E-2</c:v>
                  </c:pt>
                  <c:pt idx="8">
                    <c:v>2.5910551820291585E-2</c:v>
                  </c:pt>
                  <c:pt idx="9">
                    <c:v>9.4487708424059208E-2</c:v>
                  </c:pt>
                  <c:pt idx="10">
                    <c:v>2.541048071884585E-2</c:v>
                  </c:pt>
                </c:numCache>
              </c:numRef>
            </c:minus>
            <c:spPr>
              <a:noFill/>
              <a:ln w="9525" cap="flat" cmpd="sng" algn="ctr">
                <a:solidFill>
                  <a:schemeClr val="tx1">
                    <a:lumMod val="65000"/>
                    <a:lumOff val="35000"/>
                  </a:schemeClr>
                </a:solidFill>
                <a:round/>
              </a:ln>
              <a:effectLst/>
            </c:spPr>
          </c:errBars>
          <c:cat>
            <c:strRef>
              <c:f>BioD!$X$23:$X$33</c:f>
              <c:strCache>
                <c:ptCount val="11"/>
                <c:pt idx="0">
                  <c:v>Blood</c:v>
                </c:pt>
                <c:pt idx="1">
                  <c:v>Muscle</c:v>
                </c:pt>
                <c:pt idx="2">
                  <c:v>Tumour </c:v>
                </c:pt>
                <c:pt idx="3">
                  <c:v>Lung</c:v>
                </c:pt>
                <c:pt idx="4">
                  <c:v>Spleen</c:v>
                </c:pt>
                <c:pt idx="5">
                  <c:v>Pancreas</c:v>
                </c:pt>
                <c:pt idx="6">
                  <c:v>Kidney</c:v>
                </c:pt>
                <c:pt idx="7">
                  <c:v>Liver</c:v>
                </c:pt>
                <c:pt idx="8">
                  <c:v>Small intestine</c:v>
                </c:pt>
                <c:pt idx="9">
                  <c:v>Bonemarrow</c:v>
                </c:pt>
                <c:pt idx="10">
                  <c:v>Bone</c:v>
                </c:pt>
              </c:strCache>
            </c:strRef>
          </c:cat>
          <c:val>
            <c:numRef>
              <c:f>BioD!$AG$7:$AG$17</c:f>
              <c:numCache>
                <c:formatCode>0.00</c:formatCode>
                <c:ptCount val="11"/>
                <c:pt idx="0">
                  <c:v>4.5550196283925008E-3</c:v>
                </c:pt>
                <c:pt idx="1">
                  <c:v>1.1943887240007424E-2</c:v>
                </c:pt>
                <c:pt idx="2">
                  <c:v>4.9753246727588083</c:v>
                </c:pt>
                <c:pt idx="3">
                  <c:v>1.9213177488285427E-2</c:v>
                </c:pt>
                <c:pt idx="4">
                  <c:v>1.6147635918783095E-2</c:v>
                </c:pt>
                <c:pt idx="5">
                  <c:v>1.6742088427524487E-2</c:v>
                </c:pt>
                <c:pt idx="6">
                  <c:v>0.41628225310976785</c:v>
                </c:pt>
                <c:pt idx="7">
                  <c:v>0.15039898632364415</c:v>
                </c:pt>
                <c:pt idx="8">
                  <c:v>4.1026105966865012E-2</c:v>
                </c:pt>
                <c:pt idx="9">
                  <c:v>5.4552503893741451E-2</c:v>
                </c:pt>
                <c:pt idx="10">
                  <c:v>0.12946543633143526</c:v>
                </c:pt>
              </c:numCache>
            </c:numRef>
          </c:val>
          <c:extLst>
            <c:ext xmlns:c16="http://schemas.microsoft.com/office/drawing/2014/chart" uri="{C3380CC4-5D6E-409C-BE32-E72D297353CC}">
              <c16:uniqueId val="{00000002-24EA-6449-8D2F-04D319E75C64}"/>
            </c:ext>
          </c:extLst>
        </c:ser>
        <c:ser>
          <c:idx val="3"/>
          <c:order val="3"/>
          <c:tx>
            <c:strRef>
              <c:f>BioD!$AG$21</c:f>
              <c:strCache>
                <c:ptCount val="1"/>
                <c:pt idx="0">
                  <c:v>Ac-DOTA day 7</c:v>
                </c:pt>
              </c:strCache>
            </c:strRef>
          </c:tx>
          <c:spPr>
            <a:solidFill>
              <a:schemeClr val="dk1">
                <a:tint val="98500"/>
              </a:schemeClr>
            </a:solidFill>
            <a:ln>
              <a:noFill/>
            </a:ln>
            <a:effectLst/>
          </c:spPr>
          <c:invertIfNegative val="0"/>
          <c:errBars>
            <c:errBarType val="both"/>
            <c:errValType val="cust"/>
            <c:noEndCap val="0"/>
            <c:plus>
              <c:numRef>
                <c:f>BioD!$AH$23:$AH$33</c:f>
                <c:numCache>
                  <c:formatCode>General</c:formatCode>
                  <c:ptCount val="11"/>
                  <c:pt idx="0">
                    <c:v>3.8546353514083871E-3</c:v>
                  </c:pt>
                  <c:pt idx="1">
                    <c:v>5.2300377939902478E-4</c:v>
                  </c:pt>
                  <c:pt idx="2">
                    <c:v>1.0888726648336811</c:v>
                  </c:pt>
                  <c:pt idx="3">
                    <c:v>3.565887256120269E-2</c:v>
                  </c:pt>
                  <c:pt idx="4">
                    <c:v>2.8777246376349978E-2</c:v>
                  </c:pt>
                  <c:pt idx="5">
                    <c:v>9.0843261518164763E-3</c:v>
                  </c:pt>
                  <c:pt idx="6">
                    <c:v>1.7128866929738692E-2</c:v>
                  </c:pt>
                  <c:pt idx="7">
                    <c:v>7.4421001105886647E-2</c:v>
                  </c:pt>
                  <c:pt idx="8">
                    <c:v>9.6485903983469252E-3</c:v>
                  </c:pt>
                  <c:pt idx="9">
                    <c:v>4.2639956753472898E-3</c:v>
                  </c:pt>
                  <c:pt idx="10">
                    <c:v>4.7182789731959086E-2</c:v>
                  </c:pt>
                </c:numCache>
              </c:numRef>
            </c:plus>
            <c:minus>
              <c:numRef>
                <c:f>BioD!$AH$23:$AH$33</c:f>
                <c:numCache>
                  <c:formatCode>General</c:formatCode>
                  <c:ptCount val="11"/>
                  <c:pt idx="0">
                    <c:v>3.8546353514083871E-3</c:v>
                  </c:pt>
                  <c:pt idx="1">
                    <c:v>5.2300377939902478E-4</c:v>
                  </c:pt>
                  <c:pt idx="2">
                    <c:v>1.0888726648336811</c:v>
                  </c:pt>
                  <c:pt idx="3">
                    <c:v>3.565887256120269E-2</c:v>
                  </c:pt>
                  <c:pt idx="4">
                    <c:v>2.8777246376349978E-2</c:v>
                  </c:pt>
                  <c:pt idx="5">
                    <c:v>9.0843261518164763E-3</c:v>
                  </c:pt>
                  <c:pt idx="6">
                    <c:v>1.7128866929738692E-2</c:v>
                  </c:pt>
                  <c:pt idx="7">
                    <c:v>7.4421001105886647E-2</c:v>
                  </c:pt>
                  <c:pt idx="8">
                    <c:v>9.6485903983469252E-3</c:v>
                  </c:pt>
                  <c:pt idx="9">
                    <c:v>4.2639956753472898E-3</c:v>
                  </c:pt>
                  <c:pt idx="10">
                    <c:v>4.7182789731959086E-2</c:v>
                  </c:pt>
                </c:numCache>
              </c:numRef>
            </c:minus>
            <c:spPr>
              <a:noFill/>
              <a:ln w="9525" cap="flat" cmpd="sng" algn="ctr">
                <a:solidFill>
                  <a:schemeClr val="tx1">
                    <a:lumMod val="65000"/>
                    <a:lumOff val="35000"/>
                  </a:schemeClr>
                </a:solidFill>
                <a:round/>
              </a:ln>
              <a:effectLst/>
            </c:spPr>
          </c:errBars>
          <c:cat>
            <c:strRef>
              <c:f>BioD!$X$23:$X$33</c:f>
              <c:strCache>
                <c:ptCount val="11"/>
                <c:pt idx="0">
                  <c:v>Blood</c:v>
                </c:pt>
                <c:pt idx="1">
                  <c:v>Muscle</c:v>
                </c:pt>
                <c:pt idx="2">
                  <c:v>Tumour </c:v>
                </c:pt>
                <c:pt idx="3">
                  <c:v>Lung</c:v>
                </c:pt>
                <c:pt idx="4">
                  <c:v>Spleen</c:v>
                </c:pt>
                <c:pt idx="5">
                  <c:v>Pancreas</c:v>
                </c:pt>
                <c:pt idx="6">
                  <c:v>Kidney</c:v>
                </c:pt>
                <c:pt idx="7">
                  <c:v>Liver</c:v>
                </c:pt>
                <c:pt idx="8">
                  <c:v>Small intestine</c:v>
                </c:pt>
                <c:pt idx="9">
                  <c:v>Bonemarrow</c:v>
                </c:pt>
                <c:pt idx="10">
                  <c:v>Bone</c:v>
                </c:pt>
              </c:strCache>
            </c:strRef>
          </c:cat>
          <c:val>
            <c:numRef>
              <c:f>BioD!$AG$23:$AG$33</c:f>
              <c:numCache>
                <c:formatCode>0.00</c:formatCode>
                <c:ptCount val="11"/>
                <c:pt idx="0">
                  <c:v>2.8384103256638414E-3</c:v>
                </c:pt>
                <c:pt idx="1">
                  <c:v>3.0195637282321862E-4</c:v>
                </c:pt>
                <c:pt idx="2">
                  <c:v>2.8032589984585008</c:v>
                </c:pt>
                <c:pt idx="3">
                  <c:v>4.022491445764681E-2</c:v>
                </c:pt>
                <c:pt idx="4">
                  <c:v>2.5886842305390557E-2</c:v>
                </c:pt>
                <c:pt idx="5">
                  <c:v>5.2448381491576003E-3</c:v>
                </c:pt>
                <c:pt idx="6">
                  <c:v>0.10008587563128513</c:v>
                </c:pt>
                <c:pt idx="7">
                  <c:v>0.16559528800751136</c:v>
                </c:pt>
                <c:pt idx="8">
                  <c:v>5.570616263786036E-3</c:v>
                </c:pt>
                <c:pt idx="9">
                  <c:v>2.4618190509851576E-3</c:v>
                </c:pt>
                <c:pt idx="10">
                  <c:v>2.7240996352864089E-2</c:v>
                </c:pt>
              </c:numCache>
            </c:numRef>
          </c:val>
          <c:extLst>
            <c:ext xmlns:c16="http://schemas.microsoft.com/office/drawing/2014/chart" uri="{C3380CC4-5D6E-409C-BE32-E72D297353CC}">
              <c16:uniqueId val="{00000003-24EA-6449-8D2F-04D319E75C64}"/>
            </c:ext>
          </c:extLst>
        </c:ser>
        <c:dLbls>
          <c:showLegendKey val="0"/>
          <c:showVal val="0"/>
          <c:showCatName val="0"/>
          <c:showSerName val="0"/>
          <c:showPercent val="0"/>
          <c:showBubbleSize val="0"/>
        </c:dLbls>
        <c:gapWidth val="219"/>
        <c:overlap val="-27"/>
        <c:axId val="-734626592"/>
        <c:axId val="-680652576"/>
      </c:barChart>
      <c:catAx>
        <c:axId val="-734626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80652576"/>
        <c:crosses val="autoZero"/>
        <c:auto val="1"/>
        <c:lblAlgn val="ctr"/>
        <c:lblOffset val="100"/>
        <c:noMultiLvlLbl val="0"/>
      </c:catAx>
      <c:valAx>
        <c:axId val="-680652576"/>
        <c:scaling>
          <c:orientation val="minMax"/>
          <c:max val="300"/>
          <c:min val="0"/>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Activity at equilibrium (%ID/g)</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734626592"/>
        <c:crosses val="autoZero"/>
        <c:crossBetween val="between"/>
        <c:majorUnit val="50"/>
      </c:valAx>
      <c:spPr>
        <a:noFill/>
        <a:ln>
          <a:solidFill>
            <a:schemeClr val="bg1">
              <a:lumMod val="75000"/>
            </a:schemeClr>
          </a:solidFill>
        </a:ln>
        <a:effectLst/>
      </c:spPr>
    </c:plotArea>
    <c:legend>
      <c:legendPos val="b"/>
      <c:layout>
        <c:manualLayout>
          <c:xMode val="edge"/>
          <c:yMode val="edge"/>
          <c:x val="0.79462770983414299"/>
          <c:y val="8.0543897637795195E-2"/>
          <c:w val="0.15374461383816401"/>
          <c:h val="0.22077446480327401"/>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8.0636482939632506E-2"/>
          <c:y val="6.0185185185185203E-2"/>
          <c:w val="0.88325240594925603"/>
          <c:h val="0.77095417525598997"/>
        </c:manualLayout>
      </c:layout>
      <c:barChart>
        <c:barDir val="col"/>
        <c:grouping val="clustered"/>
        <c:varyColors val="0"/>
        <c:ser>
          <c:idx val="0"/>
          <c:order val="0"/>
          <c:tx>
            <c:strRef>
              <c:f>BioD!$Y$5</c:f>
              <c:strCache>
                <c:ptCount val="1"/>
                <c:pt idx="0">
                  <c:v>Ac-PS day 1</c:v>
                </c:pt>
              </c:strCache>
            </c:strRef>
          </c:tx>
          <c:spPr>
            <a:solidFill>
              <a:schemeClr val="dk1">
                <a:tint val="88500"/>
              </a:schemeClr>
            </a:solidFill>
            <a:ln>
              <a:noFill/>
            </a:ln>
            <a:effectLst/>
          </c:spPr>
          <c:invertIfNegative val="0"/>
          <c:errBars>
            <c:errBarType val="both"/>
            <c:errValType val="cust"/>
            <c:noEndCap val="0"/>
            <c:plus>
              <c:numRef>
                <c:f>BioD!$Z$7:$Z$17</c:f>
                <c:numCache>
                  <c:formatCode>General</c:formatCode>
                  <c:ptCount val="11"/>
                  <c:pt idx="0">
                    <c:v>3.0168353916685136E-2</c:v>
                  </c:pt>
                  <c:pt idx="1">
                    <c:v>4.0809366282873585</c:v>
                  </c:pt>
                  <c:pt idx="2">
                    <c:v>86.757933831939695</c:v>
                  </c:pt>
                  <c:pt idx="3">
                    <c:v>1.3360734303427225E-2</c:v>
                  </c:pt>
                  <c:pt idx="4">
                    <c:v>1.6876947902197919</c:v>
                  </c:pt>
                  <c:pt idx="5">
                    <c:v>2.7453913941606324E-2</c:v>
                  </c:pt>
                  <c:pt idx="6">
                    <c:v>0.15504449122198524</c:v>
                  </c:pt>
                  <c:pt idx="7">
                    <c:v>0.1873050208366015</c:v>
                  </c:pt>
                  <c:pt idx="8">
                    <c:v>8.6204536992454076E-2</c:v>
                  </c:pt>
                  <c:pt idx="9">
                    <c:v>0.36977695763537893</c:v>
                  </c:pt>
                  <c:pt idx="10">
                    <c:v>7.9284274234531382E-2</c:v>
                  </c:pt>
                </c:numCache>
              </c:numRef>
            </c:plus>
            <c:minus>
              <c:numRef>
                <c:f>BioD!$Z$7:$Z$17</c:f>
                <c:numCache>
                  <c:formatCode>General</c:formatCode>
                  <c:ptCount val="11"/>
                  <c:pt idx="0">
                    <c:v>3.0168353916685136E-2</c:v>
                  </c:pt>
                  <c:pt idx="1">
                    <c:v>4.0809366282873585</c:v>
                  </c:pt>
                  <c:pt idx="2">
                    <c:v>86.757933831939695</c:v>
                  </c:pt>
                  <c:pt idx="3">
                    <c:v>1.3360734303427225E-2</c:v>
                  </c:pt>
                  <c:pt idx="4">
                    <c:v>1.6876947902197919</c:v>
                  </c:pt>
                  <c:pt idx="5">
                    <c:v>2.7453913941606324E-2</c:v>
                  </c:pt>
                  <c:pt idx="6">
                    <c:v>0.15504449122198524</c:v>
                  </c:pt>
                  <c:pt idx="7">
                    <c:v>0.1873050208366015</c:v>
                  </c:pt>
                  <c:pt idx="8">
                    <c:v>8.6204536992454076E-2</c:v>
                  </c:pt>
                  <c:pt idx="9">
                    <c:v>0.36977695763537893</c:v>
                  </c:pt>
                  <c:pt idx="10">
                    <c:v>7.9284274234531382E-2</c:v>
                  </c:pt>
                </c:numCache>
              </c:numRef>
            </c:minus>
            <c:spPr>
              <a:noFill/>
              <a:ln w="9525" cap="flat" cmpd="sng" algn="ctr">
                <a:solidFill>
                  <a:schemeClr val="tx1">
                    <a:lumMod val="65000"/>
                    <a:lumOff val="35000"/>
                  </a:schemeClr>
                </a:solidFill>
                <a:round/>
              </a:ln>
              <a:effectLst/>
            </c:spPr>
          </c:errBars>
          <c:cat>
            <c:strRef>
              <c:f>BioD!$X$23:$X$33</c:f>
              <c:strCache>
                <c:ptCount val="11"/>
                <c:pt idx="0">
                  <c:v>Blood</c:v>
                </c:pt>
                <c:pt idx="1">
                  <c:v>Muscle</c:v>
                </c:pt>
                <c:pt idx="2">
                  <c:v>Tumour </c:v>
                </c:pt>
                <c:pt idx="3">
                  <c:v>Lung</c:v>
                </c:pt>
                <c:pt idx="4">
                  <c:v>Spleen</c:v>
                </c:pt>
                <c:pt idx="5">
                  <c:v>Pancreas</c:v>
                </c:pt>
                <c:pt idx="6">
                  <c:v>Kidney</c:v>
                </c:pt>
                <c:pt idx="7">
                  <c:v>Liver</c:v>
                </c:pt>
                <c:pt idx="8">
                  <c:v>Small intestine</c:v>
                </c:pt>
                <c:pt idx="9">
                  <c:v>Bonemarrow</c:v>
                </c:pt>
                <c:pt idx="10">
                  <c:v>Bone</c:v>
                </c:pt>
              </c:strCache>
            </c:strRef>
          </c:cat>
          <c:val>
            <c:numRef>
              <c:f>BioD!$Y$7:$Y$17</c:f>
              <c:numCache>
                <c:formatCode>0.00</c:formatCode>
                <c:ptCount val="11"/>
                <c:pt idx="0">
                  <c:v>4.9066224637089768E-2</c:v>
                </c:pt>
                <c:pt idx="1">
                  <c:v>4.3727148099351982</c:v>
                </c:pt>
                <c:pt idx="2">
                  <c:v>201.19178777112393</c:v>
                </c:pt>
                <c:pt idx="3">
                  <c:v>0.25499447549314586</c:v>
                </c:pt>
                <c:pt idx="4">
                  <c:v>3.7642771795599472</c:v>
                </c:pt>
                <c:pt idx="5">
                  <c:v>0.14013253035926035</c:v>
                </c:pt>
                <c:pt idx="6">
                  <c:v>0.85655286777486894</c:v>
                </c:pt>
                <c:pt idx="7">
                  <c:v>7.8203678656949442</c:v>
                </c:pt>
                <c:pt idx="8">
                  <c:v>0.26984726430175865</c:v>
                </c:pt>
                <c:pt idx="9">
                  <c:v>0.47893163148867829</c:v>
                </c:pt>
                <c:pt idx="10">
                  <c:v>1.4497130197277694</c:v>
                </c:pt>
              </c:numCache>
            </c:numRef>
          </c:val>
          <c:extLst>
            <c:ext xmlns:c16="http://schemas.microsoft.com/office/drawing/2014/chart" uri="{C3380CC4-5D6E-409C-BE32-E72D297353CC}">
              <c16:uniqueId val="{00000000-7985-A542-AA38-56488E60827C}"/>
            </c:ext>
          </c:extLst>
        </c:ser>
        <c:ser>
          <c:idx val="2"/>
          <c:order val="1"/>
          <c:tx>
            <c:strRef>
              <c:f>BioD!$Y$21</c:f>
              <c:strCache>
                <c:ptCount val="1"/>
                <c:pt idx="0">
                  <c:v>Ac-PS day 7</c:v>
                </c:pt>
              </c:strCache>
            </c:strRef>
          </c:tx>
          <c:spPr>
            <a:solidFill>
              <a:schemeClr val="dk1">
                <a:tint val="75000"/>
              </a:schemeClr>
            </a:solidFill>
            <a:ln>
              <a:noFill/>
            </a:ln>
            <a:effectLst/>
          </c:spPr>
          <c:invertIfNegative val="0"/>
          <c:errBars>
            <c:errBarType val="both"/>
            <c:errValType val="cust"/>
            <c:noEndCap val="0"/>
            <c:plus>
              <c:numRef>
                <c:f>BioD!$Z$23:$Z$33</c:f>
                <c:numCache>
                  <c:formatCode>General</c:formatCode>
                  <c:ptCount val="11"/>
                  <c:pt idx="0">
                    <c:v>2.8247900125367969E-3</c:v>
                  </c:pt>
                  <c:pt idx="1">
                    <c:v>2.9297753675677173E-2</c:v>
                  </c:pt>
                  <c:pt idx="2">
                    <c:v>224.12717472849405</c:v>
                  </c:pt>
                  <c:pt idx="3">
                    <c:v>4.4048857677332957E-2</c:v>
                  </c:pt>
                  <c:pt idx="4">
                    <c:v>4.3681243514494001</c:v>
                  </c:pt>
                  <c:pt idx="5">
                    <c:v>0.12496080140263113</c:v>
                  </c:pt>
                  <c:pt idx="6">
                    <c:v>0.47914497395971711</c:v>
                  </c:pt>
                  <c:pt idx="7">
                    <c:v>1.4734420186712718</c:v>
                  </c:pt>
                  <c:pt idx="8">
                    <c:v>5.8438784295522024E-2</c:v>
                  </c:pt>
                  <c:pt idx="9">
                    <c:v>0.25420342068901353</c:v>
                  </c:pt>
                  <c:pt idx="10">
                    <c:v>1.0675123353438549</c:v>
                  </c:pt>
                </c:numCache>
              </c:numRef>
            </c:plus>
            <c:minus>
              <c:numRef>
                <c:f>BioD!$Z$23:$Z$33</c:f>
                <c:numCache>
                  <c:formatCode>General</c:formatCode>
                  <c:ptCount val="11"/>
                  <c:pt idx="0">
                    <c:v>2.8247900125367969E-3</c:v>
                  </c:pt>
                  <c:pt idx="1">
                    <c:v>2.9297753675677173E-2</c:v>
                  </c:pt>
                  <c:pt idx="2">
                    <c:v>224.12717472849405</c:v>
                  </c:pt>
                  <c:pt idx="3">
                    <c:v>4.4048857677332957E-2</c:v>
                  </c:pt>
                  <c:pt idx="4">
                    <c:v>4.3681243514494001</c:v>
                  </c:pt>
                  <c:pt idx="5">
                    <c:v>0.12496080140263113</c:v>
                  </c:pt>
                  <c:pt idx="6">
                    <c:v>0.47914497395971711</c:v>
                  </c:pt>
                  <c:pt idx="7">
                    <c:v>1.4734420186712718</c:v>
                  </c:pt>
                  <c:pt idx="8">
                    <c:v>5.8438784295522024E-2</c:v>
                  </c:pt>
                  <c:pt idx="9">
                    <c:v>0.25420342068901353</c:v>
                  </c:pt>
                  <c:pt idx="10">
                    <c:v>1.0675123353438549</c:v>
                  </c:pt>
                </c:numCache>
              </c:numRef>
            </c:minus>
            <c:spPr>
              <a:noFill/>
              <a:ln w="9525" cap="flat" cmpd="sng" algn="ctr">
                <a:solidFill>
                  <a:schemeClr val="tx1">
                    <a:lumMod val="65000"/>
                    <a:lumOff val="35000"/>
                  </a:schemeClr>
                </a:solidFill>
                <a:round/>
              </a:ln>
              <a:effectLst/>
            </c:spPr>
          </c:errBars>
          <c:cat>
            <c:strRef>
              <c:f>BioD!$X$23:$X$33</c:f>
              <c:strCache>
                <c:ptCount val="11"/>
                <c:pt idx="0">
                  <c:v>Blood</c:v>
                </c:pt>
                <c:pt idx="1">
                  <c:v>Muscle</c:v>
                </c:pt>
                <c:pt idx="2">
                  <c:v>Tumour </c:v>
                </c:pt>
                <c:pt idx="3">
                  <c:v>Lung</c:v>
                </c:pt>
                <c:pt idx="4">
                  <c:v>Spleen</c:v>
                </c:pt>
                <c:pt idx="5">
                  <c:v>Pancreas</c:v>
                </c:pt>
                <c:pt idx="6">
                  <c:v>Kidney</c:v>
                </c:pt>
                <c:pt idx="7">
                  <c:v>Liver</c:v>
                </c:pt>
                <c:pt idx="8">
                  <c:v>Small intestine</c:v>
                </c:pt>
                <c:pt idx="9">
                  <c:v>Bonemarrow</c:v>
                </c:pt>
                <c:pt idx="10">
                  <c:v>Bone</c:v>
                </c:pt>
              </c:strCache>
            </c:strRef>
          </c:cat>
          <c:val>
            <c:numRef>
              <c:f>BioD!$Y$23:$Y$33</c:f>
              <c:numCache>
                <c:formatCode>0.00</c:formatCode>
                <c:ptCount val="11"/>
                <c:pt idx="0">
                  <c:v>1.6308932741422859E-3</c:v>
                </c:pt>
                <c:pt idx="1">
                  <c:v>2.1198221388085317E-2</c:v>
                </c:pt>
                <c:pt idx="2">
                  <c:v>257.19114766310076</c:v>
                </c:pt>
                <c:pt idx="3">
                  <c:v>0.27857147978586067</c:v>
                </c:pt>
                <c:pt idx="4">
                  <c:v>12.633503927467908</c:v>
                </c:pt>
                <c:pt idx="5">
                  <c:v>0.20812923471997127</c:v>
                </c:pt>
                <c:pt idx="6">
                  <c:v>0.80178909750433114</c:v>
                </c:pt>
                <c:pt idx="7">
                  <c:v>13.300159150513215</c:v>
                </c:pt>
                <c:pt idx="8">
                  <c:v>0.15386856894173051</c:v>
                </c:pt>
                <c:pt idx="9">
                  <c:v>0.28540279824951759</c:v>
                </c:pt>
                <c:pt idx="10">
                  <c:v>2.2363124984457019</c:v>
                </c:pt>
              </c:numCache>
            </c:numRef>
          </c:val>
          <c:extLst>
            <c:ext xmlns:c16="http://schemas.microsoft.com/office/drawing/2014/chart" uri="{C3380CC4-5D6E-409C-BE32-E72D297353CC}">
              <c16:uniqueId val="{00000001-7985-A542-AA38-56488E60827C}"/>
            </c:ext>
          </c:extLst>
        </c:ser>
        <c:ser>
          <c:idx val="1"/>
          <c:order val="2"/>
          <c:tx>
            <c:strRef>
              <c:f>BioD!$AG$5</c:f>
              <c:strCache>
                <c:ptCount val="1"/>
                <c:pt idx="0">
                  <c:v>Ac-DOTA day 1</c:v>
                </c:pt>
              </c:strCache>
            </c:strRef>
          </c:tx>
          <c:spPr>
            <a:solidFill>
              <a:schemeClr val="dk1">
                <a:tint val="55000"/>
              </a:schemeClr>
            </a:solidFill>
            <a:ln>
              <a:noFill/>
            </a:ln>
            <a:effectLst/>
          </c:spPr>
          <c:invertIfNegative val="0"/>
          <c:errBars>
            <c:errBarType val="both"/>
            <c:errValType val="cust"/>
            <c:noEndCap val="0"/>
            <c:plus>
              <c:numRef>
                <c:f>BioD!$AH$7:$AH$17</c:f>
                <c:numCache>
                  <c:formatCode>General</c:formatCode>
                  <c:ptCount val="11"/>
                  <c:pt idx="0">
                    <c:v>7.889525425849319E-3</c:v>
                  </c:pt>
                  <c:pt idx="1">
                    <c:v>1.7478055619530895E-2</c:v>
                  </c:pt>
                  <c:pt idx="2">
                    <c:v>2.8750602394063325</c:v>
                  </c:pt>
                  <c:pt idx="3">
                    <c:v>2.5203266737160005E-2</c:v>
                  </c:pt>
                  <c:pt idx="4">
                    <c:v>2.0994506406229036E-2</c:v>
                  </c:pt>
                  <c:pt idx="5">
                    <c:v>2.2738095692327973E-2</c:v>
                  </c:pt>
                  <c:pt idx="6">
                    <c:v>0.15956822617714084</c:v>
                  </c:pt>
                  <c:pt idx="7">
                    <c:v>6.9295552596307083E-2</c:v>
                  </c:pt>
                  <c:pt idx="8">
                    <c:v>2.5910551820291585E-2</c:v>
                  </c:pt>
                  <c:pt idx="9">
                    <c:v>9.4487708424059208E-2</c:v>
                  </c:pt>
                  <c:pt idx="10">
                    <c:v>2.541048071884585E-2</c:v>
                  </c:pt>
                </c:numCache>
              </c:numRef>
            </c:plus>
            <c:minus>
              <c:numRef>
                <c:f>BioD!$AH$7:$AH$17</c:f>
                <c:numCache>
                  <c:formatCode>General</c:formatCode>
                  <c:ptCount val="11"/>
                  <c:pt idx="0">
                    <c:v>7.889525425849319E-3</c:v>
                  </c:pt>
                  <c:pt idx="1">
                    <c:v>1.7478055619530895E-2</c:v>
                  </c:pt>
                  <c:pt idx="2">
                    <c:v>2.8750602394063325</c:v>
                  </c:pt>
                  <c:pt idx="3">
                    <c:v>2.5203266737160005E-2</c:v>
                  </c:pt>
                  <c:pt idx="4">
                    <c:v>2.0994506406229036E-2</c:v>
                  </c:pt>
                  <c:pt idx="5">
                    <c:v>2.2738095692327973E-2</c:v>
                  </c:pt>
                  <c:pt idx="6">
                    <c:v>0.15956822617714084</c:v>
                  </c:pt>
                  <c:pt idx="7">
                    <c:v>6.9295552596307083E-2</c:v>
                  </c:pt>
                  <c:pt idx="8">
                    <c:v>2.5910551820291585E-2</c:v>
                  </c:pt>
                  <c:pt idx="9">
                    <c:v>9.4487708424059208E-2</c:v>
                  </c:pt>
                  <c:pt idx="10">
                    <c:v>2.541048071884585E-2</c:v>
                  </c:pt>
                </c:numCache>
              </c:numRef>
            </c:minus>
            <c:spPr>
              <a:noFill/>
              <a:ln w="9525" cap="flat" cmpd="sng" algn="ctr">
                <a:solidFill>
                  <a:schemeClr val="tx1">
                    <a:lumMod val="65000"/>
                    <a:lumOff val="35000"/>
                  </a:schemeClr>
                </a:solidFill>
                <a:round/>
              </a:ln>
              <a:effectLst/>
            </c:spPr>
          </c:errBars>
          <c:cat>
            <c:strRef>
              <c:f>BioD!$X$23:$X$33</c:f>
              <c:strCache>
                <c:ptCount val="11"/>
                <c:pt idx="0">
                  <c:v>Blood</c:v>
                </c:pt>
                <c:pt idx="1">
                  <c:v>Muscle</c:v>
                </c:pt>
                <c:pt idx="2">
                  <c:v>Tumour </c:v>
                </c:pt>
                <c:pt idx="3">
                  <c:v>Lung</c:v>
                </c:pt>
                <c:pt idx="4">
                  <c:v>Spleen</c:v>
                </c:pt>
                <c:pt idx="5">
                  <c:v>Pancreas</c:v>
                </c:pt>
                <c:pt idx="6">
                  <c:v>Kidney</c:v>
                </c:pt>
                <c:pt idx="7">
                  <c:v>Liver</c:v>
                </c:pt>
                <c:pt idx="8">
                  <c:v>Small intestine</c:v>
                </c:pt>
                <c:pt idx="9">
                  <c:v>Bonemarrow</c:v>
                </c:pt>
                <c:pt idx="10">
                  <c:v>Bone</c:v>
                </c:pt>
              </c:strCache>
            </c:strRef>
          </c:cat>
          <c:val>
            <c:numRef>
              <c:f>BioD!$AG$7:$AG$17</c:f>
              <c:numCache>
                <c:formatCode>0.00</c:formatCode>
                <c:ptCount val="11"/>
                <c:pt idx="0">
                  <c:v>4.5550196283925008E-3</c:v>
                </c:pt>
                <c:pt idx="1">
                  <c:v>1.1943887240007424E-2</c:v>
                </c:pt>
                <c:pt idx="2">
                  <c:v>4.9753246727588083</c:v>
                </c:pt>
                <c:pt idx="3">
                  <c:v>1.9213177488285427E-2</c:v>
                </c:pt>
                <c:pt idx="4">
                  <c:v>1.6147635918783095E-2</c:v>
                </c:pt>
                <c:pt idx="5">
                  <c:v>1.6742088427524487E-2</c:v>
                </c:pt>
                <c:pt idx="6">
                  <c:v>0.41628225310976785</c:v>
                </c:pt>
                <c:pt idx="7">
                  <c:v>0.15039898632364415</c:v>
                </c:pt>
                <c:pt idx="8">
                  <c:v>4.1026105966865012E-2</c:v>
                </c:pt>
                <c:pt idx="9">
                  <c:v>5.4552503893741451E-2</c:v>
                </c:pt>
                <c:pt idx="10">
                  <c:v>0.12946543633143526</c:v>
                </c:pt>
              </c:numCache>
            </c:numRef>
          </c:val>
          <c:extLst>
            <c:ext xmlns:c16="http://schemas.microsoft.com/office/drawing/2014/chart" uri="{C3380CC4-5D6E-409C-BE32-E72D297353CC}">
              <c16:uniqueId val="{00000002-7985-A542-AA38-56488E60827C}"/>
            </c:ext>
          </c:extLst>
        </c:ser>
        <c:ser>
          <c:idx val="3"/>
          <c:order val="3"/>
          <c:tx>
            <c:strRef>
              <c:f>BioD!$AG$21</c:f>
              <c:strCache>
                <c:ptCount val="1"/>
                <c:pt idx="0">
                  <c:v>Ac-DOTA day 7</c:v>
                </c:pt>
              </c:strCache>
            </c:strRef>
          </c:tx>
          <c:spPr>
            <a:solidFill>
              <a:schemeClr val="dk1">
                <a:tint val="98500"/>
              </a:schemeClr>
            </a:solidFill>
            <a:ln>
              <a:noFill/>
            </a:ln>
            <a:effectLst/>
          </c:spPr>
          <c:invertIfNegative val="0"/>
          <c:errBars>
            <c:errBarType val="both"/>
            <c:errValType val="cust"/>
            <c:noEndCap val="0"/>
            <c:plus>
              <c:numRef>
                <c:f>BioD!$AH$23:$AH$33</c:f>
                <c:numCache>
                  <c:formatCode>General</c:formatCode>
                  <c:ptCount val="11"/>
                  <c:pt idx="0">
                    <c:v>3.8546353514083871E-3</c:v>
                  </c:pt>
                  <c:pt idx="1">
                    <c:v>5.2300377939902478E-4</c:v>
                  </c:pt>
                  <c:pt idx="2">
                    <c:v>1.0888726648336811</c:v>
                  </c:pt>
                  <c:pt idx="3">
                    <c:v>3.565887256120269E-2</c:v>
                  </c:pt>
                  <c:pt idx="4">
                    <c:v>2.8777246376349978E-2</c:v>
                  </c:pt>
                  <c:pt idx="5">
                    <c:v>9.0843261518164763E-3</c:v>
                  </c:pt>
                  <c:pt idx="6">
                    <c:v>1.7128866929738692E-2</c:v>
                  </c:pt>
                  <c:pt idx="7">
                    <c:v>7.4421001105886647E-2</c:v>
                  </c:pt>
                  <c:pt idx="8">
                    <c:v>9.6485903983469252E-3</c:v>
                  </c:pt>
                  <c:pt idx="9">
                    <c:v>4.2639956753472898E-3</c:v>
                  </c:pt>
                  <c:pt idx="10">
                    <c:v>4.7182789731959086E-2</c:v>
                  </c:pt>
                </c:numCache>
              </c:numRef>
            </c:plus>
            <c:minus>
              <c:numRef>
                <c:f>BioD!$AH$23:$AH$33</c:f>
                <c:numCache>
                  <c:formatCode>General</c:formatCode>
                  <c:ptCount val="11"/>
                  <c:pt idx="0">
                    <c:v>3.8546353514083871E-3</c:v>
                  </c:pt>
                  <c:pt idx="1">
                    <c:v>5.2300377939902478E-4</c:v>
                  </c:pt>
                  <c:pt idx="2">
                    <c:v>1.0888726648336811</c:v>
                  </c:pt>
                  <c:pt idx="3">
                    <c:v>3.565887256120269E-2</c:v>
                  </c:pt>
                  <c:pt idx="4">
                    <c:v>2.8777246376349978E-2</c:v>
                  </c:pt>
                  <c:pt idx="5">
                    <c:v>9.0843261518164763E-3</c:v>
                  </c:pt>
                  <c:pt idx="6">
                    <c:v>1.7128866929738692E-2</c:v>
                  </c:pt>
                  <c:pt idx="7">
                    <c:v>7.4421001105886647E-2</c:v>
                  </c:pt>
                  <c:pt idx="8">
                    <c:v>9.6485903983469252E-3</c:v>
                  </c:pt>
                  <c:pt idx="9">
                    <c:v>4.2639956753472898E-3</c:v>
                  </c:pt>
                  <c:pt idx="10">
                    <c:v>4.7182789731959086E-2</c:v>
                  </c:pt>
                </c:numCache>
              </c:numRef>
            </c:minus>
            <c:spPr>
              <a:noFill/>
              <a:ln w="9525" cap="flat" cmpd="sng" algn="ctr">
                <a:solidFill>
                  <a:schemeClr val="tx1">
                    <a:lumMod val="65000"/>
                    <a:lumOff val="35000"/>
                  </a:schemeClr>
                </a:solidFill>
                <a:round/>
              </a:ln>
              <a:effectLst/>
            </c:spPr>
          </c:errBars>
          <c:cat>
            <c:strRef>
              <c:f>BioD!$X$23:$X$33</c:f>
              <c:strCache>
                <c:ptCount val="11"/>
                <c:pt idx="0">
                  <c:v>Blood</c:v>
                </c:pt>
                <c:pt idx="1">
                  <c:v>Muscle</c:v>
                </c:pt>
                <c:pt idx="2">
                  <c:v>Tumour </c:v>
                </c:pt>
                <c:pt idx="3">
                  <c:v>Lung</c:v>
                </c:pt>
                <c:pt idx="4">
                  <c:v>Spleen</c:v>
                </c:pt>
                <c:pt idx="5">
                  <c:v>Pancreas</c:v>
                </c:pt>
                <c:pt idx="6">
                  <c:v>Kidney</c:v>
                </c:pt>
                <c:pt idx="7">
                  <c:v>Liver</c:v>
                </c:pt>
                <c:pt idx="8">
                  <c:v>Small intestine</c:v>
                </c:pt>
                <c:pt idx="9">
                  <c:v>Bonemarrow</c:v>
                </c:pt>
                <c:pt idx="10">
                  <c:v>Bone</c:v>
                </c:pt>
              </c:strCache>
            </c:strRef>
          </c:cat>
          <c:val>
            <c:numRef>
              <c:f>BioD!$AG$23:$AG$33</c:f>
              <c:numCache>
                <c:formatCode>0.00</c:formatCode>
                <c:ptCount val="11"/>
                <c:pt idx="0">
                  <c:v>2.8384103256638414E-3</c:v>
                </c:pt>
                <c:pt idx="1">
                  <c:v>3.0195637282321862E-4</c:v>
                </c:pt>
                <c:pt idx="2">
                  <c:v>2.8032589984585008</c:v>
                </c:pt>
                <c:pt idx="3">
                  <c:v>4.022491445764681E-2</c:v>
                </c:pt>
                <c:pt idx="4">
                  <c:v>2.5886842305390557E-2</c:v>
                </c:pt>
                <c:pt idx="5">
                  <c:v>5.2448381491576003E-3</c:v>
                </c:pt>
                <c:pt idx="6">
                  <c:v>0.10008587563128513</c:v>
                </c:pt>
                <c:pt idx="7">
                  <c:v>0.16559528800751136</c:v>
                </c:pt>
                <c:pt idx="8">
                  <c:v>5.570616263786036E-3</c:v>
                </c:pt>
                <c:pt idx="9">
                  <c:v>2.4618190509851576E-3</c:v>
                </c:pt>
                <c:pt idx="10">
                  <c:v>2.7240996352864089E-2</c:v>
                </c:pt>
              </c:numCache>
            </c:numRef>
          </c:val>
          <c:extLst>
            <c:ext xmlns:c16="http://schemas.microsoft.com/office/drawing/2014/chart" uri="{C3380CC4-5D6E-409C-BE32-E72D297353CC}">
              <c16:uniqueId val="{00000003-7985-A542-AA38-56488E60827C}"/>
            </c:ext>
          </c:extLst>
        </c:ser>
        <c:dLbls>
          <c:showLegendKey val="0"/>
          <c:showVal val="0"/>
          <c:showCatName val="0"/>
          <c:showSerName val="0"/>
          <c:showPercent val="0"/>
          <c:showBubbleSize val="0"/>
        </c:dLbls>
        <c:gapWidth val="219"/>
        <c:overlap val="-27"/>
        <c:axId val="-561618528"/>
        <c:axId val="-630322832"/>
      </c:barChart>
      <c:catAx>
        <c:axId val="-561618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30322832"/>
        <c:crosses val="autoZero"/>
        <c:auto val="1"/>
        <c:lblAlgn val="ctr"/>
        <c:lblOffset val="100"/>
        <c:noMultiLvlLbl val="0"/>
      </c:catAx>
      <c:valAx>
        <c:axId val="-630322832"/>
        <c:scaling>
          <c:orientation val="minMax"/>
          <c:max val="100"/>
          <c:min val="0"/>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i="0" u="none" strike="noStrike" baseline="0">
                    <a:effectLst/>
                  </a:rPr>
                  <a:t>Activity at equilibrium </a:t>
                </a:r>
                <a:r>
                  <a:rPr lang="en-US"/>
                  <a:t>(%ID/g)</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61618528"/>
        <c:crosses val="autoZero"/>
        <c:crossBetween val="between"/>
        <c:majorUnit val="10"/>
      </c:valAx>
      <c:spPr>
        <a:noFill/>
        <a:ln>
          <a:solidFill>
            <a:schemeClr val="bg1">
              <a:lumMod val="75000"/>
            </a:schemeClr>
          </a:solidFill>
        </a:ln>
        <a:effectLst/>
      </c:spPr>
    </c:plotArea>
    <c:legend>
      <c:legendPos val="b"/>
      <c:layout>
        <c:manualLayout>
          <c:xMode val="edge"/>
          <c:yMode val="edge"/>
          <c:x val="0.79462770983414299"/>
          <c:y val="8.0543897637795195E-2"/>
          <c:w val="0.15374461383816401"/>
          <c:h val="0.22077446480327401"/>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27</xdr:col>
      <xdr:colOff>82550</xdr:colOff>
      <xdr:row>43</xdr:row>
      <xdr:rowOff>76200</xdr:rowOff>
    </xdr:from>
    <xdr:to>
      <xdr:col>40</xdr:col>
      <xdr:colOff>24606</xdr:colOff>
      <xdr:row>75</xdr:row>
      <xdr:rowOff>135467</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41</xdr:col>
      <xdr:colOff>0</xdr:colOff>
      <xdr:row>35</xdr:row>
      <xdr:rowOff>0</xdr:rowOff>
    </xdr:from>
    <xdr:to>
      <xdr:col>53</xdr:col>
      <xdr:colOff>615156</xdr:colOff>
      <xdr:row>67</xdr:row>
      <xdr:rowOff>76200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156"/>
  <sheetViews>
    <sheetView topLeftCell="AP31" zoomScale="75" workbookViewId="0">
      <selection activeCell="AV77" sqref="AV77"/>
    </sheetView>
  </sheetViews>
  <sheetFormatPr baseColWidth="10" defaultColWidth="8.83203125" defaultRowHeight="15" x14ac:dyDescent="0.2"/>
  <cols>
    <col min="1" max="1" width="16.33203125" customWidth="1"/>
    <col min="2" max="3" width="10" bestFit="1" customWidth="1"/>
    <col min="6" max="6" width="10.6640625" bestFit="1" customWidth="1"/>
    <col min="8" max="8" width="11.83203125" bestFit="1" customWidth="1"/>
    <col min="10" max="10" width="13.5" bestFit="1" customWidth="1"/>
    <col min="13" max="13" width="13.6640625" bestFit="1" customWidth="1"/>
  </cols>
  <sheetData>
    <row r="1" spans="1:39" x14ac:dyDescent="0.2">
      <c r="A1" s="35" t="s">
        <v>44</v>
      </c>
      <c r="B1" s="2"/>
      <c r="C1" s="3"/>
    </row>
    <row r="2" spans="1:39" x14ac:dyDescent="0.2">
      <c r="A2" s="35" t="s">
        <v>45</v>
      </c>
      <c r="B2" s="2"/>
      <c r="C2" s="3"/>
      <c r="J2" s="2"/>
      <c r="K2" s="2"/>
      <c r="L2" s="2"/>
      <c r="M2" s="2"/>
      <c r="N2" s="2"/>
    </row>
    <row r="3" spans="1:39" x14ac:dyDescent="0.2">
      <c r="A3" s="2"/>
      <c r="B3" s="4"/>
      <c r="C3" s="5"/>
      <c r="D3" s="1"/>
      <c r="J3" s="2"/>
      <c r="K3" s="2"/>
      <c r="L3" s="2"/>
    </row>
    <row r="4" spans="1:39" x14ac:dyDescent="0.2">
      <c r="A4" t="s">
        <v>0</v>
      </c>
      <c r="B4" s="56">
        <v>43290</v>
      </c>
      <c r="C4" s="6"/>
      <c r="D4" s="6"/>
      <c r="E4" s="6"/>
      <c r="F4" s="6"/>
      <c r="J4" s="2"/>
      <c r="K4" s="2"/>
      <c r="L4" s="2"/>
      <c r="X4" s="37" t="s">
        <v>32</v>
      </c>
      <c r="Y4" s="2"/>
      <c r="Z4" s="2"/>
      <c r="AA4" s="2"/>
      <c r="AB4" s="2"/>
      <c r="AC4" s="2"/>
      <c r="AD4" s="2"/>
      <c r="AE4" s="2"/>
      <c r="AF4" s="2"/>
      <c r="AG4" s="2"/>
      <c r="AH4" s="2"/>
      <c r="AI4" s="2"/>
      <c r="AJ4" s="2"/>
    </row>
    <row r="5" spans="1:39" x14ac:dyDescent="0.2">
      <c r="A5" t="s">
        <v>1</v>
      </c>
      <c r="B5" s="55">
        <v>43291</v>
      </c>
      <c r="C5" s="54">
        <v>43297</v>
      </c>
      <c r="D5" s="6"/>
      <c r="E5" s="6"/>
      <c r="F5" s="6"/>
      <c r="J5" s="2"/>
      <c r="K5" s="2"/>
      <c r="L5" s="2"/>
      <c r="Y5" s="74" t="s">
        <v>120</v>
      </c>
      <c r="Z5" s="74"/>
      <c r="AA5" s="74"/>
      <c r="AB5" s="74"/>
      <c r="AC5" s="74"/>
      <c r="AD5" s="74"/>
      <c r="AE5" s="43"/>
      <c r="AF5" s="43"/>
      <c r="AG5" s="74" t="s">
        <v>122</v>
      </c>
      <c r="AH5" s="74"/>
      <c r="AI5" s="74"/>
      <c r="AJ5" s="74"/>
      <c r="AK5" s="74"/>
      <c r="AL5" s="74"/>
    </row>
    <row r="6" spans="1:39" x14ac:dyDescent="0.2">
      <c r="A6" t="s">
        <v>2</v>
      </c>
      <c r="B6" s="7" t="s">
        <v>46</v>
      </c>
      <c r="C6" s="8" t="s">
        <v>47</v>
      </c>
      <c r="D6" s="7"/>
      <c r="E6" s="2"/>
      <c r="F6" s="7"/>
      <c r="J6" s="2"/>
      <c r="K6" s="2"/>
      <c r="L6" s="2"/>
      <c r="X6" s="2"/>
      <c r="Y6" s="2" t="s">
        <v>36</v>
      </c>
      <c r="Z6" s="2" t="s">
        <v>41</v>
      </c>
      <c r="AA6" s="34" t="s">
        <v>37</v>
      </c>
      <c r="AB6" s="2" t="s">
        <v>41</v>
      </c>
      <c r="AC6" s="2" t="s">
        <v>42</v>
      </c>
      <c r="AD6" s="2" t="s">
        <v>111</v>
      </c>
      <c r="AE6" s="34"/>
      <c r="AF6" s="2"/>
      <c r="AG6" s="2" t="s">
        <v>36</v>
      </c>
      <c r="AH6" s="2" t="s">
        <v>41</v>
      </c>
      <c r="AI6" s="34" t="s">
        <v>37</v>
      </c>
      <c r="AJ6" s="2" t="s">
        <v>41</v>
      </c>
      <c r="AK6" t="s">
        <v>42</v>
      </c>
      <c r="AL6" s="2" t="s">
        <v>111</v>
      </c>
      <c r="AM6" s="34"/>
    </row>
    <row r="7" spans="1:39" x14ac:dyDescent="0.2">
      <c r="A7" t="s">
        <v>3</v>
      </c>
      <c r="B7" s="7" t="s">
        <v>42</v>
      </c>
      <c r="C7" s="8" t="s">
        <v>42</v>
      </c>
      <c r="D7" s="7"/>
      <c r="E7" s="9"/>
      <c r="F7" s="7"/>
      <c r="J7" s="2"/>
      <c r="K7" s="2"/>
      <c r="L7" s="2"/>
      <c r="X7" s="20" t="s">
        <v>16</v>
      </c>
      <c r="Y7" s="32">
        <f t="shared" ref="Y7" si="0">AVERAGE(G22,G40,G58)</f>
        <v>4.9066224637089768E-2</v>
      </c>
      <c r="Z7" s="44">
        <f t="shared" ref="Z7" si="1">STDEV(G22,G40,G58)</f>
        <v>3.0168353916685136E-2</v>
      </c>
      <c r="AA7" s="32">
        <f t="shared" ref="AA7:AA17" si="2">AVERAGE(H22,H40,H58)</f>
        <v>5.1630721451511687E-2</v>
      </c>
      <c r="AB7" s="44">
        <f t="shared" ref="AB7:AB17" si="3">STDEV(H22,H40,H58)</f>
        <v>1.8337470165266608E-2</v>
      </c>
      <c r="AC7" s="32">
        <f>AVERAGE(Y7,AA7)</f>
        <v>5.0348473044300728E-2</v>
      </c>
      <c r="AD7" s="44">
        <f>AVERAGE(Z7,AB7)/SQRT(3)</f>
        <v>1.4002425295489736E-2</v>
      </c>
      <c r="AE7" s="44"/>
      <c r="AF7" s="44"/>
      <c r="AG7" s="32">
        <f>AVERAGE(G76,G94,G112)</f>
        <v>4.5550196283925008E-3</v>
      </c>
      <c r="AH7" s="44">
        <f t="shared" ref="AH7:AH17" si="4">STDEV(G76,G94,G112)</f>
        <v>7.889525425849319E-3</v>
      </c>
      <c r="AI7" s="32">
        <f t="shared" ref="AI7:AI17" si="5">AVERAGE(H76,H94,H112)</f>
        <v>2.0636357009543117E-4</v>
      </c>
      <c r="AJ7" s="44">
        <f t="shared" ref="AJ7:AJ17" si="6">STDEV(H76,H94,H112)</f>
        <v>3.5743218823658818E-4</v>
      </c>
      <c r="AK7" s="32">
        <f>AVERAGE(AG7,AI7)</f>
        <v>2.380691599243966E-3</v>
      </c>
      <c r="AL7" s="44">
        <f>AVERAGE(AH7,AJ7)/SQRT(3)</f>
        <v>2.380691599243966E-3</v>
      </c>
    </row>
    <row r="8" spans="1:39" x14ac:dyDescent="0.2">
      <c r="A8" t="s">
        <v>4</v>
      </c>
      <c r="B8" s="11" t="s">
        <v>34</v>
      </c>
      <c r="D8" s="11" t="s">
        <v>35</v>
      </c>
      <c r="E8" s="11"/>
      <c r="F8" s="11" t="s">
        <v>34</v>
      </c>
      <c r="H8" s="11" t="s">
        <v>35</v>
      </c>
      <c r="I8" s="11"/>
      <c r="J8" s="2"/>
      <c r="K8" s="2"/>
      <c r="L8" s="2"/>
      <c r="X8" s="20" t="s">
        <v>17</v>
      </c>
      <c r="Y8" s="32">
        <f t="shared" ref="Y8:Y17" si="7">AVERAGE(G23,G41,G59)</f>
        <v>4.3727148099351982</v>
      </c>
      <c r="Z8" s="44">
        <f t="shared" ref="Z8:Z17" si="8">STDEV(G23,G41,G59)</f>
        <v>4.0809366282873585</v>
      </c>
      <c r="AA8" s="32">
        <f t="shared" si="2"/>
        <v>5.3680690004702827</v>
      </c>
      <c r="AB8" s="44">
        <f t="shared" si="3"/>
        <v>4.689909734053046</v>
      </c>
      <c r="AC8" s="32">
        <f t="shared" ref="AC8:AC17" si="9">AVERAGE(Y8,AA8)</f>
        <v>4.8703919052027409</v>
      </c>
      <c r="AD8" s="44">
        <f t="shared" ref="AD8:AD17" si="10">AVERAGE(Z8,AB8)/SQRT(3)</f>
        <v>2.5319252541590411</v>
      </c>
      <c r="AE8" s="44"/>
      <c r="AF8" s="44"/>
      <c r="AG8" s="32">
        <f t="shared" ref="AG8:AG17" si="11">AVERAGE(G77,G95,G113)</f>
        <v>1.1943887240007424E-2</v>
      </c>
      <c r="AH8" s="44">
        <f t="shared" si="4"/>
        <v>1.7478055619530895E-2</v>
      </c>
      <c r="AI8" s="32">
        <f t="shared" si="5"/>
        <v>9.7162700854744322E-2</v>
      </c>
      <c r="AJ8" s="44">
        <f t="shared" si="6"/>
        <v>8.5776531490757202E-2</v>
      </c>
      <c r="AK8" s="32">
        <f t="shared" ref="AK8:AK17" si="12">AVERAGE(AG8,AI8)</f>
        <v>5.4553294047375869E-2</v>
      </c>
      <c r="AL8" s="44">
        <f t="shared" ref="AL8:AL17" si="13">AVERAGE(AH8,AJ8)/SQRT(3)</f>
        <v>2.980703183159425E-2</v>
      </c>
    </row>
    <row r="9" spans="1:39" x14ac:dyDescent="0.2">
      <c r="A9" s="10" t="s">
        <v>5</v>
      </c>
      <c r="B9" s="75" t="s">
        <v>40</v>
      </c>
      <c r="C9" s="75"/>
      <c r="D9" s="75"/>
      <c r="E9" s="75"/>
      <c r="F9" s="75" t="s">
        <v>33</v>
      </c>
      <c r="G9" s="75"/>
      <c r="H9" s="75"/>
      <c r="I9" s="75"/>
      <c r="J9" s="2"/>
      <c r="K9" s="2"/>
      <c r="L9" s="2"/>
      <c r="U9">
        <f>AC9/AC13</f>
        <v>243.2086157546025</v>
      </c>
      <c r="X9" s="20" t="s">
        <v>18</v>
      </c>
      <c r="Y9" s="32">
        <f t="shared" si="7"/>
        <v>201.19178777112393</v>
      </c>
      <c r="Z9" s="44">
        <f t="shared" si="8"/>
        <v>86.757933831939695</v>
      </c>
      <c r="AA9" s="32">
        <f t="shared" si="2"/>
        <v>286.12486504919599</v>
      </c>
      <c r="AB9" s="44">
        <f t="shared" si="3"/>
        <v>167.93914439516408</v>
      </c>
      <c r="AC9" s="32">
        <f>AVERAGE(Y9,AA9)</f>
        <v>243.65832641015996</v>
      </c>
      <c r="AD9" s="44">
        <f t="shared" si="10"/>
        <v>73.524713338114765</v>
      </c>
      <c r="AE9" s="45"/>
      <c r="AF9" s="46"/>
      <c r="AG9" s="32">
        <f>AVERAGE(G78,G96,G114)</f>
        <v>4.9753246727588083</v>
      </c>
      <c r="AH9" s="44">
        <f t="shared" si="4"/>
        <v>2.8750602394063325</v>
      </c>
      <c r="AI9" s="32">
        <f t="shared" si="5"/>
        <v>12.144232605552538</v>
      </c>
      <c r="AJ9" s="44">
        <f t="shared" si="6"/>
        <v>6.8472131660889479</v>
      </c>
      <c r="AK9" s="32">
        <f t="shared" si="12"/>
        <v>8.5597786391556738</v>
      </c>
      <c r="AL9" s="44">
        <f t="shared" si="13"/>
        <v>2.8065785838989199</v>
      </c>
      <c r="AM9" s="47"/>
    </row>
    <row r="10" spans="1:39" x14ac:dyDescent="0.2">
      <c r="B10" s="2" t="s">
        <v>36</v>
      </c>
      <c r="C10" s="34" t="s">
        <v>37</v>
      </c>
      <c r="D10" s="2" t="s">
        <v>36</v>
      </c>
      <c r="E10" s="34" t="s">
        <v>37</v>
      </c>
      <c r="F10" s="2" t="s">
        <v>36</v>
      </c>
      <c r="G10" s="34" t="s">
        <v>37</v>
      </c>
      <c r="H10" s="2" t="s">
        <v>36</v>
      </c>
      <c r="I10" s="34" t="s">
        <v>37</v>
      </c>
      <c r="J10" s="2"/>
      <c r="K10" s="2"/>
      <c r="L10" s="2"/>
      <c r="U10">
        <f>AC25/AC29</f>
        <v>303.6865647684545</v>
      </c>
      <c r="X10" s="20" t="s">
        <v>19</v>
      </c>
      <c r="Y10" s="32">
        <f t="shared" si="7"/>
        <v>0.25499447549314586</v>
      </c>
      <c r="Z10" s="44">
        <f t="shared" si="8"/>
        <v>1.3360734303427225E-2</v>
      </c>
      <c r="AA10" s="32">
        <f t="shared" si="2"/>
        <v>0.35409674684567599</v>
      </c>
      <c r="AB10" s="44">
        <f t="shared" si="3"/>
        <v>0.1297168674719931</v>
      </c>
      <c r="AC10" s="32">
        <f t="shared" si="9"/>
        <v>0.30454561116941092</v>
      </c>
      <c r="AD10" s="44">
        <f t="shared" si="10"/>
        <v>4.1302945950022499E-2</v>
      </c>
      <c r="AE10" s="45"/>
      <c r="AF10" s="48"/>
      <c r="AG10" s="32">
        <f t="shared" si="11"/>
        <v>1.9213177488285427E-2</v>
      </c>
      <c r="AH10" s="44">
        <f t="shared" si="4"/>
        <v>2.5203266737160005E-2</v>
      </c>
      <c r="AI10" s="32">
        <f t="shared" si="5"/>
        <v>4.9725722454880238E-2</v>
      </c>
      <c r="AJ10" s="44">
        <f t="shared" si="6"/>
        <v>4.6734333069471216E-2</v>
      </c>
      <c r="AK10" s="32">
        <f t="shared" si="12"/>
        <v>3.4469449971582834E-2</v>
      </c>
      <c r="AL10" s="44">
        <f t="shared" si="13"/>
        <v>2.0766596306607054E-2</v>
      </c>
      <c r="AM10" s="47"/>
    </row>
    <row r="11" spans="1:39" x14ac:dyDescent="0.2">
      <c r="A11" t="s">
        <v>6</v>
      </c>
      <c r="B11" s="12">
        <v>29504.74</v>
      </c>
      <c r="C11" s="12">
        <v>24907.02</v>
      </c>
      <c r="D11" s="33">
        <v>23841.73</v>
      </c>
      <c r="E11" s="33">
        <v>21265.5</v>
      </c>
      <c r="F11" s="12">
        <v>19249.939999999999</v>
      </c>
      <c r="G11" s="12">
        <v>16404.810000000001</v>
      </c>
      <c r="H11" s="12">
        <v>15773.71</v>
      </c>
      <c r="I11" s="12">
        <v>14056.03</v>
      </c>
      <c r="J11" s="2"/>
      <c r="K11" s="2"/>
      <c r="L11" s="2"/>
      <c r="X11" s="20" t="s">
        <v>20</v>
      </c>
      <c r="Y11" s="32">
        <f t="shared" si="7"/>
        <v>3.7642771795599472</v>
      </c>
      <c r="Z11" s="44">
        <f t="shared" si="8"/>
        <v>1.6876947902197919</v>
      </c>
      <c r="AA11" s="32">
        <f t="shared" si="2"/>
        <v>5.1358591428627287</v>
      </c>
      <c r="AB11" s="44">
        <f t="shared" si="3"/>
        <v>1.5079938180900934</v>
      </c>
      <c r="AC11" s="32">
        <f t="shared" si="9"/>
        <v>4.4500681612113375</v>
      </c>
      <c r="AD11" s="44">
        <f t="shared" si="10"/>
        <v>0.92251583912696644</v>
      </c>
      <c r="AE11" s="45"/>
      <c r="AF11" s="49"/>
      <c r="AG11" s="32">
        <f t="shared" si="11"/>
        <v>1.6147635918783095E-2</v>
      </c>
      <c r="AH11" s="44">
        <f t="shared" si="4"/>
        <v>2.0994506406229036E-2</v>
      </c>
      <c r="AI11" s="32">
        <f t="shared" si="5"/>
        <v>6.0106549276577825E-2</v>
      </c>
      <c r="AJ11" s="44">
        <f t="shared" si="6"/>
        <v>2.2073802097378057E-2</v>
      </c>
      <c r="AK11" s="32">
        <f t="shared" si="12"/>
        <v>3.8127092597680462E-2</v>
      </c>
      <c r="AL11" s="44">
        <f t="shared" si="13"/>
        <v>1.2432749754049703E-2</v>
      </c>
      <c r="AM11" s="47"/>
    </row>
    <row r="12" spans="1:39" x14ac:dyDescent="0.2">
      <c r="A12" t="s">
        <v>7</v>
      </c>
      <c r="B12" s="12">
        <v>30765.759999999998</v>
      </c>
      <c r="C12" s="12">
        <v>26987.78</v>
      </c>
      <c r="D12" s="33">
        <v>23523.24</v>
      </c>
      <c r="E12" s="33">
        <v>21467.22</v>
      </c>
      <c r="F12" s="12">
        <v>20469.62</v>
      </c>
      <c r="G12" s="12">
        <v>17537.259999999998</v>
      </c>
      <c r="H12" s="12">
        <v>15435.86</v>
      </c>
      <c r="I12" s="12">
        <v>14128.51</v>
      </c>
      <c r="J12" s="2"/>
      <c r="K12" s="2"/>
      <c r="L12" s="2"/>
      <c r="X12" s="20" t="s">
        <v>21</v>
      </c>
      <c r="Y12" s="32">
        <f t="shared" si="7"/>
        <v>0.14013253035926035</v>
      </c>
      <c r="Z12" s="44">
        <f t="shared" si="8"/>
        <v>2.7453913941606324E-2</v>
      </c>
      <c r="AA12" s="32">
        <f t="shared" si="2"/>
        <v>0.18344146489239468</v>
      </c>
      <c r="AB12" s="44">
        <f t="shared" si="3"/>
        <v>1.712290461154372E-2</v>
      </c>
      <c r="AC12" s="32">
        <f t="shared" si="9"/>
        <v>0.16178699762582752</v>
      </c>
      <c r="AD12" s="44">
        <f t="shared" si="10"/>
        <v>1.2868219095639141E-2</v>
      </c>
      <c r="AE12" s="45"/>
      <c r="AF12" s="49"/>
      <c r="AG12" s="32">
        <f t="shared" si="11"/>
        <v>1.6742088427524487E-2</v>
      </c>
      <c r="AH12" s="44">
        <f t="shared" si="4"/>
        <v>2.2738095692327973E-2</v>
      </c>
      <c r="AI12" s="32">
        <f t="shared" si="5"/>
        <v>3.6631577211363564E-2</v>
      </c>
      <c r="AJ12" s="44">
        <f t="shared" si="6"/>
        <v>1.5521475678865275E-2</v>
      </c>
      <c r="AK12" s="32">
        <f t="shared" si="12"/>
        <v>2.6686832819444027E-2</v>
      </c>
      <c r="AL12" s="44">
        <f t="shared" si="13"/>
        <v>1.1044586915119061E-2</v>
      </c>
      <c r="AM12" s="47"/>
    </row>
    <row r="13" spans="1:39" ht="16" thickBot="1" x14ac:dyDescent="0.25">
      <c r="A13" t="s">
        <v>8</v>
      </c>
      <c r="B13" s="13">
        <v>36955.03</v>
      </c>
      <c r="C13" s="13">
        <v>32826.17</v>
      </c>
      <c r="D13" s="13">
        <v>24739.22</v>
      </c>
      <c r="E13" s="13">
        <v>23421.89</v>
      </c>
      <c r="F13" s="13">
        <v>24339.98</v>
      </c>
      <c r="G13" s="13">
        <v>21830.43</v>
      </c>
      <c r="H13" s="13">
        <v>16007.27</v>
      </c>
      <c r="I13" s="13">
        <v>15222.75</v>
      </c>
      <c r="J13" s="34"/>
      <c r="K13" s="2"/>
      <c r="L13" s="2"/>
      <c r="M13" s="2"/>
      <c r="N13" s="2"/>
      <c r="X13" s="38" t="s">
        <v>22</v>
      </c>
      <c r="Y13" s="32">
        <f>AVERAGE(G30,G48,G66)</f>
        <v>0.85655286777486894</v>
      </c>
      <c r="Z13" s="44">
        <f>STDEV(G30,G48,G66)</f>
        <v>0.15504449122198524</v>
      </c>
      <c r="AA13" s="32">
        <f>AVERAGE(H30,H48,H66)</f>
        <v>1.1471452796296722</v>
      </c>
      <c r="AB13" s="44">
        <f>STDEV(H30,H48,H66)</f>
        <v>0.11301774709123794</v>
      </c>
      <c r="AC13" s="32">
        <f>AVERAGE(Y13,AA13)</f>
        <v>1.0018490737022705</v>
      </c>
      <c r="AD13" s="44">
        <f>AVERAGE(Z13,AB13)/SQRT(3)</f>
        <v>7.7382902724856512E-2</v>
      </c>
      <c r="AE13" s="48"/>
      <c r="AF13" s="44"/>
      <c r="AG13" s="32">
        <f>AVERAGE(G84,G102,G120)</f>
        <v>0.41628225310976785</v>
      </c>
      <c r="AH13" s="44">
        <f>STDEV(G84,G102,G120)</f>
        <v>0.15956822617714084</v>
      </c>
      <c r="AI13" s="32">
        <f>AVERAGE(H84,H102,H120)</f>
        <v>1.0399592272463358</v>
      </c>
      <c r="AJ13" s="44">
        <f>STDEV(H84,H102,H120)</f>
        <v>0.12165330107619401</v>
      </c>
      <c r="AK13" s="32">
        <f>AVERAGE(AG13,AI13)</f>
        <v>0.72812074017805184</v>
      </c>
      <c r="AL13" s="44">
        <f>AVERAGE(AH13,AJ13)/SQRT(3)</f>
        <v>8.1181662230815271E-2</v>
      </c>
      <c r="AM13" s="47"/>
    </row>
    <row r="14" spans="1:39" x14ac:dyDescent="0.2">
      <c r="A14" t="s">
        <v>9</v>
      </c>
      <c r="B14" s="12">
        <f>AVERAGE(B11:B13)/8</f>
        <v>4051.0637499999998</v>
      </c>
      <c r="C14" s="12">
        <f t="shared" ref="C14:E14" si="14">AVERAGE(C11:C13)/8</f>
        <v>3530.0404166666667</v>
      </c>
      <c r="D14" s="12">
        <f t="shared" si="14"/>
        <v>3004.3412499999999</v>
      </c>
      <c r="E14" s="12">
        <f t="shared" si="14"/>
        <v>2756.4420833333334</v>
      </c>
      <c r="F14" s="12">
        <f>AVERAGE(F11:F13)/8</f>
        <v>2669.1474999999996</v>
      </c>
      <c r="G14" s="12">
        <f t="shared" ref="G14" si="15">AVERAGE(G11:G13)/8</f>
        <v>2323.8541666666665</v>
      </c>
      <c r="H14" s="12">
        <f t="shared" ref="H14" si="16">AVERAGE(H11:H13)/8</f>
        <v>1967.3683333333331</v>
      </c>
      <c r="I14" s="12">
        <f t="shared" ref="I14" si="17">AVERAGE(I11:I13)/8</f>
        <v>1808.6370833333333</v>
      </c>
      <c r="J14" s="2"/>
      <c r="K14" s="2"/>
      <c r="L14" s="2"/>
      <c r="M14" s="2"/>
      <c r="N14" s="2"/>
      <c r="X14" s="20" t="s">
        <v>23</v>
      </c>
      <c r="Y14" s="32">
        <f>AVERAGE(G28,G46,G64)</f>
        <v>7.8203678656949442</v>
      </c>
      <c r="Z14" s="44">
        <f>STDEV(G28,G46,G64)</f>
        <v>0.1873050208366015</v>
      </c>
      <c r="AA14" s="32">
        <f>AVERAGE(H28,H46,H64)</f>
        <v>11.991884200776036</v>
      </c>
      <c r="AB14" s="44">
        <f>STDEV(H28,H46,H64)</f>
        <v>2.1598190580953078</v>
      </c>
      <c r="AC14" s="32">
        <f>AVERAGE(Y14,AA14)</f>
        <v>9.9061260332354912</v>
      </c>
      <c r="AD14" s="44">
        <f>AVERAGE(Z14,AB14)/SQRT(3)</f>
        <v>0.67755635939639525</v>
      </c>
      <c r="AE14" s="45"/>
      <c r="AF14" s="49"/>
      <c r="AG14" s="32">
        <f>AVERAGE(G82,G100,G118)</f>
        <v>0.15039898632364415</v>
      </c>
      <c r="AH14" s="44">
        <f>STDEV(G82,G100,G118)</f>
        <v>6.9295552596307083E-2</v>
      </c>
      <c r="AI14" s="32">
        <f>AVERAGE(H82,H100,H118)</f>
        <v>0.39622288244047404</v>
      </c>
      <c r="AJ14" s="44">
        <f>STDEV(H82,H100,H118)</f>
        <v>0.12601749149609884</v>
      </c>
      <c r="AK14" s="32">
        <f>AVERAGE(AG14,AI14)</f>
        <v>0.27331093438205911</v>
      </c>
      <c r="AL14" s="44">
        <f>AVERAGE(AH14,AJ14)/SQRT(3)</f>
        <v>5.6382019291497901E-2</v>
      </c>
    </row>
    <row r="15" spans="1:39" x14ac:dyDescent="0.2">
      <c r="A15" t="s">
        <v>10</v>
      </c>
      <c r="B15" s="12">
        <f>STDEV(B11:B13)/8</f>
        <v>498.44564559018102</v>
      </c>
      <c r="C15" s="12">
        <f t="shared" ref="C15:E15" si="18">STDEV(C11:C13)/8</f>
        <v>513.18373266235631</v>
      </c>
      <c r="D15" s="12">
        <f t="shared" si="18"/>
        <v>78.818282906394899</v>
      </c>
      <c r="E15" s="12">
        <f t="shared" si="18"/>
        <v>148.87987676906107</v>
      </c>
      <c r="F15" s="12">
        <f>STDEV(F11:F13)/8</f>
        <v>332.19524345631663</v>
      </c>
      <c r="G15" s="12">
        <f t="shared" ref="G15:I15" si="19">STDEV(G11:G13)/8</f>
        <v>357.76761558293128</v>
      </c>
      <c r="H15" s="12">
        <f t="shared" si="19"/>
        <v>35.910851866404279</v>
      </c>
      <c r="I15" s="12">
        <f t="shared" si="19"/>
        <v>81.711033118749185</v>
      </c>
      <c r="J15" s="2"/>
      <c r="K15" s="2"/>
      <c r="L15" s="2"/>
      <c r="M15" s="2"/>
      <c r="N15" s="2"/>
      <c r="X15" s="20" t="s">
        <v>24</v>
      </c>
      <c r="Y15" s="32">
        <f>AVERAGE(G29,G47,G65)</f>
        <v>0.26984726430175865</v>
      </c>
      <c r="Z15" s="44">
        <f>STDEV(G29,G47,G65)</f>
        <v>8.6204536992454076E-2</v>
      </c>
      <c r="AA15" s="32">
        <f>AVERAGE(H29,H47,H65)</f>
        <v>0.37518298429303099</v>
      </c>
      <c r="AB15" s="44">
        <f>STDEV(H29,H47,H65)</f>
        <v>3.4780861960359219E-2</v>
      </c>
      <c r="AC15" s="32">
        <f>AVERAGE(Y15,AA15)</f>
        <v>0.32251512429739482</v>
      </c>
      <c r="AD15" s="44">
        <f>AVERAGE(Z15,AB15)/SQRT(3)</f>
        <v>3.4925476326710517E-2</v>
      </c>
      <c r="AE15" s="48"/>
      <c r="AF15" s="32"/>
      <c r="AG15" s="32">
        <f>AVERAGE(G83,G101,G119)</f>
        <v>4.1026105966865012E-2</v>
      </c>
      <c r="AH15" s="44">
        <f>STDEV(G83,G101,G119)</f>
        <v>2.5910551820291585E-2</v>
      </c>
      <c r="AI15" s="32">
        <f>AVERAGE(H83,H101,H119)</f>
        <v>0.1061994476310294</v>
      </c>
      <c r="AJ15" s="44">
        <f>STDEV(H83,H101,H119)</f>
        <v>7.2980472906062049E-2</v>
      </c>
      <c r="AK15" s="32">
        <f>AVERAGE(AG15,AI15)</f>
        <v>7.3612776798947205E-2</v>
      </c>
      <c r="AL15" s="44">
        <f>AVERAGE(AH15,AJ15)/SQRT(3)</f>
        <v>2.8547379873099108E-2</v>
      </c>
    </row>
    <row r="16" spans="1:39" x14ac:dyDescent="0.2">
      <c r="B16" s="12"/>
      <c r="C16" s="12"/>
      <c r="D16" s="12"/>
      <c r="E16" s="12"/>
      <c r="F16" s="12"/>
      <c r="G16" s="12"/>
      <c r="H16" s="12"/>
      <c r="I16" s="12"/>
      <c r="J16" s="2"/>
      <c r="K16" s="2"/>
      <c r="L16" s="2"/>
      <c r="M16" s="2"/>
      <c r="N16" s="2"/>
      <c r="X16" s="28" t="s">
        <v>29</v>
      </c>
      <c r="Y16" s="32">
        <f t="shared" si="7"/>
        <v>0.47893163148867829</v>
      </c>
      <c r="Z16" s="44">
        <f t="shared" si="8"/>
        <v>0.36977695763537893</v>
      </c>
      <c r="AA16" s="32">
        <f t="shared" si="2"/>
        <v>0.85976166110036134</v>
      </c>
      <c r="AB16" s="44">
        <f t="shared" si="3"/>
        <v>1.125190994038918</v>
      </c>
      <c r="AC16" s="32">
        <f t="shared" si="9"/>
        <v>0.66934664629451979</v>
      </c>
      <c r="AD16" s="44">
        <f t="shared" si="10"/>
        <v>0.43156007466450941</v>
      </c>
      <c r="AE16" s="48"/>
      <c r="AF16" s="44"/>
      <c r="AG16" s="32">
        <f t="shared" si="11"/>
        <v>5.4552503893741451E-2</v>
      </c>
      <c r="AH16" s="44">
        <f t="shared" si="4"/>
        <v>9.4487708424059208E-2</v>
      </c>
      <c r="AI16" s="32">
        <f t="shared" si="5"/>
        <v>0.10385060813620267</v>
      </c>
      <c r="AJ16" s="44">
        <f t="shared" si="6"/>
        <v>0.10371833906762905</v>
      </c>
      <c r="AK16" s="32">
        <f t="shared" si="12"/>
        <v>7.9201556014972058E-2</v>
      </c>
      <c r="AL16" s="44">
        <f t="shared" si="13"/>
        <v>5.7217157437168979E-2</v>
      </c>
    </row>
    <row r="17" spans="1:39" ht="16" thickBot="1" x14ac:dyDescent="0.25">
      <c r="A17" s="2"/>
      <c r="J17" s="2"/>
      <c r="K17" s="2"/>
      <c r="L17" s="2"/>
      <c r="M17" s="2"/>
      <c r="N17" s="2"/>
      <c r="X17" s="24" t="s">
        <v>25</v>
      </c>
      <c r="Y17" s="32">
        <f t="shared" si="7"/>
        <v>1.4497130197277694</v>
      </c>
      <c r="Z17" s="44">
        <f t="shared" si="8"/>
        <v>7.9284274234531382E-2</v>
      </c>
      <c r="AA17" s="32">
        <f t="shared" si="2"/>
        <v>2.2761420272942954</v>
      </c>
      <c r="AB17" s="44">
        <f t="shared" si="3"/>
        <v>0.6070842084309882</v>
      </c>
      <c r="AC17" s="32">
        <f t="shared" si="9"/>
        <v>1.8629275235110323</v>
      </c>
      <c r="AD17" s="44">
        <f t="shared" si="10"/>
        <v>0.19813751411510638</v>
      </c>
      <c r="AE17" s="48"/>
      <c r="AF17" s="44"/>
      <c r="AG17" s="32">
        <f t="shared" si="11"/>
        <v>0.12946543633143526</v>
      </c>
      <c r="AH17" s="44">
        <f t="shared" si="4"/>
        <v>2.541048071884585E-2</v>
      </c>
      <c r="AI17" s="32">
        <f t="shared" si="5"/>
        <v>0.24472930692989744</v>
      </c>
      <c r="AJ17" s="44">
        <f t="shared" si="6"/>
        <v>0.21138729779946194</v>
      </c>
      <c r="AK17" s="32">
        <f t="shared" si="12"/>
        <v>0.18709737163066636</v>
      </c>
      <c r="AL17" s="44">
        <f t="shared" si="13"/>
        <v>6.83576305855252E-2</v>
      </c>
    </row>
    <row r="18" spans="1:39" x14ac:dyDescent="0.2">
      <c r="A18" s="37" t="s">
        <v>30</v>
      </c>
      <c r="J18" s="37" t="s">
        <v>31</v>
      </c>
    </row>
    <row r="19" spans="1:39" ht="16" thickBot="1" x14ac:dyDescent="0.25">
      <c r="A19" s="14" t="s">
        <v>11</v>
      </c>
      <c r="B19" s="15">
        <v>18</v>
      </c>
      <c r="C19" s="14"/>
      <c r="D19" s="16"/>
      <c r="E19" s="16"/>
      <c r="F19" s="16"/>
      <c r="G19" s="17"/>
      <c r="H19" s="14"/>
      <c r="J19" s="14" t="s">
        <v>11</v>
      </c>
      <c r="K19" s="15">
        <v>10</v>
      </c>
      <c r="L19" s="14"/>
      <c r="M19" s="16"/>
      <c r="N19" s="16"/>
      <c r="O19" s="16"/>
      <c r="P19" s="17"/>
      <c r="Q19" s="14"/>
    </row>
    <row r="20" spans="1:39" x14ac:dyDescent="0.2">
      <c r="A20" s="18" t="s">
        <v>12</v>
      </c>
      <c r="B20" s="19" t="s">
        <v>13</v>
      </c>
      <c r="C20" s="18" t="s">
        <v>14</v>
      </c>
      <c r="D20" s="18" t="s">
        <v>15</v>
      </c>
      <c r="E20" s="18" t="s">
        <v>36</v>
      </c>
      <c r="F20" s="38" t="s">
        <v>37</v>
      </c>
      <c r="G20" s="39" t="s">
        <v>38</v>
      </c>
      <c r="H20" s="40" t="s">
        <v>39</v>
      </c>
      <c r="J20" s="18" t="s">
        <v>12</v>
      </c>
      <c r="K20" s="19" t="s">
        <v>13</v>
      </c>
      <c r="L20" s="18" t="s">
        <v>14</v>
      </c>
      <c r="M20" s="18" t="s">
        <v>15</v>
      </c>
      <c r="N20" s="18" t="s">
        <v>36</v>
      </c>
      <c r="O20" s="38" t="s">
        <v>37</v>
      </c>
      <c r="P20" s="39" t="s">
        <v>38</v>
      </c>
      <c r="Q20" s="40" t="s">
        <v>39</v>
      </c>
      <c r="X20" s="35" t="s">
        <v>33</v>
      </c>
      <c r="Y20" s="2"/>
      <c r="Z20" s="2"/>
      <c r="AA20" s="2"/>
      <c r="AB20" s="2"/>
      <c r="AC20" s="2"/>
      <c r="AD20" s="2"/>
      <c r="AE20" s="2"/>
      <c r="AF20" s="2"/>
      <c r="AG20" s="2"/>
      <c r="AH20" s="2"/>
      <c r="AI20" s="2"/>
      <c r="AJ20" s="2"/>
    </row>
    <row r="21" spans="1:39" x14ac:dyDescent="0.2">
      <c r="A21" s="20"/>
      <c r="B21" s="21"/>
      <c r="C21" s="20"/>
      <c r="D21" s="20"/>
      <c r="E21" s="20"/>
      <c r="F21" s="30"/>
      <c r="J21" s="20"/>
      <c r="K21" s="21"/>
      <c r="L21" s="20"/>
      <c r="M21" s="20"/>
      <c r="N21" s="20"/>
      <c r="O21" s="30"/>
      <c r="X21" s="2"/>
      <c r="Y21" s="74" t="s">
        <v>121</v>
      </c>
      <c r="Z21" s="74"/>
      <c r="AA21" s="74"/>
      <c r="AB21" s="74"/>
      <c r="AC21" s="74"/>
      <c r="AD21" s="74"/>
      <c r="AE21" s="43"/>
      <c r="AF21" s="43"/>
      <c r="AG21" s="74" t="s">
        <v>123</v>
      </c>
      <c r="AH21" s="74"/>
      <c r="AI21" s="74"/>
      <c r="AJ21" s="74"/>
      <c r="AK21" s="74"/>
      <c r="AL21" s="74"/>
    </row>
    <row r="22" spans="1:39" x14ac:dyDescent="0.2">
      <c r="A22" s="20" t="s">
        <v>16</v>
      </c>
      <c r="B22" s="21">
        <v>3.2381000000000002</v>
      </c>
      <c r="C22" s="21">
        <v>3.5162</v>
      </c>
      <c r="D22" s="21">
        <f t="shared" ref="D22:D32" si="20">C22-B22</f>
        <v>0.27809999999999979</v>
      </c>
      <c r="E22" s="28">
        <v>93.15</v>
      </c>
      <c r="F22" s="28">
        <v>63.23</v>
      </c>
      <c r="G22" s="41">
        <f>(E22/$B$14)/D22</f>
        <v>8.2682346411033364E-2</v>
      </c>
      <c r="H22" s="41">
        <f>(F22/$C$14)/D22</f>
        <v>6.4408400648296157E-2</v>
      </c>
      <c r="J22" s="20" t="s">
        <v>16</v>
      </c>
      <c r="K22" s="21">
        <v>3.2363</v>
      </c>
      <c r="L22" s="21">
        <v>3.5939000000000001</v>
      </c>
      <c r="M22" s="21">
        <f t="shared" ref="M22:M32" si="21">L22-K22</f>
        <v>0.35760000000000014</v>
      </c>
      <c r="N22">
        <v>4.67</v>
      </c>
      <c r="O22">
        <v>10.66</v>
      </c>
      <c r="P22" s="41">
        <f t="shared" ref="P22:P24" si="22">(N22/$F$14)/M22</f>
        <v>4.892679822426858E-3</v>
      </c>
      <c r="Q22" s="41">
        <f t="shared" ref="Q22:Q24" si="23">(O22/$G$14)/M22</f>
        <v>1.2827759946402582E-2</v>
      </c>
      <c r="X22" s="2"/>
      <c r="Y22" s="2" t="s">
        <v>36</v>
      </c>
      <c r="Z22" s="2" t="s">
        <v>41</v>
      </c>
      <c r="AA22" s="34" t="s">
        <v>37</v>
      </c>
      <c r="AB22" s="2" t="s">
        <v>41</v>
      </c>
      <c r="AC22" s="2" t="s">
        <v>42</v>
      </c>
      <c r="AD22" s="2" t="s">
        <v>111</v>
      </c>
      <c r="AE22" s="2"/>
      <c r="AF22" s="2"/>
      <c r="AG22" s="2" t="s">
        <v>36</v>
      </c>
      <c r="AH22" s="2" t="s">
        <v>41</v>
      </c>
      <c r="AI22" s="34" t="s">
        <v>37</v>
      </c>
      <c r="AJ22" s="2" t="s">
        <v>41</v>
      </c>
      <c r="AK22" t="s">
        <v>42</v>
      </c>
      <c r="AL22" s="2" t="s">
        <v>111</v>
      </c>
    </row>
    <row r="23" spans="1:39" x14ac:dyDescent="0.2">
      <c r="A23" s="20" t="s">
        <v>17</v>
      </c>
      <c r="B23" s="21">
        <v>3.2307999999999999</v>
      </c>
      <c r="C23" s="21">
        <v>3.4636999999999998</v>
      </c>
      <c r="D23" s="21">
        <f t="shared" si="20"/>
        <v>0.23289999999999988</v>
      </c>
      <c r="E23" s="28">
        <v>7629.74</v>
      </c>
      <c r="F23" s="28">
        <v>7222.12</v>
      </c>
      <c r="G23" s="41">
        <f t="shared" ref="G23:G32" si="24">(E23/$B$14)/D23</f>
        <v>8.0866970320943992</v>
      </c>
      <c r="H23" s="41">
        <f t="shared" ref="H23:H32" si="25">(F23/$C$14)/D23</f>
        <v>8.7844693906533937</v>
      </c>
      <c r="J23" s="20" t="s">
        <v>17</v>
      </c>
      <c r="K23" s="21">
        <v>3.2311000000000001</v>
      </c>
      <c r="L23" s="21">
        <v>3.3441999999999998</v>
      </c>
      <c r="M23" s="21">
        <f t="shared" si="21"/>
        <v>0.11309999999999976</v>
      </c>
      <c r="N23">
        <v>0</v>
      </c>
      <c r="O23">
        <v>6.5</v>
      </c>
      <c r="P23" s="41">
        <f t="shared" si="22"/>
        <v>0</v>
      </c>
      <c r="Q23" s="41">
        <f t="shared" si="23"/>
        <v>2.4731011606572938E-2</v>
      </c>
      <c r="X23" s="20" t="s">
        <v>16</v>
      </c>
      <c r="Y23" s="32">
        <f>AVERAGE(P22,P40,P58)</f>
        <v>1.6308932741422859E-3</v>
      </c>
      <c r="Z23" s="44">
        <f>STDEV(P22,P40,P58)</f>
        <v>2.8247900125367969E-3</v>
      </c>
      <c r="AA23" s="32">
        <f>AVERAGE(Q22,Q40,Q58)</f>
        <v>1.5964431160167623E-2</v>
      </c>
      <c r="AB23" s="44">
        <f>STDEV(Q22,Q40,Q58)</f>
        <v>1.3687144461505906E-2</v>
      </c>
      <c r="AC23" s="32">
        <f>AVERAGE(Y23,AA23)</f>
        <v>8.797662217154955E-3</v>
      </c>
      <c r="AD23" s="44">
        <f>AVERAGE(Z23,AB23)/SQRT(3)</f>
        <v>4.7665849067150086E-3</v>
      </c>
      <c r="AE23" s="44"/>
      <c r="AF23" s="44"/>
      <c r="AG23" s="32">
        <f>AVERAGE(P76,P94,P112)</f>
        <v>2.8384103256638414E-3</v>
      </c>
      <c r="AH23" s="44">
        <f>STDEV(P76,P94,P112)</f>
        <v>3.8546353514083871E-3</v>
      </c>
      <c r="AI23" s="32">
        <f>AVERAGE(Q76,Q94,Q112)</f>
        <v>1.6028249342603777E-2</v>
      </c>
      <c r="AJ23" s="44">
        <f>STDEV(Q76,Q94,Q112)</f>
        <v>1.5574142543586971E-2</v>
      </c>
      <c r="AK23" s="32">
        <f>AVERAGE(AG23,AI23)</f>
        <v>9.4333298341338096E-3</v>
      </c>
      <c r="AL23" s="44">
        <f>AVERAGE(AH23,AJ23)/SQRT(3)</f>
        <v>5.6086050738505099E-3</v>
      </c>
    </row>
    <row r="24" spans="1:39" x14ac:dyDescent="0.2">
      <c r="A24" s="20" t="s">
        <v>18</v>
      </c>
      <c r="B24" s="21">
        <v>5.0232999999999999</v>
      </c>
      <c r="C24" s="21">
        <v>5.2093999999999996</v>
      </c>
      <c r="D24" s="21">
        <f t="shared" si="20"/>
        <v>0.18609999999999971</v>
      </c>
      <c r="E24" s="28">
        <v>79545.81</v>
      </c>
      <c r="F24" s="28">
        <v>73594.679999999993</v>
      </c>
      <c r="G24" s="41">
        <f t="shared" si="24"/>
        <v>105.51200063087843</v>
      </c>
      <c r="H24" s="41">
        <f>(F24/$C$14)/D24</f>
        <v>112.0263974998722</v>
      </c>
      <c r="J24" s="20" t="s">
        <v>18</v>
      </c>
      <c r="K24" s="21">
        <v>5.0335000000000001</v>
      </c>
      <c r="L24" s="21">
        <v>5.0769000000000002</v>
      </c>
      <c r="M24" s="21">
        <f t="shared" si="21"/>
        <v>4.3400000000000105E-2</v>
      </c>
      <c r="N24">
        <v>59279.07</v>
      </c>
      <c r="O24">
        <v>57086.28</v>
      </c>
      <c r="P24" s="41">
        <f t="shared" si="22"/>
        <v>511.72787901009178</v>
      </c>
      <c r="Q24" s="41">
        <f t="shared" si="23"/>
        <v>566.02178079851501</v>
      </c>
      <c r="X24" s="20" t="s">
        <v>17</v>
      </c>
      <c r="Y24" s="32">
        <f t="shared" ref="Y24:Y33" si="26">AVERAGE(P23,P41,P59)</f>
        <v>2.1198221388085317E-2</v>
      </c>
      <c r="Z24" s="44">
        <f t="shared" ref="Z24:Z33" si="27">STDEV(P23,P41,P59)</f>
        <v>2.9297753675677173E-2</v>
      </c>
      <c r="AA24" s="32">
        <f t="shared" ref="AA24:AA33" si="28">AVERAGE(Q23,Q41,Q59)</f>
        <v>7.1547708172712762E-2</v>
      </c>
      <c r="AB24" s="44">
        <f t="shared" ref="AB24:AB33" si="29">STDEV(Q23,Q41,Q59)</f>
        <v>6.0471142922768971E-2</v>
      </c>
      <c r="AC24" s="32">
        <f t="shared" ref="AC24:AC33" si="30">AVERAGE(Y24,AA24)</f>
        <v>4.637296478039904E-2</v>
      </c>
      <c r="AD24" s="44">
        <f t="shared" ref="AD24:AD33" si="31">AVERAGE(Z24,AB24)/SQRT(3)</f>
        <v>2.5914048307984282E-2</v>
      </c>
      <c r="AE24" s="44"/>
      <c r="AF24" s="44"/>
      <c r="AG24" s="32">
        <f t="shared" ref="AG24:AG33" si="32">AVERAGE(P77,P95,P113)</f>
        <v>3.0195637282321862E-4</v>
      </c>
      <c r="AH24" s="44">
        <f t="shared" ref="AH24:AH33" si="33">STDEV(P77,P95,P113)</f>
        <v>5.2300377939902478E-4</v>
      </c>
      <c r="AI24" s="32">
        <f t="shared" ref="AI24:AI33" si="34">AVERAGE(Q77,Q95,Q113)</f>
        <v>3.7222181362630218E-2</v>
      </c>
      <c r="AJ24" s="44">
        <f t="shared" ref="AJ24:AJ33" si="35">STDEV(Q77,Q95,Q113)</f>
        <v>3.4337151480462159E-2</v>
      </c>
      <c r="AK24" s="32">
        <f t="shared" ref="AK24:AK33" si="36">AVERAGE(AG24,AI24)</f>
        <v>1.8762068867726717E-2</v>
      </c>
      <c r="AL24" s="44">
        <f t="shared" ref="AL24:AL33" si="37">AVERAGE(AH24,AJ24)/SQRT(3)</f>
        <v>1.0063260011636502E-2</v>
      </c>
    </row>
    <row r="25" spans="1:39" x14ac:dyDescent="0.2">
      <c r="A25" s="20" t="s">
        <v>19</v>
      </c>
      <c r="B25" s="21">
        <v>3.2250999999999999</v>
      </c>
      <c r="C25" s="21">
        <v>3.3942999999999999</v>
      </c>
      <c r="D25" s="21">
        <f t="shared" si="20"/>
        <v>0.16920000000000002</v>
      </c>
      <c r="E25" s="28">
        <v>179.17</v>
      </c>
      <c r="F25" s="28">
        <v>169.61</v>
      </c>
      <c r="G25" s="41">
        <f t="shared" si="24"/>
        <v>0.26139414613798573</v>
      </c>
      <c r="H25" s="41">
        <f t="shared" si="25"/>
        <v>0.28396931749446208</v>
      </c>
      <c r="J25" s="20" t="s">
        <v>19</v>
      </c>
      <c r="K25" s="21">
        <v>3.2404000000000002</v>
      </c>
      <c r="L25" s="21">
        <v>3.4678</v>
      </c>
      <c r="M25" s="21">
        <f t="shared" si="21"/>
        <v>0.22739999999999982</v>
      </c>
      <c r="N25">
        <v>180.69</v>
      </c>
      <c r="O25">
        <v>210.68</v>
      </c>
      <c r="P25" s="41">
        <f>(N25/$F$14)/M25</f>
        <v>0.29769468679559574</v>
      </c>
      <c r="Q25" s="41">
        <f>(O25/$G$14)/M25</f>
        <v>0.39867956789686176</v>
      </c>
      <c r="X25" s="20" t="s">
        <v>18</v>
      </c>
      <c r="Y25" s="32">
        <f t="shared" si="26"/>
        <v>257.19114766310076</v>
      </c>
      <c r="Z25" s="44">
        <f>STDEV(P24,P42,P60)</f>
        <v>224.12717472849405</v>
      </c>
      <c r="AA25" s="32">
        <f>AVERAGE(Q24,Q42,Q60)</f>
        <v>321.83419395355344</v>
      </c>
      <c r="AB25" s="44">
        <f t="shared" si="29"/>
        <v>226.3893388143488</v>
      </c>
      <c r="AC25" s="32">
        <f t="shared" si="30"/>
        <v>289.51267080832713</v>
      </c>
      <c r="AD25" s="44">
        <f t="shared" si="31"/>
        <v>130.05291518416601</v>
      </c>
      <c r="AE25" s="45"/>
      <c r="AF25" s="46"/>
      <c r="AG25" s="32">
        <f t="shared" si="32"/>
        <v>2.8032589984585008</v>
      </c>
      <c r="AH25" s="44">
        <f t="shared" si="33"/>
        <v>1.0888726648336811</v>
      </c>
      <c r="AI25" s="32">
        <f t="shared" si="34"/>
        <v>6.6993082863169287</v>
      </c>
      <c r="AJ25" s="44">
        <f t="shared" si="35"/>
        <v>2.8573864902394903</v>
      </c>
      <c r="AK25" s="32">
        <f t="shared" si="36"/>
        <v>4.7512836423877145</v>
      </c>
      <c r="AL25" s="44">
        <f t="shared" si="37"/>
        <v>1.1391868927367605</v>
      </c>
      <c r="AM25" s="47"/>
    </row>
    <row r="26" spans="1:39" x14ac:dyDescent="0.2">
      <c r="A26" s="20" t="s">
        <v>20</v>
      </c>
      <c r="B26" s="21">
        <v>3.2334999999999998</v>
      </c>
      <c r="C26" s="21">
        <v>3.3388</v>
      </c>
      <c r="D26" s="21">
        <f t="shared" si="20"/>
        <v>0.10530000000000017</v>
      </c>
      <c r="E26" s="28">
        <v>2285.83</v>
      </c>
      <c r="F26" s="28">
        <v>2329.48</v>
      </c>
      <c r="G26" s="41">
        <f t="shared" si="24"/>
        <v>5.3585400314803495</v>
      </c>
      <c r="H26" s="41">
        <f t="shared" si="25"/>
        <v>6.2668736268672527</v>
      </c>
      <c r="J26" s="20" t="s">
        <v>20</v>
      </c>
      <c r="K26" s="21">
        <v>3.2326999999999999</v>
      </c>
      <c r="L26" s="21">
        <v>3.2875000000000001</v>
      </c>
      <c r="M26" s="21">
        <f t="shared" si="21"/>
        <v>5.4800000000000182E-2</v>
      </c>
      <c r="N26">
        <v>1385.29</v>
      </c>
      <c r="O26">
        <v>1426.02</v>
      </c>
      <c r="P26" s="41">
        <f t="shared" ref="P26:P32" si="38">(N26/$F$14)/M26</f>
        <v>9.4708196525445167</v>
      </c>
      <c r="Q26" s="41">
        <f t="shared" ref="Q26:Q32" si="39">(O26/$G$14)/M26</f>
        <v>11.197889758740258</v>
      </c>
      <c r="X26" s="20" t="s">
        <v>19</v>
      </c>
      <c r="Y26" s="32">
        <f t="shared" si="26"/>
        <v>0.27857147978586067</v>
      </c>
      <c r="Z26" s="44">
        <f t="shared" si="27"/>
        <v>4.4048857677332957E-2</v>
      </c>
      <c r="AA26" s="32">
        <f t="shared" si="28"/>
        <v>0.46516456384498234</v>
      </c>
      <c r="AB26" s="44">
        <f t="shared" si="29"/>
        <v>6.5283435022588904E-2</v>
      </c>
      <c r="AC26" s="32">
        <f t="shared" si="30"/>
        <v>0.3718680218154215</v>
      </c>
      <c r="AD26" s="44">
        <f t="shared" si="31"/>
        <v>3.1561514310709422E-2</v>
      </c>
      <c r="AE26" s="45"/>
      <c r="AF26" s="44"/>
      <c r="AG26" s="32">
        <f t="shared" si="32"/>
        <v>4.022491445764681E-2</v>
      </c>
      <c r="AH26" s="44">
        <f t="shared" si="33"/>
        <v>3.565887256120269E-2</v>
      </c>
      <c r="AI26" s="32">
        <f t="shared" si="34"/>
        <v>4.975376954904439E-2</v>
      </c>
      <c r="AJ26" s="44">
        <f t="shared" si="35"/>
        <v>1.3073878233794722E-2</v>
      </c>
      <c r="AK26" s="32">
        <f t="shared" si="36"/>
        <v>4.4989342003345603E-2</v>
      </c>
      <c r="AL26" s="44">
        <f t="shared" si="37"/>
        <v>1.4067933394921354E-2</v>
      </c>
      <c r="AM26" s="47"/>
    </row>
    <row r="27" spans="1:39" x14ac:dyDescent="0.2">
      <c r="A27" s="20" t="s">
        <v>21</v>
      </c>
      <c r="B27" s="23">
        <v>3.2031999999999998</v>
      </c>
      <c r="C27" s="23">
        <v>3.4336000000000002</v>
      </c>
      <c r="D27" s="23">
        <f t="shared" si="20"/>
        <v>0.23040000000000038</v>
      </c>
      <c r="E27" s="28">
        <v>155.24</v>
      </c>
      <c r="F27" s="28">
        <v>134.06</v>
      </c>
      <c r="G27" s="41">
        <f t="shared" si="24"/>
        <v>0.16632291264787458</v>
      </c>
      <c r="H27" s="41">
        <f t="shared" si="25"/>
        <v>0.16483030509841082</v>
      </c>
      <c r="J27" s="20" t="s">
        <v>21</v>
      </c>
      <c r="K27" s="23">
        <v>3.2395</v>
      </c>
      <c r="L27" s="23">
        <v>3.4842</v>
      </c>
      <c r="M27" s="23">
        <f t="shared" si="21"/>
        <v>0.24469999999999992</v>
      </c>
      <c r="N27">
        <v>169.15</v>
      </c>
      <c r="O27">
        <v>193.42</v>
      </c>
      <c r="P27" s="41">
        <f t="shared" si="38"/>
        <v>0.25897954214455576</v>
      </c>
      <c r="Q27" s="41">
        <f t="shared" si="39"/>
        <v>0.34014065145081296</v>
      </c>
      <c r="X27" s="20" t="s">
        <v>20</v>
      </c>
      <c r="Y27" s="50">
        <f t="shared" si="26"/>
        <v>12.633503927467908</v>
      </c>
      <c r="Z27" s="51">
        <f t="shared" si="27"/>
        <v>4.3681243514494001</v>
      </c>
      <c r="AA27" s="50">
        <f t="shared" si="28"/>
        <v>18.312116034060523</v>
      </c>
      <c r="AB27" s="51">
        <f t="shared" si="29"/>
        <v>6.6839178237548564</v>
      </c>
      <c r="AC27" s="32">
        <f t="shared" si="30"/>
        <v>15.472809980764215</v>
      </c>
      <c r="AD27" s="44">
        <f t="shared" si="31"/>
        <v>3.1904497624746373</v>
      </c>
      <c r="AE27" s="45"/>
      <c r="AF27" s="45"/>
      <c r="AG27" s="32">
        <f t="shared" si="32"/>
        <v>2.5886842305390557E-2</v>
      </c>
      <c r="AH27" s="44">
        <f t="shared" si="33"/>
        <v>2.8777246376349978E-2</v>
      </c>
      <c r="AI27" s="32">
        <f t="shared" si="34"/>
        <v>4.930157191552631E-2</v>
      </c>
      <c r="AJ27" s="44">
        <f t="shared" si="35"/>
        <v>1.2228794305739811E-2</v>
      </c>
      <c r="AK27" s="32">
        <f t="shared" si="36"/>
        <v>3.7594207110458432E-2</v>
      </c>
      <c r="AL27" s="44">
        <f t="shared" si="37"/>
        <v>1.1837424313102644E-2</v>
      </c>
      <c r="AM27" s="47"/>
    </row>
    <row r="28" spans="1:39" x14ac:dyDescent="0.2">
      <c r="A28" s="20" t="s">
        <v>23</v>
      </c>
      <c r="B28" s="21">
        <v>3.2206999999999999</v>
      </c>
      <c r="C28" s="21">
        <v>3.3794</v>
      </c>
      <c r="D28" s="21">
        <f t="shared" si="20"/>
        <v>0.15870000000000006</v>
      </c>
      <c r="E28" s="28">
        <v>5165.5600000000004</v>
      </c>
      <c r="F28" s="28">
        <v>5573.78</v>
      </c>
      <c r="G28" s="41">
        <f t="shared" si="24"/>
        <v>8.0347321985112075</v>
      </c>
      <c r="H28" s="41">
        <f t="shared" si="25"/>
        <v>9.9493158539272617</v>
      </c>
      <c r="J28" s="20" t="s">
        <v>23</v>
      </c>
      <c r="K28" s="21">
        <v>3.2479</v>
      </c>
      <c r="L28" s="21">
        <v>3.5143</v>
      </c>
      <c r="M28" s="21">
        <f t="shared" si="21"/>
        <v>0.26639999999999997</v>
      </c>
      <c r="N28">
        <v>8583.7800000000007</v>
      </c>
      <c r="O28">
        <v>9234.1200000000008</v>
      </c>
      <c r="P28" s="41">
        <f t="shared" si="38"/>
        <v>12.071793108622288</v>
      </c>
      <c r="Q28" s="41">
        <f t="shared" si="39"/>
        <v>14.916001662157926</v>
      </c>
      <c r="X28" s="20" t="s">
        <v>21</v>
      </c>
      <c r="Y28" s="50">
        <f t="shared" si="26"/>
        <v>0.20812923471997127</v>
      </c>
      <c r="Z28" s="51">
        <f t="shared" si="27"/>
        <v>0.12496080140263113</v>
      </c>
      <c r="AA28" s="50">
        <f t="shared" si="28"/>
        <v>0.36534219472332419</v>
      </c>
      <c r="AB28" s="51">
        <f t="shared" si="29"/>
        <v>0.24898450124918439</v>
      </c>
      <c r="AC28" s="32">
        <f t="shared" si="30"/>
        <v>0.28673571472164772</v>
      </c>
      <c r="AD28" s="44">
        <f t="shared" si="31"/>
        <v>0.10794871057411089</v>
      </c>
      <c r="AE28" s="45"/>
      <c r="AF28" s="52"/>
      <c r="AG28" s="32">
        <f t="shared" si="32"/>
        <v>5.2448381491576003E-3</v>
      </c>
      <c r="AH28" s="44">
        <f t="shared" si="33"/>
        <v>9.0843261518164763E-3</v>
      </c>
      <c r="AI28" s="32">
        <f t="shared" si="34"/>
        <v>3.5103011634085618E-3</v>
      </c>
      <c r="AJ28" s="44">
        <f t="shared" si="35"/>
        <v>4.0886699668426871E-3</v>
      </c>
      <c r="AK28" s="32">
        <f t="shared" si="36"/>
        <v>4.3775696562830813E-3</v>
      </c>
      <c r="AL28" s="44">
        <f t="shared" si="37"/>
        <v>3.8027164275708817E-3</v>
      </c>
      <c r="AM28" s="47"/>
    </row>
    <row r="29" spans="1:39" x14ac:dyDescent="0.2">
      <c r="A29" s="20" t="s">
        <v>24</v>
      </c>
      <c r="B29" s="21">
        <v>3.2418999999999998</v>
      </c>
      <c r="C29" s="21">
        <v>3.4725000000000001</v>
      </c>
      <c r="D29" s="21">
        <f t="shared" si="20"/>
        <v>0.23060000000000036</v>
      </c>
      <c r="E29" s="28">
        <v>318.79000000000002</v>
      </c>
      <c r="F29" s="28">
        <v>334.37</v>
      </c>
      <c r="G29" s="41">
        <f t="shared" si="24"/>
        <v>0.34125286736232469</v>
      </c>
      <c r="H29" s="41">
        <f t="shared" si="25"/>
        <v>0.41076016953063627</v>
      </c>
      <c r="J29" s="20" t="s">
        <v>24</v>
      </c>
      <c r="K29" s="21">
        <v>3.2241</v>
      </c>
      <c r="L29" s="21">
        <v>3.5364</v>
      </c>
      <c r="M29" s="21">
        <f t="shared" si="21"/>
        <v>0.31230000000000002</v>
      </c>
      <c r="N29">
        <v>170.68</v>
      </c>
      <c r="O29">
        <v>208.13</v>
      </c>
      <c r="P29" s="41">
        <f t="shared" si="38"/>
        <v>0.20475667848890261</v>
      </c>
      <c r="Q29" s="41">
        <f t="shared" si="39"/>
        <v>0.28678328131528225</v>
      </c>
      <c r="X29" s="38" t="s">
        <v>22</v>
      </c>
      <c r="Y29" s="50">
        <f>AVERAGE(P30,P48,P66)</f>
        <v>0.80178909750433114</v>
      </c>
      <c r="Z29" s="51">
        <f>STDEV(P30,P48,P66)</f>
        <v>0.47914497395971711</v>
      </c>
      <c r="AA29" s="50">
        <f>AVERAGE(Q30,Q48,Q66)</f>
        <v>1.1048653574207048</v>
      </c>
      <c r="AB29" s="51">
        <f>STDEV(Q30,Q48,Q66)</f>
        <v>0.6483022894087872</v>
      </c>
      <c r="AC29" s="32">
        <f>AVERAGE(Y29,AA29)</f>
        <v>0.95332722746251797</v>
      </c>
      <c r="AD29" s="44">
        <f>AVERAGE(Z29,AB29)/SQRT(3)</f>
        <v>0.32546599050145647</v>
      </c>
      <c r="AE29" s="45"/>
      <c r="AF29" s="44"/>
      <c r="AG29" s="32">
        <f>AVERAGE(P84,P102,P120)</f>
        <v>0.10008587563128513</v>
      </c>
      <c r="AH29" s="44">
        <f>STDEV(P84,P102,P120)</f>
        <v>1.7128866929738692E-2</v>
      </c>
      <c r="AI29" s="32">
        <f>AVERAGE(Q84,Q102,Q120)</f>
        <v>0.23922241812285519</v>
      </c>
      <c r="AJ29" s="44">
        <f>STDEV(Q84,Q102,Q120)</f>
        <v>5.5176029709041279E-2</v>
      </c>
      <c r="AK29" s="32">
        <f>AVERAGE(AG29,AI29)</f>
        <v>0.16965414687707014</v>
      </c>
      <c r="AL29" s="44">
        <f>AVERAGE(AH29,AJ29)/SQRT(3)</f>
        <v>2.0872625769063843E-2</v>
      </c>
      <c r="AM29" s="47"/>
    </row>
    <row r="30" spans="1:39" x14ac:dyDescent="0.2">
      <c r="A30" s="38" t="s">
        <v>22</v>
      </c>
      <c r="B30" s="21">
        <v>4.7923999999999998</v>
      </c>
      <c r="C30" s="21">
        <v>5.1688999999999998</v>
      </c>
      <c r="D30" s="21">
        <f t="shared" si="20"/>
        <v>0.37650000000000006</v>
      </c>
      <c r="E30" s="28">
        <v>1549.43</v>
      </c>
      <c r="F30" s="28">
        <v>1395.04</v>
      </c>
      <c r="G30" s="41">
        <f t="shared" si="24"/>
        <v>1.0158694554315049</v>
      </c>
      <c r="H30" s="41">
        <f t="shared" si="25"/>
        <v>1.049643938090433</v>
      </c>
      <c r="J30" s="38" t="s">
        <v>22</v>
      </c>
      <c r="K30" s="21">
        <v>5.0942999999999996</v>
      </c>
      <c r="L30" s="21">
        <v>5.4890999999999996</v>
      </c>
      <c r="M30" s="21">
        <f t="shared" si="21"/>
        <v>0.39480000000000004</v>
      </c>
      <c r="N30">
        <v>1169.25</v>
      </c>
      <c r="O30">
        <v>1100.9100000000001</v>
      </c>
      <c r="P30" s="41">
        <f t="shared" si="38"/>
        <v>1.1095775485684585</v>
      </c>
      <c r="Q30" s="41">
        <f t="shared" si="39"/>
        <v>1.1999573277294415</v>
      </c>
      <c r="X30" s="20" t="s">
        <v>23</v>
      </c>
      <c r="Y30" s="50">
        <f>AVERAGE(P28,P46,P64)</f>
        <v>13.300159150513215</v>
      </c>
      <c r="Z30" s="51">
        <f>STDEV(P28,P46,P64)</f>
        <v>1.4734420186712718</v>
      </c>
      <c r="AA30" s="50">
        <f>AVERAGE(Q28,Q46,Q64)</f>
        <v>20.6208883382733</v>
      </c>
      <c r="AB30" s="51">
        <f>STDEV(Q28,Q46,Q64)</f>
        <v>5.0057512920837999</v>
      </c>
      <c r="AC30" s="32">
        <f>AVERAGE(Y30,AA30)</f>
        <v>16.960523744393257</v>
      </c>
      <c r="AD30" s="44">
        <f>AVERAGE(Z30,AB30)/SQRT(3)</f>
        <v>1.8703820010480319</v>
      </c>
      <c r="AE30" s="45"/>
      <c r="AF30" s="45"/>
      <c r="AG30" s="32">
        <f>AVERAGE(P82,P100,P118)</f>
        <v>0.16559528800751136</v>
      </c>
      <c r="AH30" s="44">
        <f>STDEV(P82,P100,P118)</f>
        <v>7.4421001105886647E-2</v>
      </c>
      <c r="AI30" s="32">
        <f>AVERAGE(Q82,Q100,Q118)</f>
        <v>0.36859096035205452</v>
      </c>
      <c r="AJ30" s="44">
        <f>STDEV(Q82,Q100,Q118)</f>
        <v>0.15472280026720472</v>
      </c>
      <c r="AK30" s="32">
        <f>AVERAGE(AG30,AI30)</f>
        <v>0.26709312417978293</v>
      </c>
      <c r="AL30" s="44">
        <f>AVERAGE(AH30,AJ30)/SQRT(3)</f>
        <v>6.6148117702944223E-2</v>
      </c>
      <c r="AM30" s="53"/>
    </row>
    <row r="31" spans="1:39" x14ac:dyDescent="0.2">
      <c r="A31" s="28" t="s">
        <v>29</v>
      </c>
      <c r="B31" s="27">
        <v>3.2029000000000001</v>
      </c>
      <c r="C31" s="27">
        <v>3.2084000000000001</v>
      </c>
      <c r="D31" s="21">
        <f t="shared" si="20"/>
        <v>5.5000000000000604E-3</v>
      </c>
      <c r="E31" s="28">
        <v>9.16</v>
      </c>
      <c r="F31" s="28">
        <v>8.66</v>
      </c>
      <c r="G31" s="41">
        <f t="shared" si="24"/>
        <v>0.41111536333007032</v>
      </c>
      <c r="H31" s="41">
        <f t="shared" si="25"/>
        <v>0.44604176402950174</v>
      </c>
      <c r="J31" s="28" t="s">
        <v>29</v>
      </c>
      <c r="K31" s="27">
        <v>3.2216</v>
      </c>
      <c r="L31" s="27">
        <v>3.2298</v>
      </c>
      <c r="M31" s="21">
        <f t="shared" si="21"/>
        <v>8.1999999999999851E-3</v>
      </c>
      <c r="N31">
        <v>10.67</v>
      </c>
      <c r="O31">
        <v>14.33</v>
      </c>
      <c r="P31" s="41">
        <f t="shared" si="38"/>
        <v>0.48750378620706586</v>
      </c>
      <c r="Q31" s="41">
        <f t="shared" si="39"/>
        <v>0.75200974341537896</v>
      </c>
      <c r="X31" s="20" t="s">
        <v>24</v>
      </c>
      <c r="Y31" s="50">
        <f>AVERAGE(P29,P47,P65)</f>
        <v>0.15386856894173051</v>
      </c>
      <c r="Z31" s="51">
        <f>STDEV(P29,P47,P65)</f>
        <v>5.8438784295522024E-2</v>
      </c>
      <c r="AA31" s="50">
        <f>AVERAGE(Q29,Q47,Q65)</f>
        <v>0.24778919780649514</v>
      </c>
      <c r="AB31" s="51">
        <f>STDEV(Q29,Q47,Q65)</f>
        <v>0.10906130327962933</v>
      </c>
      <c r="AC31" s="32">
        <f>AVERAGE(Y31,AA31)</f>
        <v>0.20082888337411281</v>
      </c>
      <c r="AD31" s="44">
        <f>AVERAGE(Z31,AB31)/SQRT(3)</f>
        <v>4.8353110325399767E-2</v>
      </c>
      <c r="AE31" s="45"/>
      <c r="AF31" s="44"/>
      <c r="AG31" s="32">
        <f>AVERAGE(P83,P101,P119)</f>
        <v>5.570616263786036E-3</v>
      </c>
      <c r="AH31" s="44">
        <f>STDEV(P83,P101,P119)</f>
        <v>9.6485903983469252E-3</v>
      </c>
      <c r="AI31" s="32">
        <f>AVERAGE(Q83,Q101,Q119)</f>
        <v>4.9215363003790036E-2</v>
      </c>
      <c r="AJ31" s="44">
        <f>STDEV(Q83,Q101,Q119)</f>
        <v>4.3992801234431882E-2</v>
      </c>
      <c r="AK31" s="32">
        <f>AVERAGE(AG31,AI31)</f>
        <v>2.7392989633788035E-2</v>
      </c>
      <c r="AL31" s="44">
        <f>AVERAGE(AH31,AJ31)/SQRT(3)</f>
        <v>1.5484935949445493E-2</v>
      </c>
      <c r="AM31" s="53"/>
    </row>
    <row r="32" spans="1:39" ht="16" thickBot="1" x14ac:dyDescent="0.25">
      <c r="A32" s="24" t="s">
        <v>25</v>
      </c>
      <c r="B32" s="25">
        <v>3.2227999999999999</v>
      </c>
      <c r="C32" s="25">
        <v>3.2763</v>
      </c>
      <c r="D32" s="25">
        <f t="shared" si="20"/>
        <v>5.3500000000000103E-2</v>
      </c>
      <c r="E32" s="14">
        <v>324.7</v>
      </c>
      <c r="F32" s="14">
        <v>311.31</v>
      </c>
      <c r="G32" s="42">
        <f t="shared" si="24"/>
        <v>1.4981642484655202</v>
      </c>
      <c r="H32" s="42">
        <f t="shared" si="25"/>
        <v>1.6483886352121473</v>
      </c>
      <c r="J32" s="24" t="s">
        <v>25</v>
      </c>
      <c r="K32" s="25">
        <v>3.2366999999999999</v>
      </c>
      <c r="L32" s="25">
        <v>3.2915999999999999</v>
      </c>
      <c r="M32" s="25">
        <f t="shared" si="21"/>
        <v>5.4899999999999949E-2</v>
      </c>
      <c r="N32" s="63">
        <v>482.89</v>
      </c>
      <c r="O32" s="64">
        <v>525.46</v>
      </c>
      <c r="P32" s="42">
        <f t="shared" si="38"/>
        <v>3.2953632441305825</v>
      </c>
      <c r="Q32" s="42">
        <f t="shared" si="39"/>
        <v>4.118683753059063</v>
      </c>
      <c r="X32" s="28" t="s">
        <v>29</v>
      </c>
      <c r="Y32" s="50">
        <f t="shared" si="26"/>
        <v>0.28540279824951759</v>
      </c>
      <c r="Z32" s="51">
        <f t="shared" si="27"/>
        <v>0.25420342068901353</v>
      </c>
      <c r="AA32" s="50">
        <f t="shared" si="28"/>
        <v>1.0538335604343165</v>
      </c>
      <c r="AB32" s="51">
        <f t="shared" si="29"/>
        <v>0.47532303434634182</v>
      </c>
      <c r="AC32" s="32">
        <f t="shared" si="30"/>
        <v>0.66961817934191703</v>
      </c>
      <c r="AD32" s="44">
        <f t="shared" si="31"/>
        <v>0.2105961475978079</v>
      </c>
      <c r="AE32" s="45"/>
      <c r="AF32" s="44"/>
      <c r="AG32" s="32">
        <f t="shared" si="32"/>
        <v>2.4618190509851576E-3</v>
      </c>
      <c r="AH32" s="44">
        <f t="shared" si="33"/>
        <v>4.2639956753472898E-3</v>
      </c>
      <c r="AI32" s="32">
        <f t="shared" si="34"/>
        <v>0.70728186210212041</v>
      </c>
      <c r="AJ32" s="44">
        <f t="shared" si="35"/>
        <v>0.49008874023766774</v>
      </c>
      <c r="AK32" s="32">
        <f t="shared" si="36"/>
        <v>0.3548718405765528</v>
      </c>
      <c r="AL32" s="44">
        <f t="shared" si="37"/>
        <v>0.14270734257700363</v>
      </c>
      <c r="AM32" s="53"/>
    </row>
    <row r="33" spans="1:38" ht="16" thickBot="1" x14ac:dyDescent="0.25">
      <c r="A33" s="18" t="s">
        <v>26</v>
      </c>
      <c r="B33" s="19"/>
      <c r="C33" s="18"/>
      <c r="D33" s="18"/>
      <c r="E33" s="18"/>
      <c r="F33" s="18"/>
      <c r="G33" s="26">
        <f>G24/G23</f>
        <v>13.047601537701178</v>
      </c>
      <c r="H33" s="26">
        <f>H24/H23</f>
        <v>12.75277908294238</v>
      </c>
      <c r="J33" s="18" t="s">
        <v>26</v>
      </c>
      <c r="K33" s="19"/>
      <c r="L33" s="18"/>
      <c r="M33" s="18"/>
      <c r="N33" s="18"/>
      <c r="O33" s="18"/>
      <c r="P33" s="26" t="e">
        <f>P24/P23</f>
        <v>#DIV/0!</v>
      </c>
      <c r="Q33" s="26">
        <f>Q24/Q23</f>
        <v>22887.126082949206</v>
      </c>
      <c r="X33" s="24" t="s">
        <v>25</v>
      </c>
      <c r="Y33" s="50">
        <f t="shared" si="26"/>
        <v>2.2363124984457019</v>
      </c>
      <c r="Z33" s="51">
        <f t="shared" si="27"/>
        <v>1.0675123353438549</v>
      </c>
      <c r="AA33" s="50">
        <f t="shared" si="28"/>
        <v>3.7150195941933135</v>
      </c>
      <c r="AB33" s="51">
        <f t="shared" si="29"/>
        <v>1.632081236836689</v>
      </c>
      <c r="AC33" s="32">
        <f t="shared" si="30"/>
        <v>2.9756660463195077</v>
      </c>
      <c r="AD33" s="44">
        <f t="shared" si="31"/>
        <v>0.77930553780051026</v>
      </c>
      <c r="AE33" s="45"/>
      <c r="AF33" s="44"/>
      <c r="AG33" s="32">
        <f t="shared" si="32"/>
        <v>2.7240996352864089E-2</v>
      </c>
      <c r="AH33" s="44">
        <f t="shared" si="33"/>
        <v>4.7182789731959086E-2</v>
      </c>
      <c r="AI33" s="32">
        <f t="shared" si="34"/>
        <v>0.21451007160131463</v>
      </c>
      <c r="AJ33" s="44">
        <f t="shared" si="35"/>
        <v>0.24642824267749699</v>
      </c>
      <c r="AK33" s="32">
        <f t="shared" si="36"/>
        <v>0.12087553397708936</v>
      </c>
      <c r="AL33" s="44">
        <f t="shared" si="37"/>
        <v>8.475820429932171E-2</v>
      </c>
    </row>
    <row r="34" spans="1:38" x14ac:dyDescent="0.2">
      <c r="A34" s="20" t="s">
        <v>27</v>
      </c>
      <c r="B34" s="27"/>
      <c r="C34" s="28"/>
      <c r="D34" s="28"/>
      <c r="E34" s="28"/>
      <c r="F34" s="28"/>
      <c r="G34" s="29">
        <f>G24/G22</f>
        <v>1276.1128005046385</v>
      </c>
      <c r="H34" s="29">
        <f>H24/H22</f>
        <v>1739.3134493681255</v>
      </c>
      <c r="J34" s="20" t="s">
        <v>27</v>
      </c>
      <c r="K34" s="27"/>
      <c r="L34" s="28"/>
      <c r="M34" s="28"/>
      <c r="N34" s="28"/>
      <c r="O34" s="28"/>
      <c r="P34" s="29">
        <f>P24/P22</f>
        <v>104590.51022804625</v>
      </c>
      <c r="Q34" s="29">
        <f>Q24/Q22</f>
        <v>44124.75624454215</v>
      </c>
    </row>
    <row r="35" spans="1:38" x14ac:dyDescent="0.2">
      <c r="A35" s="30" t="s">
        <v>28</v>
      </c>
      <c r="B35" s="21"/>
      <c r="C35" s="20"/>
      <c r="D35" s="20"/>
      <c r="E35" s="20"/>
      <c r="F35" s="20"/>
      <c r="G35" s="22">
        <f>G24/G29</f>
        <v>309.19007786343735</v>
      </c>
      <c r="H35" s="22">
        <f>H24/H29</f>
        <v>272.72945579870003</v>
      </c>
      <c r="J35" s="30" t="s">
        <v>28</v>
      </c>
      <c r="K35" s="21"/>
      <c r="L35" s="20"/>
      <c r="M35" s="20"/>
      <c r="N35" s="20"/>
      <c r="O35" s="20"/>
      <c r="P35" s="22">
        <f>P24/P29</f>
        <v>2499.199942031812</v>
      </c>
      <c r="Q35" s="22">
        <f>Q24/Q29</f>
        <v>1973.6916957032968</v>
      </c>
    </row>
    <row r="36" spans="1:38" x14ac:dyDescent="0.2">
      <c r="B36" s="31"/>
      <c r="C36" s="31"/>
      <c r="D36" s="31"/>
      <c r="E36" s="2"/>
      <c r="F36" s="32"/>
      <c r="K36" s="31"/>
      <c r="L36" s="31"/>
      <c r="M36" s="31"/>
      <c r="N36" s="2"/>
      <c r="O36" s="32"/>
    </row>
    <row r="37" spans="1:38" ht="16" thickBot="1" x14ac:dyDescent="0.25">
      <c r="A37" s="14" t="s">
        <v>11</v>
      </c>
      <c r="B37" s="15">
        <v>27</v>
      </c>
      <c r="C37" s="14"/>
      <c r="D37" s="16"/>
      <c r="E37" s="16"/>
      <c r="F37" s="16"/>
      <c r="G37" s="17"/>
      <c r="H37" s="14"/>
      <c r="J37" s="14" t="s">
        <v>11</v>
      </c>
      <c r="K37" s="15">
        <v>14</v>
      </c>
      <c r="L37" s="14"/>
      <c r="M37" s="16"/>
      <c r="N37" s="16"/>
      <c r="O37" s="16"/>
      <c r="P37" s="17"/>
      <c r="Q37" s="14"/>
    </row>
    <row r="38" spans="1:38" x14ac:dyDescent="0.2">
      <c r="A38" s="18" t="s">
        <v>12</v>
      </c>
      <c r="B38" s="19" t="s">
        <v>13</v>
      </c>
      <c r="C38" s="18" t="s">
        <v>14</v>
      </c>
      <c r="D38" s="18" t="s">
        <v>15</v>
      </c>
      <c r="E38" s="18" t="s">
        <v>36</v>
      </c>
      <c r="F38" s="38" t="s">
        <v>37</v>
      </c>
      <c r="G38" s="39" t="s">
        <v>38</v>
      </c>
      <c r="H38" s="40" t="s">
        <v>39</v>
      </c>
      <c r="J38" s="18" t="s">
        <v>12</v>
      </c>
      <c r="K38" s="19" t="s">
        <v>13</v>
      </c>
      <c r="L38" s="18" t="s">
        <v>14</v>
      </c>
      <c r="M38" s="18" t="s">
        <v>15</v>
      </c>
      <c r="N38" s="18" t="s">
        <v>36</v>
      </c>
      <c r="O38" s="38" t="s">
        <v>37</v>
      </c>
      <c r="P38" s="39" t="s">
        <v>38</v>
      </c>
      <c r="Q38" s="40" t="s">
        <v>39</v>
      </c>
    </row>
    <row r="39" spans="1:38" x14ac:dyDescent="0.2">
      <c r="A39" s="20"/>
      <c r="B39" s="21"/>
      <c r="C39" s="20"/>
      <c r="D39" s="20"/>
      <c r="E39" s="20"/>
      <c r="F39" s="30"/>
      <c r="J39" s="20"/>
      <c r="K39" s="21"/>
      <c r="L39" s="20"/>
      <c r="M39" s="20"/>
      <c r="N39" s="20"/>
      <c r="O39" s="30"/>
    </row>
    <row r="40" spans="1:38" x14ac:dyDescent="0.2">
      <c r="A40" s="20" t="s">
        <v>16</v>
      </c>
      <c r="B40" s="21">
        <v>3.2305999999999999</v>
      </c>
      <c r="C40" s="21">
        <v>3.5821000000000001</v>
      </c>
      <c r="D40" s="21">
        <f t="shared" ref="D40:D50" si="40">C40-B40</f>
        <v>0.35150000000000015</v>
      </c>
      <c r="E40" s="28">
        <v>57.2</v>
      </c>
      <c r="F40" s="28">
        <v>74.28</v>
      </c>
      <c r="G40" s="41">
        <f>(E40/$B$14)/D40</f>
        <v>4.016998058962571E-2</v>
      </c>
      <c r="H40" s="41">
        <f>(F40/$C$14)/D40</f>
        <v>5.986415930295913E-2</v>
      </c>
      <c r="J40" s="20" t="s">
        <v>16</v>
      </c>
      <c r="K40" s="21">
        <v>3.2214</v>
      </c>
      <c r="L40" s="21">
        <v>3.7229999999999999</v>
      </c>
      <c r="M40" s="21">
        <f t="shared" ref="M40:M50" si="41">L40-K40</f>
        <v>0.50159999999999982</v>
      </c>
      <c r="N40">
        <v>0</v>
      </c>
      <c r="O40">
        <v>4.8</v>
      </c>
      <c r="P40" s="41">
        <f t="shared" ref="P40:P42" si="42">(N40/$F$14)/M40</f>
        <v>0</v>
      </c>
      <c r="Q40" s="41">
        <f t="shared" ref="Q40:Q42" si="43">(O40/$G$14)/M40</f>
        <v>4.1178909277929986E-3</v>
      </c>
    </row>
    <row r="41" spans="1:38" x14ac:dyDescent="0.2">
      <c r="A41" s="20" t="s">
        <v>17</v>
      </c>
      <c r="B41" s="21">
        <v>3.2399</v>
      </c>
      <c r="C41" s="21">
        <v>3.2934000000000001</v>
      </c>
      <c r="D41" s="21">
        <f t="shared" si="40"/>
        <v>5.3500000000000103E-2</v>
      </c>
      <c r="E41" s="28">
        <v>1089.6099999999999</v>
      </c>
      <c r="F41" s="28">
        <v>1378.42</v>
      </c>
      <c r="G41" s="41">
        <f t="shared" ref="G41:G50" si="44">(E41/$B$14)/D41</f>
        <v>5.0274553334478451</v>
      </c>
      <c r="H41" s="41">
        <f t="shared" ref="H41:H50" si="45">(F41/$C$14)/D41</f>
        <v>7.2987435756934502</v>
      </c>
      <c r="J41" s="20" t="s">
        <v>17</v>
      </c>
      <c r="K41" s="21">
        <v>3.2248999999999999</v>
      </c>
      <c r="L41" s="21">
        <v>3.3578000000000001</v>
      </c>
      <c r="M41" s="21">
        <f t="shared" si="41"/>
        <v>0.13290000000000024</v>
      </c>
      <c r="N41">
        <v>3.18</v>
      </c>
      <c r="O41">
        <v>15.47</v>
      </c>
      <c r="P41" s="41">
        <f t="shared" si="42"/>
        <v>8.9645721103911568E-3</v>
      </c>
      <c r="Q41" s="41">
        <f t="shared" si="43"/>
        <v>5.0090626352400788E-2</v>
      </c>
    </row>
    <row r="42" spans="1:38" x14ac:dyDescent="0.2">
      <c r="A42" s="20" t="s">
        <v>18</v>
      </c>
      <c r="B42" s="21">
        <v>4.9856999999999996</v>
      </c>
      <c r="C42" s="21">
        <v>5.1238000000000001</v>
      </c>
      <c r="D42" s="21">
        <f t="shared" si="40"/>
        <v>0.13810000000000056</v>
      </c>
      <c r="E42" s="28">
        <v>124938.08</v>
      </c>
      <c r="F42" s="28">
        <v>145863.92000000001</v>
      </c>
      <c r="G42" s="41">
        <f>(E42/$B$14)/D42</f>
        <v>223.32228943118369</v>
      </c>
      <c r="H42" s="41">
        <f t="shared" si="45"/>
        <v>299.20891162127901</v>
      </c>
      <c r="J42" s="20" t="s">
        <v>18</v>
      </c>
      <c r="K42" s="21">
        <v>4.9950999999999999</v>
      </c>
      <c r="L42" s="21">
        <v>5.1376999999999997</v>
      </c>
      <c r="M42" s="21">
        <f t="shared" si="41"/>
        <v>0.14259999999999984</v>
      </c>
      <c r="N42">
        <v>34031.300000000003</v>
      </c>
      <c r="O42">
        <v>39408.9</v>
      </c>
      <c r="P42" s="41">
        <f t="shared" si="42"/>
        <v>89.410071043913206</v>
      </c>
      <c r="Q42" s="41">
        <f t="shared" si="43"/>
        <v>118.92301656002469</v>
      </c>
    </row>
    <row r="43" spans="1:38" x14ac:dyDescent="0.2">
      <c r="A43" s="20" t="s">
        <v>19</v>
      </c>
      <c r="B43" s="21">
        <v>3.2239</v>
      </c>
      <c r="C43" s="21">
        <v>3.3509000000000002</v>
      </c>
      <c r="D43" s="21">
        <f t="shared" si="40"/>
        <v>0.12700000000000022</v>
      </c>
      <c r="E43" s="28">
        <v>123.29</v>
      </c>
      <c r="F43" s="28">
        <v>123.08</v>
      </c>
      <c r="G43" s="41">
        <f t="shared" si="44"/>
        <v>0.23963765111689531</v>
      </c>
      <c r="H43" s="41">
        <f t="shared" si="45"/>
        <v>0.27453902615167364</v>
      </c>
      <c r="J43" s="20" t="s">
        <v>19</v>
      </c>
      <c r="K43" s="21">
        <v>3.2343999999999999</v>
      </c>
      <c r="L43" s="21">
        <v>3.4016000000000002</v>
      </c>
      <c r="M43" s="21">
        <f t="shared" si="41"/>
        <v>0.16720000000000024</v>
      </c>
      <c r="N43">
        <v>138.27000000000001</v>
      </c>
      <c r="O43">
        <v>181.7</v>
      </c>
      <c r="P43" s="41">
        <f>(N43/$F$14)/M43</f>
        <v>0.30982689574499922</v>
      </c>
      <c r="Q43" s="41">
        <f>(O43/$G$14)/M43</f>
        <v>0.46763798848749161</v>
      </c>
    </row>
    <row r="44" spans="1:38" x14ac:dyDescent="0.2">
      <c r="A44" s="20" t="s">
        <v>20</v>
      </c>
      <c r="B44" s="21">
        <v>3.242</v>
      </c>
      <c r="C44" s="21">
        <v>3.3372999999999999</v>
      </c>
      <c r="D44" s="21">
        <f t="shared" si="40"/>
        <v>9.529999999999994E-2</v>
      </c>
      <c r="E44" s="28">
        <v>1520.23</v>
      </c>
      <c r="F44" s="28">
        <v>1923.25</v>
      </c>
      <c r="G44" s="41">
        <f t="shared" si="44"/>
        <v>3.9377425669960191</v>
      </c>
      <c r="H44" s="41">
        <f t="shared" si="45"/>
        <v>5.7169337920164844</v>
      </c>
      <c r="J44" s="20" t="s">
        <v>20</v>
      </c>
      <c r="K44" s="21">
        <v>3.2368999999999999</v>
      </c>
      <c r="L44" s="21">
        <v>3.2829000000000002</v>
      </c>
      <c r="M44" s="21">
        <f t="shared" si="41"/>
        <v>4.6000000000000263E-2</v>
      </c>
      <c r="N44">
        <v>2163.1</v>
      </c>
      <c r="O44">
        <v>2614.7800000000002</v>
      </c>
      <c r="P44" s="41">
        <f t="shared" ref="P44:P50" si="46">(N44/$F$14)/M44</f>
        <v>17.617577538700274</v>
      </c>
      <c r="Q44" s="41">
        <f t="shared" ref="Q44:Q50" si="47">(O44/$G$14)/M44</f>
        <v>24.460675843439926</v>
      </c>
    </row>
    <row r="45" spans="1:38" x14ac:dyDescent="0.2">
      <c r="A45" s="20" t="s">
        <v>21</v>
      </c>
      <c r="B45" s="23">
        <v>3.2444000000000002</v>
      </c>
      <c r="C45" s="23">
        <v>3.3999000000000001</v>
      </c>
      <c r="D45" s="23">
        <f t="shared" si="40"/>
        <v>0.15549999999999997</v>
      </c>
      <c r="E45" s="28">
        <v>89.77</v>
      </c>
      <c r="F45" s="28">
        <v>102.63</v>
      </c>
      <c r="G45" s="41">
        <f t="shared" si="44"/>
        <v>0.14250554199986978</v>
      </c>
      <c r="H45" s="41">
        <f t="shared" si="45"/>
        <v>0.18696669785532438</v>
      </c>
      <c r="J45" s="20" t="s">
        <v>21</v>
      </c>
      <c r="K45" s="23">
        <v>3.2431999999999999</v>
      </c>
      <c r="L45" s="23">
        <v>3.4581</v>
      </c>
      <c r="M45" s="23">
        <f t="shared" si="41"/>
        <v>0.21490000000000009</v>
      </c>
      <c r="N45">
        <v>37.72</v>
      </c>
      <c r="O45">
        <v>64.88</v>
      </c>
      <c r="P45" s="41">
        <f t="shared" si="46"/>
        <v>6.5760134762878744E-2</v>
      </c>
      <c r="Q45" s="41">
        <f t="shared" si="47"/>
        <v>0.1299168719162373</v>
      </c>
    </row>
    <row r="46" spans="1:38" x14ac:dyDescent="0.2">
      <c r="A46" s="20" t="s">
        <v>23</v>
      </c>
      <c r="B46" s="21">
        <v>3.2382</v>
      </c>
      <c r="C46" s="21">
        <v>3.6854</v>
      </c>
      <c r="D46" s="21">
        <f t="shared" si="40"/>
        <v>0.44720000000000004</v>
      </c>
      <c r="E46" s="28">
        <v>14018.56</v>
      </c>
      <c r="F46" s="28">
        <v>18586.7</v>
      </c>
      <c r="G46" s="41">
        <f t="shared" si="44"/>
        <v>7.7380678302803307</v>
      </c>
      <c r="H46" s="41">
        <f t="shared" si="45"/>
        <v>11.773912841612313</v>
      </c>
      <c r="J46" s="20" t="s">
        <v>23</v>
      </c>
      <c r="K46" s="21">
        <v>3.2387000000000001</v>
      </c>
      <c r="L46" s="21">
        <v>3.5977000000000001</v>
      </c>
      <c r="M46" s="21">
        <f t="shared" si="41"/>
        <v>0.35899999999999999</v>
      </c>
      <c r="N46">
        <v>14309.96</v>
      </c>
      <c r="O46">
        <v>18911.25</v>
      </c>
      <c r="P46" s="41">
        <f t="shared" si="46"/>
        <v>14.933836670086789</v>
      </c>
      <c r="Q46" s="41">
        <f t="shared" si="47"/>
        <v>22.668193795151943</v>
      </c>
    </row>
    <row r="47" spans="1:38" x14ac:dyDescent="0.2">
      <c r="A47" s="20" t="s">
        <v>24</v>
      </c>
      <c r="B47" s="21">
        <v>3.2248000000000001</v>
      </c>
      <c r="C47" s="21">
        <v>3.3841000000000001</v>
      </c>
      <c r="D47" s="21">
        <f t="shared" si="40"/>
        <v>0.1593</v>
      </c>
      <c r="E47" s="28">
        <v>189.86</v>
      </c>
      <c r="F47" s="28">
        <v>210.05</v>
      </c>
      <c r="G47" s="41">
        <f t="shared" si="44"/>
        <v>0.29420403392171818</v>
      </c>
      <c r="H47" s="41">
        <f t="shared" si="45"/>
        <v>0.37353150035677762</v>
      </c>
      <c r="J47" s="20" t="s">
        <v>24</v>
      </c>
      <c r="K47" s="21">
        <v>3.2330999999999999</v>
      </c>
      <c r="L47" s="21">
        <v>3.5272999999999999</v>
      </c>
      <c r="M47" s="21">
        <f t="shared" si="41"/>
        <v>0.29420000000000002</v>
      </c>
      <c r="N47">
        <v>70.709999999999994</v>
      </c>
      <c r="O47">
        <v>85.18</v>
      </c>
      <c r="P47" s="41">
        <f t="shared" si="46"/>
        <v>9.0046242451262623E-2</v>
      </c>
      <c r="Q47" s="41">
        <f t="shared" si="47"/>
        <v>0.12459083512737283</v>
      </c>
    </row>
    <row r="48" spans="1:38" x14ac:dyDescent="0.2">
      <c r="A48" s="38" t="s">
        <v>22</v>
      </c>
      <c r="B48" s="21">
        <v>4.8720999999999997</v>
      </c>
      <c r="C48" s="21">
        <v>5.3037999999999998</v>
      </c>
      <c r="D48" s="21">
        <f t="shared" si="40"/>
        <v>0.43170000000000019</v>
      </c>
      <c r="E48" s="28">
        <v>1482.36</v>
      </c>
      <c r="F48" s="28">
        <v>1707.97</v>
      </c>
      <c r="G48" s="41">
        <f t="shared" si="44"/>
        <v>0.84762266547579035</v>
      </c>
      <c r="H48" s="41">
        <f t="shared" si="45"/>
        <v>1.1207751978996294</v>
      </c>
      <c r="J48" s="38" t="s">
        <v>22</v>
      </c>
      <c r="K48" s="21">
        <v>5.0532000000000004</v>
      </c>
      <c r="L48" s="21">
        <v>5.4212999999999996</v>
      </c>
      <c r="M48" s="21">
        <f t="shared" si="41"/>
        <v>0.36809999999999921</v>
      </c>
      <c r="N48">
        <v>245.37</v>
      </c>
      <c r="O48">
        <v>354.37</v>
      </c>
      <c r="P48" s="41">
        <f t="shared" si="46"/>
        <v>0.24973710410315136</v>
      </c>
      <c r="Q48" s="41">
        <f t="shared" si="47"/>
        <v>0.41426883277525078</v>
      </c>
    </row>
    <row r="49" spans="1:17" x14ac:dyDescent="0.2">
      <c r="A49" s="28" t="s">
        <v>29</v>
      </c>
      <c r="B49" s="27">
        <v>3.2302</v>
      </c>
      <c r="C49" s="27">
        <v>3.2324999999999999</v>
      </c>
      <c r="D49" s="21">
        <f t="shared" si="40"/>
        <v>2.2999999999999687E-3</v>
      </c>
      <c r="E49" s="28">
        <v>8.18</v>
      </c>
      <c r="F49" s="28">
        <v>17.32</v>
      </c>
      <c r="G49" s="41">
        <f t="shared" si="44"/>
        <v>0.87792292558478824</v>
      </c>
      <c r="H49" s="41">
        <f t="shared" si="45"/>
        <v>2.1332432192715824</v>
      </c>
      <c r="J49" s="28" t="s">
        <v>29</v>
      </c>
      <c r="K49" s="27">
        <v>3.2262</v>
      </c>
      <c r="L49" s="21">
        <v>3.2309999999999999</v>
      </c>
      <c r="M49" s="21">
        <f t="shared" si="41"/>
        <v>4.7999999999999154E-3</v>
      </c>
      <c r="N49">
        <v>0</v>
      </c>
      <c r="O49">
        <v>9.01</v>
      </c>
      <c r="P49" s="41">
        <f t="shared" si="46"/>
        <v>0</v>
      </c>
      <c r="Q49" s="41">
        <f t="shared" si="47"/>
        <v>0.8077457528351929</v>
      </c>
    </row>
    <row r="50" spans="1:17" ht="16" thickBot="1" x14ac:dyDescent="0.25">
      <c r="A50" s="24" t="s">
        <v>25</v>
      </c>
      <c r="B50" s="25">
        <v>3.2238000000000002</v>
      </c>
      <c r="C50" s="25">
        <v>3.2643</v>
      </c>
      <c r="D50" s="25">
        <f t="shared" si="40"/>
        <v>4.0499999999999758E-2</v>
      </c>
      <c r="E50" s="14">
        <v>222.84</v>
      </c>
      <c r="F50" s="14">
        <v>331.66</v>
      </c>
      <c r="G50" s="42">
        <f t="shared" si="44"/>
        <v>1.3582166467319245</v>
      </c>
      <c r="H50" s="42">
        <f t="shared" si="45"/>
        <v>2.31984193829769</v>
      </c>
      <c r="J50" s="24" t="s">
        <v>25</v>
      </c>
      <c r="K50" s="25">
        <v>3.2429000000000001</v>
      </c>
      <c r="L50" s="25">
        <v>3.2894999999999999</v>
      </c>
      <c r="M50" s="25">
        <f t="shared" si="41"/>
        <v>4.6599999999999753E-2</v>
      </c>
      <c r="N50" s="63">
        <v>144.35</v>
      </c>
      <c r="O50" s="64">
        <v>207.81</v>
      </c>
      <c r="P50" s="42">
        <f t="shared" si="46"/>
        <v>1.1605351465134683</v>
      </c>
      <c r="Q50" s="42">
        <f t="shared" si="47"/>
        <v>1.9189853322347155</v>
      </c>
    </row>
    <row r="51" spans="1:17" x14ac:dyDescent="0.2">
      <c r="A51" s="18" t="s">
        <v>26</v>
      </c>
      <c r="B51" s="19"/>
      <c r="C51" s="18"/>
      <c r="D51" s="18"/>
      <c r="E51" s="18"/>
      <c r="F51" s="18"/>
      <c r="G51" s="26">
        <f>G42/G41</f>
        <v>44.420541729214833</v>
      </c>
      <c r="H51" s="26">
        <f>H42/H41</f>
        <v>40.994577836343744</v>
      </c>
      <c r="J51" s="18" t="s">
        <v>26</v>
      </c>
      <c r="K51" s="19"/>
      <c r="L51" s="18"/>
      <c r="M51" s="18"/>
      <c r="N51" s="18"/>
      <c r="O51" s="18"/>
      <c r="P51" s="26">
        <f>P42/P41</f>
        <v>9973.7131837307425</v>
      </c>
      <c r="Q51" s="26">
        <f>Q42/Q41</f>
        <v>2374.1571072274055</v>
      </c>
    </row>
    <row r="52" spans="1:17" x14ac:dyDescent="0.2">
      <c r="A52" s="20" t="s">
        <v>27</v>
      </c>
      <c r="B52" s="27"/>
      <c r="C52" s="28"/>
      <c r="D52" s="28"/>
      <c r="E52" s="28"/>
      <c r="F52" s="28"/>
      <c r="G52" s="29">
        <f>G42/G40</f>
        <v>5559.4323460753394</v>
      </c>
      <c r="H52" s="29">
        <f>H42/H40</f>
        <v>4998.1310203831572</v>
      </c>
      <c r="J52" s="20" t="s">
        <v>27</v>
      </c>
      <c r="K52" s="27"/>
      <c r="L52" s="28"/>
      <c r="M52" s="28"/>
      <c r="N52" s="28"/>
      <c r="O52" s="28"/>
      <c r="P52" s="29" t="e">
        <f>P42/P40</f>
        <v>#DIV/0!</v>
      </c>
      <c r="Q52" s="29">
        <f>Q42/Q40</f>
        <v>28879.593618513347</v>
      </c>
    </row>
    <row r="53" spans="1:17" x14ac:dyDescent="0.2">
      <c r="A53" s="30" t="s">
        <v>28</v>
      </c>
      <c r="B53" s="21"/>
      <c r="C53" s="20"/>
      <c r="D53" s="20"/>
      <c r="E53" s="20"/>
      <c r="F53" s="20"/>
      <c r="G53" s="22">
        <f>G42/G47</f>
        <v>759.07283273554742</v>
      </c>
      <c r="H53" s="22">
        <f>H42/H47</f>
        <v>801.02725295052869</v>
      </c>
      <c r="J53" s="30" t="s">
        <v>28</v>
      </c>
      <c r="K53" s="21"/>
      <c r="L53" s="20"/>
      <c r="M53" s="20"/>
      <c r="N53" s="20"/>
      <c r="O53" s="20"/>
      <c r="P53" s="22">
        <f>P42/P47</f>
        <v>992.93505880943621</v>
      </c>
      <c r="Q53" s="22">
        <f>Q42/Q47</f>
        <v>954.50854341289414</v>
      </c>
    </row>
    <row r="55" spans="1:17" ht="16" thickBot="1" x14ac:dyDescent="0.25">
      <c r="A55" s="14" t="s">
        <v>11</v>
      </c>
      <c r="B55" s="15">
        <v>37</v>
      </c>
      <c r="C55" s="14"/>
      <c r="D55" s="16"/>
      <c r="E55" s="16"/>
      <c r="F55" s="16"/>
      <c r="G55" s="17"/>
      <c r="H55" s="14"/>
      <c r="J55" s="14" t="s">
        <v>11</v>
      </c>
      <c r="K55" s="15">
        <v>50</v>
      </c>
      <c r="L55" s="14"/>
      <c r="M55" s="16"/>
      <c r="N55" s="16"/>
      <c r="O55" s="16"/>
      <c r="P55" s="17"/>
      <c r="Q55" s="14"/>
    </row>
    <row r="56" spans="1:17" x14ac:dyDescent="0.2">
      <c r="A56" s="18" t="s">
        <v>12</v>
      </c>
      <c r="B56" s="19" t="s">
        <v>13</v>
      </c>
      <c r="C56" s="18" t="s">
        <v>14</v>
      </c>
      <c r="D56" s="18" t="s">
        <v>15</v>
      </c>
      <c r="E56" s="18" t="s">
        <v>36</v>
      </c>
      <c r="F56" s="38" t="s">
        <v>37</v>
      </c>
      <c r="G56" s="39" t="s">
        <v>38</v>
      </c>
      <c r="H56" s="40" t="s">
        <v>39</v>
      </c>
      <c r="J56" s="18" t="s">
        <v>12</v>
      </c>
      <c r="K56" s="19" t="s">
        <v>13</v>
      </c>
      <c r="L56" s="18" t="s">
        <v>14</v>
      </c>
      <c r="M56" s="18" t="s">
        <v>15</v>
      </c>
      <c r="N56" s="18" t="s">
        <v>36</v>
      </c>
      <c r="O56" s="38" t="s">
        <v>37</v>
      </c>
      <c r="P56" s="39" t="s">
        <v>38</v>
      </c>
      <c r="Q56" s="40" t="s">
        <v>39</v>
      </c>
    </row>
    <row r="57" spans="1:17" x14ac:dyDescent="0.2">
      <c r="A57" s="20"/>
      <c r="B57" s="21"/>
      <c r="C57" s="20"/>
      <c r="D57" s="20"/>
      <c r="E57" s="20"/>
      <c r="F57" s="30"/>
      <c r="J57" s="20"/>
      <c r="K57" s="21"/>
      <c r="L57" s="20"/>
      <c r="M57" s="20"/>
      <c r="N57" s="20"/>
      <c r="O57" s="30"/>
    </row>
    <row r="58" spans="1:17" x14ac:dyDescent="0.2">
      <c r="A58" s="20" t="s">
        <v>16</v>
      </c>
      <c r="B58" s="21">
        <v>3.2385999999999999</v>
      </c>
      <c r="C58" s="21">
        <v>3.5958999999999999</v>
      </c>
      <c r="D58" s="21">
        <f t="shared" ref="D58:D68" si="48">C58-B58</f>
        <v>0.35729999999999995</v>
      </c>
      <c r="E58" s="28">
        <v>35.24</v>
      </c>
      <c r="F58" s="28">
        <v>38.619999999999997</v>
      </c>
      <c r="G58" s="41">
        <f>(E58/$B$14)/D58</f>
        <v>2.4346346910610245E-2</v>
      </c>
      <c r="H58" s="41">
        <f>(F58/$C$14)/D58</f>
        <v>3.0619604403279765E-2</v>
      </c>
      <c r="J58" s="20" t="s">
        <v>16</v>
      </c>
      <c r="K58" s="21">
        <v>3.2126999999999999</v>
      </c>
      <c r="L58" s="21">
        <v>3.5339</v>
      </c>
      <c r="M58" s="21">
        <f t="shared" ref="M58:M68" si="49">L58-K58</f>
        <v>0.32120000000000015</v>
      </c>
      <c r="N58">
        <v>0</v>
      </c>
      <c r="O58">
        <v>23.1</v>
      </c>
      <c r="P58" s="41">
        <f t="shared" ref="P58:P60" si="50">(N58/$F$14)/M58</f>
        <v>0</v>
      </c>
      <c r="Q58" s="41">
        <f t="shared" ref="Q58:Q60" si="51">(O58/$G$14)/M58</f>
        <v>3.094764260630729E-2</v>
      </c>
    </row>
    <row r="59" spans="1:17" x14ac:dyDescent="0.2">
      <c r="A59" s="20" t="s">
        <v>17</v>
      </c>
      <c r="B59" s="21">
        <v>3.2101000000000002</v>
      </c>
      <c r="C59" s="21">
        <v>3.3449</v>
      </c>
      <c r="D59" s="21">
        <f t="shared" si="48"/>
        <v>0.13479999999999981</v>
      </c>
      <c r="E59" s="28">
        <v>2.1800000000000002</v>
      </c>
      <c r="F59" s="28">
        <v>9.99</v>
      </c>
      <c r="G59" s="41">
        <f t="shared" ref="G59:G68" si="52">(E59/$B$14)/D59</f>
        <v>3.9920642633495566E-3</v>
      </c>
      <c r="H59" s="41">
        <f t="shared" ref="H59:H68" si="53">(F59/$C$14)/D59</f>
        <v>2.0994035064008331E-2</v>
      </c>
      <c r="J59" s="20" t="s">
        <v>17</v>
      </c>
      <c r="K59" s="21">
        <v>3.2483</v>
      </c>
      <c r="L59" s="21">
        <v>3.4144000000000001</v>
      </c>
      <c r="M59" s="21">
        <f t="shared" si="49"/>
        <v>0.16610000000000014</v>
      </c>
      <c r="N59">
        <v>24.22</v>
      </c>
      <c r="O59">
        <v>53.97</v>
      </c>
      <c r="P59" s="41">
        <f t="shared" si="50"/>
        <v>5.4630092053864793E-2</v>
      </c>
      <c r="Q59" s="41">
        <f t="shared" si="51"/>
        <v>0.13982148655916457</v>
      </c>
    </row>
    <row r="60" spans="1:17" x14ac:dyDescent="0.2">
      <c r="A60" s="20" t="s">
        <v>18</v>
      </c>
      <c r="B60" s="21">
        <v>5.0213000000000001</v>
      </c>
      <c r="C60" s="21">
        <v>5.1822999999999997</v>
      </c>
      <c r="D60" s="21">
        <f t="shared" si="48"/>
        <v>0.16099999999999959</v>
      </c>
      <c r="E60" s="28">
        <v>179191.97</v>
      </c>
      <c r="F60" s="36">
        <v>254125.58</v>
      </c>
      <c r="G60" s="41">
        <f t="shared" si="52"/>
        <v>274.74107325130961</v>
      </c>
      <c r="H60" s="41">
        <f t="shared" si="53"/>
        <v>447.13928602643682</v>
      </c>
      <c r="J60" s="20" t="s">
        <v>18</v>
      </c>
      <c r="K60" s="21">
        <v>5.1224999999999996</v>
      </c>
      <c r="L60" s="21">
        <v>5.2553000000000001</v>
      </c>
      <c r="M60" s="21">
        <f t="shared" si="49"/>
        <v>0.13280000000000047</v>
      </c>
      <c r="N60">
        <v>60413.04</v>
      </c>
      <c r="O60">
        <v>86582.33</v>
      </c>
      <c r="P60" s="41">
        <f t="shared" si="50"/>
        <v>170.43549293529733</v>
      </c>
      <c r="Q60" s="41">
        <f t="shared" si="51"/>
        <v>280.55778450212063</v>
      </c>
    </row>
    <row r="61" spans="1:17" x14ac:dyDescent="0.2">
      <c r="A61" s="20" t="s">
        <v>19</v>
      </c>
      <c r="B61" s="21">
        <v>3.2305999999999999</v>
      </c>
      <c r="C61" s="21">
        <v>3.4011999999999998</v>
      </c>
      <c r="D61" s="21">
        <f t="shared" si="48"/>
        <v>0.17059999999999986</v>
      </c>
      <c r="E61" s="28">
        <v>182.42</v>
      </c>
      <c r="F61" s="28">
        <v>303.39</v>
      </c>
      <c r="G61" s="41">
        <f t="shared" si="52"/>
        <v>0.26395162922455662</v>
      </c>
      <c r="H61" s="41">
        <f t="shared" si="53"/>
        <v>0.50378189689089226</v>
      </c>
      <c r="J61" s="20" t="s">
        <v>19</v>
      </c>
      <c r="K61" s="21">
        <v>3.2389999999999999</v>
      </c>
      <c r="L61" s="21">
        <v>3.4119000000000002</v>
      </c>
      <c r="M61" s="21">
        <f t="shared" si="49"/>
        <v>0.17290000000000028</v>
      </c>
      <c r="N61">
        <v>105.31</v>
      </c>
      <c r="O61">
        <v>212.62</v>
      </c>
      <c r="P61" s="41">
        <f>(N61/$F$14)/M61</f>
        <v>0.22819285681698698</v>
      </c>
      <c r="Q61" s="41">
        <f>(O61/$G$14)/M61</f>
        <v>0.52917613515059359</v>
      </c>
    </row>
    <row r="62" spans="1:17" x14ac:dyDescent="0.2">
      <c r="A62" s="20" t="s">
        <v>20</v>
      </c>
      <c r="B62" s="21">
        <v>3.2212000000000001</v>
      </c>
      <c r="C62" s="21">
        <v>3.3544999999999998</v>
      </c>
      <c r="D62" s="21">
        <f t="shared" si="48"/>
        <v>0.13329999999999975</v>
      </c>
      <c r="E62" s="28">
        <v>1078.1500000000001</v>
      </c>
      <c r="F62" s="28">
        <v>1611.07</v>
      </c>
      <c r="G62" s="41">
        <f t="shared" si="52"/>
        <v>1.9965489402034726</v>
      </c>
      <c r="H62" s="41">
        <f t="shared" si="53"/>
        <v>3.4237700097044486</v>
      </c>
      <c r="J62" s="20" t="s">
        <v>20</v>
      </c>
      <c r="K62" s="21">
        <v>3.2237</v>
      </c>
      <c r="L62" s="21">
        <v>3.2719</v>
      </c>
      <c r="M62" s="21">
        <f t="shared" si="49"/>
        <v>4.8200000000000021E-2</v>
      </c>
      <c r="N62">
        <v>1391.01</v>
      </c>
      <c r="O62">
        <v>2159.3000000000002</v>
      </c>
      <c r="P62" s="41">
        <f t="shared" ref="P62:P68" si="54">(N62/$F$14)/M62</f>
        <v>10.812114591158931</v>
      </c>
      <c r="Q62" s="41">
        <f t="shared" ref="Q62:Q68" si="55">(O62/$G$14)/M62</f>
        <v>19.27778250000139</v>
      </c>
    </row>
    <row r="63" spans="1:17" x14ac:dyDescent="0.2">
      <c r="A63" s="20" t="s">
        <v>21</v>
      </c>
      <c r="B63" s="23">
        <v>3.2324000000000002</v>
      </c>
      <c r="C63" s="23">
        <v>3.43</v>
      </c>
      <c r="D63" s="23">
        <f t="shared" si="48"/>
        <v>0.1976</v>
      </c>
      <c r="E63" s="28">
        <v>89.31</v>
      </c>
      <c r="F63" s="28">
        <v>138.47999999999999</v>
      </c>
      <c r="G63" s="41">
        <f t="shared" si="52"/>
        <v>0.11156913643003677</v>
      </c>
      <c r="H63" s="41">
        <f t="shared" si="53"/>
        <v>0.19852739172344894</v>
      </c>
      <c r="J63" s="20" t="s">
        <v>21</v>
      </c>
      <c r="K63" s="23">
        <v>3.2429999999999999</v>
      </c>
      <c r="L63" s="23">
        <v>3.4479000000000002</v>
      </c>
      <c r="M63" s="23">
        <f t="shared" si="49"/>
        <v>0.2049000000000003</v>
      </c>
      <c r="N63">
        <v>163.88</v>
      </c>
      <c r="O63">
        <v>298.06</v>
      </c>
      <c r="P63" s="41">
        <f t="shared" si="54"/>
        <v>0.29964802725247935</v>
      </c>
      <c r="Q63" s="41">
        <f t="shared" si="55"/>
        <v>0.62596906080292236</v>
      </c>
    </row>
    <row r="64" spans="1:17" x14ac:dyDescent="0.2">
      <c r="A64" s="20" t="s">
        <v>23</v>
      </c>
      <c r="B64" s="21">
        <v>3.2317</v>
      </c>
      <c r="C64" s="21">
        <v>3.5918999999999999</v>
      </c>
      <c r="D64" s="21">
        <f t="shared" si="48"/>
        <v>0.36019999999999985</v>
      </c>
      <c r="E64" s="28">
        <v>11218.72</v>
      </c>
      <c r="F64" s="28">
        <v>18122.25</v>
      </c>
      <c r="G64" s="41">
        <f t="shared" si="52"/>
        <v>7.6883035682932954</v>
      </c>
      <c r="H64" s="41">
        <f t="shared" si="53"/>
        <v>14.25242390678854</v>
      </c>
      <c r="J64" s="20" t="s">
        <v>23</v>
      </c>
      <c r="K64" s="21">
        <v>3.2465000000000002</v>
      </c>
      <c r="L64" s="21">
        <v>3.5379999999999998</v>
      </c>
      <c r="M64" s="21">
        <f t="shared" si="49"/>
        <v>0.29149999999999965</v>
      </c>
      <c r="N64">
        <v>10032.92</v>
      </c>
      <c r="O64">
        <v>16446.32</v>
      </c>
      <c r="P64" s="41">
        <f t="shared" si="54"/>
        <v>12.894847672830561</v>
      </c>
      <c r="Q64" s="41">
        <f t="shared" si="55"/>
        <v>24.278469557510032</v>
      </c>
    </row>
    <row r="65" spans="1:17" x14ac:dyDescent="0.2">
      <c r="A65" s="20" t="s">
        <v>24</v>
      </c>
      <c r="B65" s="21">
        <v>3.2486000000000002</v>
      </c>
      <c r="C65" s="21">
        <v>3.5259</v>
      </c>
      <c r="D65" s="21">
        <f t="shared" si="48"/>
        <v>0.27729999999999988</v>
      </c>
      <c r="E65" s="28">
        <v>195.56</v>
      </c>
      <c r="F65" s="28">
        <v>334.05</v>
      </c>
      <c r="G65" s="41">
        <f t="shared" si="52"/>
        <v>0.17408489162123303</v>
      </c>
      <c r="H65" s="41">
        <f t="shared" si="53"/>
        <v>0.34125728299167918</v>
      </c>
      <c r="J65" s="20" t="s">
        <v>24</v>
      </c>
      <c r="K65" s="21">
        <v>3.2286000000000001</v>
      </c>
      <c r="L65" s="21">
        <v>3.5676000000000001</v>
      </c>
      <c r="M65" s="21">
        <f t="shared" si="49"/>
        <v>0.33899999999999997</v>
      </c>
      <c r="N65">
        <v>150.93</v>
      </c>
      <c r="O65">
        <v>261.54000000000002</v>
      </c>
      <c r="P65" s="41">
        <f t="shared" si="54"/>
        <v>0.16680278588502631</v>
      </c>
      <c r="Q65" s="41">
        <f t="shared" si="55"/>
        <v>0.33199347697683035</v>
      </c>
    </row>
    <row r="66" spans="1:17" x14ac:dyDescent="0.2">
      <c r="A66" s="38" t="s">
        <v>22</v>
      </c>
      <c r="B66" s="21">
        <v>4.8071999999999999</v>
      </c>
      <c r="C66" s="21">
        <v>5.2234999999999996</v>
      </c>
      <c r="D66" s="21">
        <f t="shared" si="48"/>
        <v>0.41629999999999967</v>
      </c>
      <c r="E66" s="28">
        <v>1190.92</v>
      </c>
      <c r="F66" s="28">
        <v>1867.83</v>
      </c>
      <c r="G66" s="41">
        <f t="shared" si="52"/>
        <v>0.70616648241731128</v>
      </c>
      <c r="H66" s="41">
        <f t="shared" si="53"/>
        <v>1.2710167028989539</v>
      </c>
      <c r="J66" s="38" t="s">
        <v>22</v>
      </c>
      <c r="K66" s="21">
        <v>5.2750000000000004</v>
      </c>
      <c r="L66" s="21">
        <v>5.6646000000000001</v>
      </c>
      <c r="M66" s="21">
        <f t="shared" si="49"/>
        <v>0.38959999999999972</v>
      </c>
      <c r="N66">
        <v>1087.79</v>
      </c>
      <c r="O66">
        <v>1539.47</v>
      </c>
      <c r="P66" s="41">
        <f t="shared" si="54"/>
        <v>1.0460526398413834</v>
      </c>
      <c r="Q66" s="41">
        <f t="shared" si="55"/>
        <v>1.7003699117574222</v>
      </c>
    </row>
    <row r="67" spans="1:17" x14ac:dyDescent="0.2">
      <c r="A67" s="28" t="s">
        <v>29</v>
      </c>
      <c r="B67" s="27">
        <v>3.2669999999999999</v>
      </c>
      <c r="C67" s="27">
        <v>3.274</v>
      </c>
      <c r="D67" s="21">
        <f t="shared" si="48"/>
        <v>7.0000000000001172E-3</v>
      </c>
      <c r="E67" s="28">
        <v>4.1900000000000004</v>
      </c>
      <c r="F67" s="28">
        <v>0</v>
      </c>
      <c r="G67" s="41">
        <f t="shared" si="52"/>
        <v>0.1477566055511762</v>
      </c>
      <c r="H67" s="41">
        <f t="shared" si="53"/>
        <v>0</v>
      </c>
      <c r="J67" s="28" t="s">
        <v>29</v>
      </c>
      <c r="K67" s="27">
        <v>3.2343000000000002</v>
      </c>
      <c r="L67" s="27">
        <v>3.2406000000000001</v>
      </c>
      <c r="M67" s="21">
        <f t="shared" si="49"/>
        <v>6.2999999999999723E-3</v>
      </c>
      <c r="N67">
        <v>6.2</v>
      </c>
      <c r="O67">
        <v>23.45</v>
      </c>
      <c r="P67" s="41">
        <f t="shared" si="54"/>
        <v>0.36870460854148701</v>
      </c>
      <c r="Q67" s="41">
        <f t="shared" si="55"/>
        <v>1.6017451850523776</v>
      </c>
    </row>
    <row r="68" spans="1:17" ht="16" thickBot="1" x14ac:dyDescent="0.25">
      <c r="A68" s="24" t="s">
        <v>25</v>
      </c>
      <c r="B68" s="25">
        <v>3.2122999999999999</v>
      </c>
      <c r="C68" s="25">
        <v>3.2505999999999999</v>
      </c>
      <c r="D68" s="25">
        <f t="shared" si="48"/>
        <v>3.8300000000000001E-2</v>
      </c>
      <c r="E68" s="14">
        <v>231.61</v>
      </c>
      <c r="F68" s="14">
        <v>386.7</v>
      </c>
      <c r="G68" s="42">
        <f t="shared" si="52"/>
        <v>1.4927581639858636</v>
      </c>
      <c r="H68" s="42">
        <f t="shared" si="53"/>
        <v>2.860195508373049</v>
      </c>
      <c r="J68" s="24" t="s">
        <v>25</v>
      </c>
      <c r="K68" s="25">
        <v>3.2198000000000002</v>
      </c>
      <c r="L68" s="25">
        <v>3.2753000000000001</v>
      </c>
      <c r="M68" s="25">
        <f t="shared" si="49"/>
        <v>5.5499999999999883E-2</v>
      </c>
      <c r="N68" s="63">
        <v>333.76</v>
      </c>
      <c r="O68" s="64">
        <v>658.72</v>
      </c>
      <c r="P68" s="42">
        <f t="shared" si="54"/>
        <v>2.2530391046930554</v>
      </c>
      <c r="Q68" s="42">
        <f t="shared" si="55"/>
        <v>5.1073896972861625</v>
      </c>
    </row>
    <row r="69" spans="1:17" x14ac:dyDescent="0.2">
      <c r="A69" s="18" t="s">
        <v>26</v>
      </c>
      <c r="B69" s="19"/>
      <c r="C69" s="18"/>
      <c r="D69" s="18"/>
      <c r="E69" s="18"/>
      <c r="F69" s="18"/>
      <c r="G69" s="26">
        <f>G60/G59</f>
        <v>68821.806245370171</v>
      </c>
      <c r="H69" s="26">
        <f>H60/H59</f>
        <v>21298.396647579277</v>
      </c>
      <c r="J69" s="18" t="s">
        <v>26</v>
      </c>
      <c r="K69" s="19"/>
      <c r="L69" s="18"/>
      <c r="M69" s="18"/>
      <c r="N69" s="18"/>
      <c r="O69" s="18"/>
      <c r="P69" s="26">
        <f>P60/P59</f>
        <v>3119.8097335667935</v>
      </c>
      <c r="Q69" s="26">
        <f>Q60/Q59</f>
        <v>2006.5427096099738</v>
      </c>
    </row>
    <row r="70" spans="1:17" x14ac:dyDescent="0.2">
      <c r="A70" s="20" t="s">
        <v>27</v>
      </c>
      <c r="B70" s="27"/>
      <c r="C70" s="28"/>
      <c r="D70" s="28"/>
      <c r="E70" s="28"/>
      <c r="F70" s="28"/>
      <c r="G70" s="29">
        <f>G60/G58</f>
        <v>11284.693932114154</v>
      </c>
      <c r="H70" s="29">
        <f>H60/H58</f>
        <v>14603.039286116391</v>
      </c>
      <c r="J70" s="20" t="s">
        <v>27</v>
      </c>
      <c r="K70" s="27"/>
      <c r="L70" s="28"/>
      <c r="M70" s="28"/>
      <c r="N70" s="28"/>
      <c r="O70" s="28"/>
      <c r="P70" s="29" t="e">
        <f>P60/P58</f>
        <v>#DIV/0!</v>
      </c>
      <c r="Q70" s="29">
        <f>Q60/Q58</f>
        <v>9065.5623780837341</v>
      </c>
    </row>
    <row r="71" spans="1:17" x14ac:dyDescent="0.2">
      <c r="A71" s="30" t="s">
        <v>28</v>
      </c>
      <c r="B71" s="21"/>
      <c r="C71" s="20"/>
      <c r="D71" s="20"/>
      <c r="E71" s="20"/>
      <c r="F71" s="20"/>
      <c r="G71" s="22">
        <f>G60/G65</f>
        <v>1578.2017077569276</v>
      </c>
      <c r="H71" s="22">
        <f>H60/H65</f>
        <v>1310.2703101499503</v>
      </c>
      <c r="J71" s="30" t="s">
        <v>28</v>
      </c>
      <c r="K71" s="21"/>
      <c r="L71" s="20"/>
      <c r="M71" s="20"/>
      <c r="N71" s="20"/>
      <c r="O71" s="20"/>
      <c r="P71" s="22">
        <f>P60/P65</f>
        <v>1021.7784555035847</v>
      </c>
      <c r="Q71" s="22">
        <f>Q60/Q65</f>
        <v>845.07017142900247</v>
      </c>
    </row>
    <row r="73" spans="1:17" ht="16" thickBot="1" x14ac:dyDescent="0.25">
      <c r="A73" s="14" t="s">
        <v>11</v>
      </c>
      <c r="B73" s="15">
        <v>19</v>
      </c>
      <c r="C73" s="14"/>
      <c r="D73" s="16"/>
      <c r="E73" s="16"/>
      <c r="F73" s="16"/>
      <c r="G73" s="17"/>
      <c r="H73" s="14"/>
      <c r="J73" s="14" t="s">
        <v>11</v>
      </c>
      <c r="K73" s="15">
        <v>2</v>
      </c>
      <c r="L73" s="14"/>
      <c r="M73" s="16"/>
      <c r="N73" s="16"/>
      <c r="O73" s="16"/>
      <c r="P73" s="17"/>
      <c r="Q73" s="14"/>
    </row>
    <row r="74" spans="1:17" x14ac:dyDescent="0.2">
      <c r="A74" s="18" t="s">
        <v>12</v>
      </c>
      <c r="B74" s="19" t="s">
        <v>13</v>
      </c>
      <c r="C74" s="18" t="s">
        <v>14</v>
      </c>
      <c r="D74" s="18" t="s">
        <v>15</v>
      </c>
      <c r="E74" s="18" t="s">
        <v>36</v>
      </c>
      <c r="F74" s="38" t="s">
        <v>37</v>
      </c>
      <c r="G74" s="39" t="s">
        <v>38</v>
      </c>
      <c r="H74" s="40" t="s">
        <v>39</v>
      </c>
      <c r="J74" s="18" t="s">
        <v>12</v>
      </c>
      <c r="K74" s="19" t="s">
        <v>13</v>
      </c>
      <c r="L74" s="18" t="s">
        <v>14</v>
      </c>
      <c r="M74" s="18" t="s">
        <v>15</v>
      </c>
      <c r="N74" s="18" t="s">
        <v>36</v>
      </c>
      <c r="O74" s="38" t="s">
        <v>37</v>
      </c>
      <c r="P74" s="39" t="s">
        <v>38</v>
      </c>
      <c r="Q74" s="40" t="s">
        <v>39</v>
      </c>
    </row>
    <row r="75" spans="1:17" x14ac:dyDescent="0.2">
      <c r="A75" s="20"/>
      <c r="B75" s="21"/>
      <c r="C75" s="20"/>
      <c r="D75" s="20"/>
      <c r="E75" s="20"/>
      <c r="F75" s="30"/>
      <c r="J75" s="20"/>
      <c r="K75" s="21"/>
      <c r="L75" s="20"/>
      <c r="M75" s="20"/>
      <c r="N75" s="20"/>
      <c r="O75" s="30"/>
    </row>
    <row r="76" spans="1:17" x14ac:dyDescent="0.2">
      <c r="A76" s="20" t="s">
        <v>16</v>
      </c>
      <c r="B76" s="21">
        <v>3.2505000000000002</v>
      </c>
      <c r="C76" s="21">
        <v>3.6852</v>
      </c>
      <c r="D76" s="21">
        <f t="shared" ref="D76:D86" si="56">C76-B76</f>
        <v>0.43469999999999986</v>
      </c>
      <c r="E76" s="28">
        <v>0</v>
      </c>
      <c r="F76" s="28">
        <v>0.95</v>
      </c>
      <c r="G76" s="41">
        <f>(E76/$B$14)/D76</f>
        <v>0</v>
      </c>
      <c r="H76" s="41">
        <f>(F76/$C$14)/D76</f>
        <v>6.1909071028629352E-4</v>
      </c>
      <c r="J76" s="20" t="s">
        <v>16</v>
      </c>
      <c r="K76" s="21">
        <v>3.2261000000000002</v>
      </c>
      <c r="L76" s="21">
        <v>3.5200999999999998</v>
      </c>
      <c r="M76" s="21">
        <f t="shared" ref="M76:M84" si="57">L76-K76</f>
        <v>0.29399999999999959</v>
      </c>
      <c r="N76">
        <v>4.18</v>
      </c>
      <c r="O76">
        <v>5.2</v>
      </c>
      <c r="P76" s="41">
        <f>(N76/$H$14)/M76</f>
        <v>7.2267540520695346E-3</v>
      </c>
      <c r="Q76" s="41">
        <f>(O76/$I$14)/M76</f>
        <v>9.7792282337452532E-3</v>
      </c>
    </row>
    <row r="77" spans="1:17" x14ac:dyDescent="0.2">
      <c r="A77" s="20" t="s">
        <v>17</v>
      </c>
      <c r="B77" s="21">
        <v>3.2246000000000001</v>
      </c>
      <c r="C77" s="21">
        <v>3.3573</v>
      </c>
      <c r="D77" s="21">
        <f t="shared" si="56"/>
        <v>0.13269999999999982</v>
      </c>
      <c r="E77" s="28">
        <v>1.18</v>
      </c>
      <c r="F77" s="28">
        <v>3.28</v>
      </c>
      <c r="G77" s="41">
        <f t="shared" ref="G77:G86" si="58">(E77/$B$14)/D77</f>
        <v>2.1950378171962477E-3</v>
      </c>
      <c r="H77" s="41">
        <f t="shared" ref="H77:H86" si="59">(F77/$C$14)/D77</f>
        <v>7.0020183252890401E-3</v>
      </c>
      <c r="J77" s="20" t="s">
        <v>17</v>
      </c>
      <c r="K77" s="21">
        <v>3.2311000000000001</v>
      </c>
      <c r="L77" s="21">
        <v>3.3321000000000001</v>
      </c>
      <c r="M77" s="21">
        <f t="shared" si="57"/>
        <v>0.10099999999999998</v>
      </c>
      <c r="N77">
        <v>0.18</v>
      </c>
      <c r="O77">
        <v>12.36</v>
      </c>
      <c r="P77" s="41">
        <f t="shared" ref="P77:P86" si="60">(N77/$H$14)/M77</f>
        <v>9.0586911846965586E-4</v>
      </c>
      <c r="Q77" s="41">
        <f t="shared" ref="Q77:Q86" si="61">(O77/$I$14)/M77</f>
        <v>6.7662130093131767E-2</v>
      </c>
    </row>
    <row r="78" spans="1:17" x14ac:dyDescent="0.2">
      <c r="A78" s="20" t="s">
        <v>18</v>
      </c>
      <c r="B78" s="21">
        <v>4.9854000000000003</v>
      </c>
      <c r="C78" s="21">
        <v>5.1006</v>
      </c>
      <c r="D78" s="21">
        <f t="shared" si="56"/>
        <v>0.11519999999999975</v>
      </c>
      <c r="E78" s="28">
        <v>2076.9299999999998</v>
      </c>
      <c r="F78" s="28">
        <v>3653.05</v>
      </c>
      <c r="G78" s="41">
        <f t="shared" si="58"/>
        <v>4.4504128699529941</v>
      </c>
      <c r="H78" s="41">
        <f t="shared" si="59"/>
        <v>8.9830426083806056</v>
      </c>
      <c r="J78" s="20" t="s">
        <v>18</v>
      </c>
      <c r="K78" s="21">
        <v>5.1905000000000001</v>
      </c>
      <c r="L78" s="21">
        <v>5.3348000000000004</v>
      </c>
      <c r="M78" s="21">
        <f t="shared" si="57"/>
        <v>0.14430000000000032</v>
      </c>
      <c r="N78">
        <v>518.17999999999995</v>
      </c>
      <c r="O78">
        <v>907.02</v>
      </c>
      <c r="P78" s="41">
        <f t="shared" si="60"/>
        <v>1.8252764010421618</v>
      </c>
      <c r="Q78" s="41">
        <f t="shared" si="61"/>
        <v>3.4753544221654225</v>
      </c>
    </row>
    <row r="79" spans="1:17" x14ac:dyDescent="0.2">
      <c r="A79" s="20" t="s">
        <v>19</v>
      </c>
      <c r="B79" s="21">
        <v>3.2458999999999998</v>
      </c>
      <c r="C79" s="21">
        <v>3.4293999999999998</v>
      </c>
      <c r="D79" s="21">
        <f t="shared" si="56"/>
        <v>0.1835</v>
      </c>
      <c r="E79" s="28">
        <v>5.19</v>
      </c>
      <c r="F79" s="28">
        <v>26.01</v>
      </c>
      <c r="G79" s="41">
        <f t="shared" si="58"/>
        <v>6.9817165297865304E-3</v>
      </c>
      <c r="H79" s="41">
        <f t="shared" si="59"/>
        <v>4.015361085968943E-2</v>
      </c>
      <c r="J79" s="20" t="s">
        <v>19</v>
      </c>
      <c r="K79" s="21">
        <v>3.2326000000000001</v>
      </c>
      <c r="L79" s="21">
        <v>3.3163</v>
      </c>
      <c r="M79" s="21">
        <f t="shared" si="57"/>
        <v>8.3699999999999886E-2</v>
      </c>
      <c r="N79">
        <v>11.19</v>
      </c>
      <c r="O79">
        <v>5.66</v>
      </c>
      <c r="P79" s="41">
        <f t="shared" si="60"/>
        <v>6.795461429730662E-2</v>
      </c>
      <c r="Q79" s="41">
        <f t="shared" si="61"/>
        <v>3.7388629147324347E-2</v>
      </c>
    </row>
    <row r="80" spans="1:17" x14ac:dyDescent="0.2">
      <c r="A80" s="20" t="s">
        <v>20</v>
      </c>
      <c r="B80" s="21">
        <v>3.2321</v>
      </c>
      <c r="C80" s="21">
        <v>3.3675999999999999</v>
      </c>
      <c r="D80" s="21">
        <f t="shared" si="56"/>
        <v>0.13549999999999995</v>
      </c>
      <c r="E80" s="28">
        <v>4.7</v>
      </c>
      <c r="F80" s="28">
        <v>38.69</v>
      </c>
      <c r="G80" s="41">
        <f t="shared" si="58"/>
        <v>8.5622811695986387E-3</v>
      </c>
      <c r="H80" s="41">
        <f t="shared" si="59"/>
        <v>8.088719154671252E-2</v>
      </c>
      <c r="J80" s="20" t="s">
        <v>20</v>
      </c>
      <c r="K80" s="21">
        <v>3.2355</v>
      </c>
      <c r="L80" s="21">
        <v>3.3622999999999998</v>
      </c>
      <c r="M80" s="21">
        <f t="shared" si="57"/>
        <v>0.1267999999999998</v>
      </c>
      <c r="N80">
        <v>0</v>
      </c>
      <c r="O80">
        <v>8.1199999999999992</v>
      </c>
      <c r="P80" s="41">
        <f t="shared" si="60"/>
        <v>0</v>
      </c>
      <c r="Q80" s="41">
        <f t="shared" si="61"/>
        <v>3.5406691303469073E-2</v>
      </c>
    </row>
    <row r="81" spans="1:17" x14ac:dyDescent="0.2">
      <c r="A81" s="20" t="s">
        <v>21</v>
      </c>
      <c r="B81" s="23">
        <v>3.2244999999999999</v>
      </c>
      <c r="C81" s="23">
        <v>3.4180000000000001</v>
      </c>
      <c r="D81" s="23">
        <f t="shared" si="56"/>
        <v>0.19350000000000023</v>
      </c>
      <c r="E81" s="28">
        <v>0</v>
      </c>
      <c r="F81" s="28">
        <v>34.619999999999997</v>
      </c>
      <c r="G81" s="41">
        <f t="shared" si="58"/>
        <v>0</v>
      </c>
      <c r="H81" s="41">
        <f t="shared" si="59"/>
        <v>5.0683478817252541E-2</v>
      </c>
      <c r="J81" s="20" t="s">
        <v>21</v>
      </c>
      <c r="K81" s="23">
        <v>3.2309000000000001</v>
      </c>
      <c r="L81" s="23">
        <v>3.4668000000000001</v>
      </c>
      <c r="M81" s="23">
        <f t="shared" si="57"/>
        <v>0.2359</v>
      </c>
      <c r="N81">
        <v>0</v>
      </c>
      <c r="O81">
        <v>1.08</v>
      </c>
      <c r="P81" s="41">
        <f t="shared" si="60"/>
        <v>0</v>
      </c>
      <c r="Q81" s="41">
        <f t="shared" si="61"/>
        <v>2.5313044549342845E-3</v>
      </c>
    </row>
    <row r="82" spans="1:17" x14ac:dyDescent="0.2">
      <c r="A82" s="20" t="s">
        <v>23</v>
      </c>
      <c r="B82" s="21">
        <v>3.2271000000000001</v>
      </c>
      <c r="C82" s="21">
        <v>3.5419999999999998</v>
      </c>
      <c r="D82" s="21">
        <f t="shared" si="56"/>
        <v>0.31489999999999974</v>
      </c>
      <c r="E82" s="28">
        <v>291.33999999999997</v>
      </c>
      <c r="F82" s="28">
        <v>601.63</v>
      </c>
      <c r="G82" s="41">
        <f t="shared" si="58"/>
        <v>0.22838016253139642</v>
      </c>
      <c r="H82" s="41">
        <f t="shared" si="59"/>
        <v>0.54122412324595059</v>
      </c>
      <c r="J82" s="20" t="s">
        <v>23</v>
      </c>
      <c r="K82" s="21">
        <v>3.2096</v>
      </c>
      <c r="L82" s="21">
        <v>3.4809999999999999</v>
      </c>
      <c r="M82" s="21">
        <f t="shared" si="57"/>
        <v>0.27139999999999986</v>
      </c>
      <c r="N82">
        <v>48.78</v>
      </c>
      <c r="O82">
        <v>93.88</v>
      </c>
      <c r="P82" s="41">
        <f t="shared" si="60"/>
        <v>9.135793530446927E-2</v>
      </c>
      <c r="Q82" s="41">
        <f t="shared" si="61"/>
        <v>0.19125456344290079</v>
      </c>
    </row>
    <row r="83" spans="1:17" x14ac:dyDescent="0.2">
      <c r="A83" s="20" t="s">
        <v>24</v>
      </c>
      <c r="B83" s="21">
        <v>3.2305999999999999</v>
      </c>
      <c r="C83" s="21">
        <v>3.5489000000000002</v>
      </c>
      <c r="D83" s="21">
        <f t="shared" si="56"/>
        <v>0.31830000000000025</v>
      </c>
      <c r="E83" s="28">
        <v>88.38</v>
      </c>
      <c r="F83" s="28">
        <v>212.5</v>
      </c>
      <c r="G83" s="41">
        <f t="shared" si="58"/>
        <v>6.8540659837645929E-2</v>
      </c>
      <c r="H83" s="41">
        <f t="shared" si="59"/>
        <v>0.18912224647157913</v>
      </c>
      <c r="J83" s="20" t="s">
        <v>24</v>
      </c>
      <c r="K83" s="21">
        <v>3.2343999999999999</v>
      </c>
      <c r="L83" s="21">
        <v>3.3552</v>
      </c>
      <c r="M83" s="21">
        <f t="shared" si="57"/>
        <v>0.12080000000000002</v>
      </c>
      <c r="N83">
        <v>0</v>
      </c>
      <c r="O83">
        <v>18.510000000000002</v>
      </c>
      <c r="P83" s="41">
        <f t="shared" si="60"/>
        <v>0</v>
      </c>
      <c r="Q83" s="41">
        <f t="shared" si="61"/>
        <v>8.4720410873579274E-2</v>
      </c>
    </row>
    <row r="84" spans="1:17" x14ac:dyDescent="0.2">
      <c r="A84" s="38" t="s">
        <v>22</v>
      </c>
      <c r="B84" s="21">
        <v>4.6824000000000003</v>
      </c>
      <c r="C84" s="21">
        <v>5.0777000000000001</v>
      </c>
      <c r="D84" s="21">
        <f t="shared" si="56"/>
        <v>0.39529999999999976</v>
      </c>
      <c r="E84" s="28">
        <v>960.21</v>
      </c>
      <c r="F84" s="28">
        <v>1632.33</v>
      </c>
      <c r="G84" s="41">
        <f t="shared" si="58"/>
        <v>0.5996120233230201</v>
      </c>
      <c r="H84" s="41">
        <f t="shared" si="59"/>
        <v>1.1697726694347284</v>
      </c>
      <c r="J84" s="38" t="s">
        <v>22</v>
      </c>
      <c r="K84" s="21">
        <v>5.1497000000000002</v>
      </c>
      <c r="L84" s="21">
        <v>5.5753000000000004</v>
      </c>
      <c r="M84" s="21">
        <f t="shared" si="57"/>
        <v>0.4256000000000002</v>
      </c>
      <c r="N84">
        <v>71.34</v>
      </c>
      <c r="O84">
        <v>140.82</v>
      </c>
      <c r="P84" s="41">
        <f t="shared" si="60"/>
        <v>8.5201219116464944E-2</v>
      </c>
      <c r="Q84" s="41">
        <f t="shared" si="61"/>
        <v>0.18294110145113918</v>
      </c>
    </row>
    <row r="85" spans="1:17" x14ac:dyDescent="0.2">
      <c r="A85" s="28" t="s">
        <v>29</v>
      </c>
      <c r="B85" s="27">
        <v>3.2334000000000001</v>
      </c>
      <c r="C85" s="27">
        <v>3.2383999999999999</v>
      </c>
      <c r="D85" s="21">
        <f t="shared" si="56"/>
        <v>4.9999999999998934E-3</v>
      </c>
      <c r="E85" s="28">
        <v>0</v>
      </c>
      <c r="F85" s="28">
        <v>0</v>
      </c>
      <c r="G85" s="41">
        <f t="shared" si="58"/>
        <v>0</v>
      </c>
      <c r="H85" s="41">
        <f t="shared" si="59"/>
        <v>0</v>
      </c>
      <c r="J85" s="28" t="s">
        <v>29</v>
      </c>
      <c r="K85" s="27">
        <v>3.2406000000000001</v>
      </c>
      <c r="L85" s="27">
        <v>3.2389999999999999</v>
      </c>
      <c r="M85" s="21">
        <f>L85-K103</f>
        <v>4.2999999999997485E-3</v>
      </c>
      <c r="N85">
        <v>0</v>
      </c>
      <c r="O85">
        <v>2.69</v>
      </c>
      <c r="P85" s="41">
        <f t="shared" si="60"/>
        <v>0</v>
      </c>
      <c r="Q85" s="41">
        <f t="shared" si="61"/>
        <v>0.34588552955904345</v>
      </c>
    </row>
    <row r="86" spans="1:17" ht="16" thickBot="1" x14ac:dyDescent="0.25">
      <c r="A86" s="24" t="s">
        <v>25</v>
      </c>
      <c r="B86" s="25">
        <v>3.2412000000000001</v>
      </c>
      <c r="C86" s="25">
        <v>3.2764000000000002</v>
      </c>
      <c r="D86" s="25">
        <f t="shared" si="56"/>
        <v>3.520000000000012E-2</v>
      </c>
      <c r="E86" s="14">
        <v>19.21</v>
      </c>
      <c r="F86" s="14">
        <v>57.91</v>
      </c>
      <c r="G86" s="42">
        <f t="shared" si="58"/>
        <v>0.13471489713377988</v>
      </c>
      <c r="H86" s="42">
        <f t="shared" si="59"/>
        <v>0.46604861711440237</v>
      </c>
      <c r="J86" s="24" t="s">
        <v>25</v>
      </c>
      <c r="K86" s="25">
        <v>3.2341000000000002</v>
      </c>
      <c r="L86" s="25">
        <v>3.2881999999999998</v>
      </c>
      <c r="M86" s="25">
        <f>L86-K104</f>
        <v>4.8599999999999977E-2</v>
      </c>
      <c r="N86" s="63">
        <v>0</v>
      </c>
      <c r="O86" s="64">
        <v>14.05</v>
      </c>
      <c r="P86" s="42">
        <f t="shared" si="60"/>
        <v>0</v>
      </c>
      <c r="Q86" s="42">
        <f t="shared" si="61"/>
        <v>0.15984116043499319</v>
      </c>
    </row>
    <row r="87" spans="1:17" x14ac:dyDescent="0.2">
      <c r="A87" s="18" t="s">
        <v>26</v>
      </c>
      <c r="B87" s="19"/>
      <c r="C87" s="18"/>
      <c r="D87" s="18"/>
      <c r="E87" s="18"/>
      <c r="F87" s="18"/>
      <c r="G87" s="26">
        <f>G78/G77</f>
        <v>2027.4880164194931</v>
      </c>
      <c r="H87" s="26">
        <f>H78/H77</f>
        <v>1282.9218935255772</v>
      </c>
      <c r="J87" s="18" t="s">
        <v>26</v>
      </c>
      <c r="K87" s="19"/>
      <c r="L87" s="18"/>
      <c r="M87" s="18"/>
      <c r="N87" s="18"/>
      <c r="O87" s="18"/>
      <c r="P87" s="26">
        <f>P78/P77</f>
        <v>2014.9449449449398</v>
      </c>
      <c r="Q87" s="26">
        <f>Q78/Q77</f>
        <v>51.363361120642551</v>
      </c>
    </row>
    <row r="88" spans="1:17" x14ac:dyDescent="0.2">
      <c r="A88" s="20" t="s">
        <v>27</v>
      </c>
      <c r="B88" s="27"/>
      <c r="C88" s="28"/>
      <c r="D88" s="28"/>
      <c r="E88" s="28"/>
      <c r="F88" s="28"/>
      <c r="G88" s="29" t="e">
        <f>G78/G76</f>
        <v>#DIV/0!</v>
      </c>
      <c r="H88" s="29">
        <f>H78/H76</f>
        <v>14510.058799342134</v>
      </c>
      <c r="J88" s="20" t="s">
        <v>27</v>
      </c>
      <c r="K88" s="27"/>
      <c r="L88" s="28"/>
      <c r="M88" s="28"/>
      <c r="N88" s="28"/>
      <c r="O88" s="28"/>
      <c r="P88" s="29">
        <f>P78/P76</f>
        <v>252.57209362472426</v>
      </c>
      <c r="Q88" s="29">
        <f>Q78/Q76</f>
        <v>355.38125699664027</v>
      </c>
    </row>
    <row r="89" spans="1:17" x14ac:dyDescent="0.2">
      <c r="A89" s="30" t="s">
        <v>28</v>
      </c>
      <c r="B89" s="21"/>
      <c r="C89" s="20"/>
      <c r="D89" s="20"/>
      <c r="E89" s="20"/>
      <c r="F89" s="20"/>
      <c r="G89" s="22">
        <f>G78/G83</f>
        <v>64.930989583333528</v>
      </c>
      <c r="H89" s="22">
        <f>H78/H83</f>
        <v>47.498603553921704</v>
      </c>
      <c r="J89" s="30" t="s">
        <v>28</v>
      </c>
      <c r="K89" s="21"/>
      <c r="L89" s="20"/>
      <c r="M89" s="20"/>
      <c r="N89" s="20"/>
      <c r="O89" s="20"/>
      <c r="P89" s="22" t="e">
        <f>P78/P83</f>
        <v>#DIV/0!</v>
      </c>
      <c r="Q89" s="22">
        <f>Q78/Q83</f>
        <v>41.021453818860536</v>
      </c>
    </row>
    <row r="91" spans="1:17" ht="16" thickBot="1" x14ac:dyDescent="0.25">
      <c r="A91" s="14" t="s">
        <v>11</v>
      </c>
      <c r="B91" s="15">
        <v>25</v>
      </c>
      <c r="C91" s="14"/>
      <c r="D91" s="16"/>
      <c r="E91" s="16"/>
      <c r="F91" s="16"/>
      <c r="G91" s="17"/>
      <c r="H91" s="14"/>
      <c r="J91" s="14" t="s">
        <v>11</v>
      </c>
      <c r="K91" s="15">
        <v>26</v>
      </c>
      <c r="L91" s="14"/>
      <c r="M91" s="16"/>
      <c r="N91" s="16"/>
      <c r="O91" s="16"/>
      <c r="P91" s="17"/>
      <c r="Q91" s="14"/>
    </row>
    <row r="92" spans="1:17" x14ac:dyDescent="0.2">
      <c r="A92" s="18" t="s">
        <v>12</v>
      </c>
      <c r="B92" s="19" t="s">
        <v>13</v>
      </c>
      <c r="C92" s="18" t="s">
        <v>14</v>
      </c>
      <c r="D92" s="18" t="s">
        <v>15</v>
      </c>
      <c r="E92" s="18" t="s">
        <v>36</v>
      </c>
      <c r="F92" s="38" t="s">
        <v>37</v>
      </c>
      <c r="G92" s="39" t="s">
        <v>38</v>
      </c>
      <c r="H92" s="40" t="s">
        <v>39</v>
      </c>
      <c r="J92" s="18" t="s">
        <v>12</v>
      </c>
      <c r="K92" s="19" t="s">
        <v>13</v>
      </c>
      <c r="L92" s="18" t="s">
        <v>14</v>
      </c>
      <c r="M92" s="18" t="s">
        <v>15</v>
      </c>
      <c r="N92" s="18" t="s">
        <v>36</v>
      </c>
      <c r="O92" s="38" t="s">
        <v>37</v>
      </c>
      <c r="P92" s="39" t="s">
        <v>38</v>
      </c>
      <c r="Q92" s="40" t="s">
        <v>39</v>
      </c>
    </row>
    <row r="93" spans="1:17" x14ac:dyDescent="0.2">
      <c r="A93" s="20"/>
      <c r="B93" s="21"/>
      <c r="C93" s="20"/>
      <c r="D93" s="20"/>
      <c r="E93" s="20"/>
      <c r="F93" s="30"/>
      <c r="J93" s="20"/>
      <c r="K93" s="21"/>
      <c r="L93" s="20"/>
      <c r="M93" s="20"/>
      <c r="N93" s="20"/>
      <c r="O93" s="30"/>
    </row>
    <row r="94" spans="1:17" x14ac:dyDescent="0.2">
      <c r="A94" s="20" t="s">
        <v>16</v>
      </c>
      <c r="B94" s="21">
        <v>3.2277999999999998</v>
      </c>
      <c r="C94" s="21">
        <v>3.5590999999999999</v>
      </c>
      <c r="D94" s="21">
        <f t="shared" ref="D94:D104" si="62">C94-B94</f>
        <v>0.33130000000000015</v>
      </c>
      <c r="E94" s="28">
        <v>0</v>
      </c>
      <c r="F94" s="28">
        <v>0</v>
      </c>
      <c r="G94" s="41">
        <f>(E94/$B$14)/D94</f>
        <v>0</v>
      </c>
      <c r="H94" s="41">
        <f>(F94/$C$14)/D94</f>
        <v>0</v>
      </c>
      <c r="J94" s="20" t="s">
        <v>16</v>
      </c>
      <c r="K94" s="21">
        <v>3.2397</v>
      </c>
      <c r="L94" s="21">
        <v>3.7052</v>
      </c>
      <c r="M94" s="21">
        <f>L94-K94</f>
        <v>0.46550000000000002</v>
      </c>
      <c r="N94">
        <v>1.18</v>
      </c>
      <c r="O94">
        <v>3.83</v>
      </c>
      <c r="P94" s="41">
        <f>(N94/$H$14)/M94</f>
        <v>1.2884769249219901E-3</v>
      </c>
      <c r="Q94" s="41">
        <f>(O94/$I$14)/M94</f>
        <v>4.5491227694628659E-3</v>
      </c>
    </row>
    <row r="95" spans="1:17" x14ac:dyDescent="0.2">
      <c r="A95" s="20" t="s">
        <v>17</v>
      </c>
      <c r="B95" s="21">
        <v>3.2105000000000001</v>
      </c>
      <c r="C95" s="21">
        <v>3.3197000000000001</v>
      </c>
      <c r="D95" s="21">
        <f t="shared" si="62"/>
        <v>0.10919999999999996</v>
      </c>
      <c r="E95" s="28">
        <v>14.21</v>
      </c>
      <c r="F95" s="28">
        <v>68.52</v>
      </c>
      <c r="G95" s="41">
        <f t="shared" ref="G95:G104" si="63">(E95/$B$14)/D95</f>
        <v>3.2121984041402755E-2</v>
      </c>
      <c r="H95" s="41">
        <f t="shared" ref="H95:H104" si="64">(F95/$C$14)/D95</f>
        <v>0.17775222190374665</v>
      </c>
      <c r="J95" s="20" t="s">
        <v>17</v>
      </c>
      <c r="K95" s="21">
        <v>3.2273000000000001</v>
      </c>
      <c r="L95" s="21">
        <v>3.3039000000000001</v>
      </c>
      <c r="M95" s="21">
        <f>L95-K95</f>
        <v>7.6600000000000001E-2</v>
      </c>
      <c r="N95">
        <v>0</v>
      </c>
      <c r="O95">
        <v>0</v>
      </c>
      <c r="P95" s="41">
        <f t="shared" ref="P95:P104" si="65">(N95/$H$14)/M95</f>
        <v>0</v>
      </c>
      <c r="Q95" s="41">
        <f t="shared" ref="Q95:Q104" si="66">(O95/$I$14)/M95</f>
        <v>0</v>
      </c>
    </row>
    <row r="96" spans="1:17" x14ac:dyDescent="0.2">
      <c r="A96" s="20" t="s">
        <v>18</v>
      </c>
      <c r="B96" s="21">
        <v>4.9196</v>
      </c>
      <c r="C96" s="21">
        <v>4.9561999999999999</v>
      </c>
      <c r="D96" s="21">
        <f t="shared" si="62"/>
        <v>3.6599999999999966E-2</v>
      </c>
      <c r="E96" s="28">
        <v>1197.52</v>
      </c>
      <c r="F96" s="28">
        <v>2584.11</v>
      </c>
      <c r="G96" s="41">
        <f t="shared" si="63"/>
        <v>8.0766750913411673</v>
      </c>
      <c r="H96" s="41">
        <f t="shared" si="64"/>
        <v>20.000932008400511</v>
      </c>
      <c r="J96" s="20" t="s">
        <v>18</v>
      </c>
      <c r="K96" s="21">
        <v>5.1018999999999997</v>
      </c>
      <c r="L96" s="21">
        <v>5.1548999999999996</v>
      </c>
      <c r="M96" s="21">
        <f>L96-K96</f>
        <v>5.2999999999999936E-2</v>
      </c>
      <c r="N96">
        <v>414.64</v>
      </c>
      <c r="O96">
        <v>854.95</v>
      </c>
      <c r="P96" s="41">
        <f t="shared" si="65"/>
        <v>3.9765793186067198</v>
      </c>
      <c r="Q96" s="41">
        <f t="shared" si="66"/>
        <v>8.9189435648095348</v>
      </c>
    </row>
    <row r="97" spans="1:17" x14ac:dyDescent="0.2">
      <c r="A97" s="20" t="s">
        <v>19</v>
      </c>
      <c r="B97" s="21">
        <v>3.2387999999999999</v>
      </c>
      <c r="C97" s="21">
        <v>3.3631000000000002</v>
      </c>
      <c r="D97" s="21">
        <f t="shared" si="62"/>
        <v>0.1243000000000003</v>
      </c>
      <c r="E97" s="28">
        <v>24.27</v>
      </c>
      <c r="F97" s="28">
        <v>44.1</v>
      </c>
      <c r="G97" s="41">
        <f t="shared" si="63"/>
        <v>4.8198061348016061E-2</v>
      </c>
      <c r="H97" s="41">
        <f t="shared" si="64"/>
        <v>0.10050502663911584</v>
      </c>
      <c r="J97" s="20" t="s">
        <v>19</v>
      </c>
      <c r="K97" s="21">
        <v>3.2262</v>
      </c>
      <c r="L97" s="21">
        <v>3.3714</v>
      </c>
      <c r="M97" s="21">
        <f>L97-K97</f>
        <v>0.1452</v>
      </c>
      <c r="N97">
        <v>0</v>
      </c>
      <c r="O97">
        <v>12.72</v>
      </c>
      <c r="P97" s="41">
        <f t="shared" si="65"/>
        <v>0</v>
      </c>
      <c r="Q97" s="41">
        <f t="shared" si="66"/>
        <v>4.8436088473686682E-2</v>
      </c>
    </row>
    <row r="98" spans="1:17" x14ac:dyDescent="0.2">
      <c r="A98" s="20" t="s">
        <v>20</v>
      </c>
      <c r="B98" s="21">
        <v>3.2385999999999999</v>
      </c>
      <c r="C98" s="21">
        <v>3.3738999999999999</v>
      </c>
      <c r="D98" s="21">
        <f t="shared" si="62"/>
        <v>0.13529999999999998</v>
      </c>
      <c r="E98" s="28">
        <v>0</v>
      </c>
      <c r="F98" s="28">
        <v>29.85</v>
      </c>
      <c r="G98" s="41">
        <f t="shared" si="63"/>
        <v>0</v>
      </c>
      <c r="H98" s="41">
        <f t="shared" si="64"/>
        <v>6.2498106687511851E-2</v>
      </c>
      <c r="J98" s="20" t="s">
        <v>20</v>
      </c>
      <c r="K98" s="21">
        <v>3.2262</v>
      </c>
      <c r="L98" s="21">
        <v>3.3532000000000002</v>
      </c>
      <c r="M98" s="21">
        <f>L98-K97</f>
        <v>0.12700000000000022</v>
      </c>
      <c r="N98">
        <v>14.21</v>
      </c>
      <c r="O98">
        <v>12.42</v>
      </c>
      <c r="P98" s="41">
        <f t="shared" si="65"/>
        <v>5.6872809165303247E-2</v>
      </c>
      <c r="Q98" s="41">
        <f t="shared" si="66"/>
        <v>5.407125425644458E-2</v>
      </c>
    </row>
    <row r="99" spans="1:17" x14ac:dyDescent="0.2">
      <c r="A99" s="20" t="s">
        <v>21</v>
      </c>
      <c r="B99" s="23">
        <v>3.2307999999999999</v>
      </c>
      <c r="C99" s="23">
        <v>3.4969000000000001</v>
      </c>
      <c r="D99" s="23">
        <f t="shared" si="62"/>
        <v>0.26610000000000023</v>
      </c>
      <c r="E99" s="28">
        <v>8.19</v>
      </c>
      <c r="F99" s="28">
        <v>36.86</v>
      </c>
      <c r="G99" s="41">
        <f t="shared" si="63"/>
        <v>7.5974867203628688E-3</v>
      </c>
      <c r="H99" s="41">
        <f t="shared" si="64"/>
        <v>3.9240160813018857E-2</v>
      </c>
      <c r="J99" s="20" t="s">
        <v>21</v>
      </c>
      <c r="K99" s="21">
        <v>3.2547000000000001</v>
      </c>
      <c r="L99" s="23">
        <v>3.5518999999999998</v>
      </c>
      <c r="M99" s="23">
        <f t="shared" ref="M99:M104" si="67">L99-K99</f>
        <v>0.29719999999999969</v>
      </c>
      <c r="N99">
        <v>9.1999999999999993</v>
      </c>
      <c r="O99">
        <v>4.3</v>
      </c>
      <c r="P99" s="41">
        <f t="shared" si="65"/>
        <v>1.57345144474728E-2</v>
      </c>
      <c r="Q99" s="41">
        <f t="shared" si="66"/>
        <v>7.9995990352914013E-3</v>
      </c>
    </row>
    <row r="100" spans="1:17" x14ac:dyDescent="0.2">
      <c r="A100" s="20" t="s">
        <v>23</v>
      </c>
      <c r="B100" s="21">
        <v>3.2414000000000001</v>
      </c>
      <c r="C100" s="21">
        <v>3.4649999999999999</v>
      </c>
      <c r="D100" s="21">
        <f t="shared" si="62"/>
        <v>0.2235999999999998</v>
      </c>
      <c r="E100" s="28">
        <v>114.98</v>
      </c>
      <c r="F100" s="28">
        <v>263.85000000000002</v>
      </c>
      <c r="G100" s="41">
        <f t="shared" si="63"/>
        <v>0.12693501174523394</v>
      </c>
      <c r="H100" s="41">
        <f t="shared" si="64"/>
        <v>0.33427632697137327</v>
      </c>
      <c r="J100" s="20" t="s">
        <v>23</v>
      </c>
      <c r="K100" s="21">
        <v>3.2391999999999999</v>
      </c>
      <c r="L100" s="21">
        <v>3.4338000000000002</v>
      </c>
      <c r="M100" s="21">
        <f t="shared" si="67"/>
        <v>0.19460000000000033</v>
      </c>
      <c r="N100">
        <v>91.96</v>
      </c>
      <c r="O100">
        <v>167.55</v>
      </c>
      <c r="P100" s="41">
        <f t="shared" si="65"/>
        <v>0.24019858791770607</v>
      </c>
      <c r="Q100" s="41">
        <f t="shared" si="66"/>
        <v>0.47604736444167484</v>
      </c>
    </row>
    <row r="101" spans="1:17" x14ac:dyDescent="0.2">
      <c r="A101" s="20" t="s">
        <v>24</v>
      </c>
      <c r="B101" s="21">
        <v>3.2349999999999999</v>
      </c>
      <c r="C101" s="21">
        <v>3.5535999999999999</v>
      </c>
      <c r="D101" s="21">
        <f t="shared" si="62"/>
        <v>0.31859999999999999</v>
      </c>
      <c r="E101" s="28">
        <v>48.33</v>
      </c>
      <c r="F101" s="28">
        <v>87.43</v>
      </c>
      <c r="G101" s="41">
        <f t="shared" si="63"/>
        <v>3.7445699355937632E-2</v>
      </c>
      <c r="H101" s="41">
        <f t="shared" si="64"/>
        <v>7.7738298205648815E-2</v>
      </c>
      <c r="J101" s="20" t="s">
        <v>24</v>
      </c>
      <c r="K101" s="21">
        <v>3.2317999999999998</v>
      </c>
      <c r="L101" s="21">
        <v>3.4024000000000001</v>
      </c>
      <c r="M101" s="21">
        <f t="shared" si="67"/>
        <v>0.17060000000000031</v>
      </c>
      <c r="N101">
        <v>0</v>
      </c>
      <c r="O101">
        <v>0</v>
      </c>
      <c r="P101" s="41">
        <f t="shared" si="65"/>
        <v>0</v>
      </c>
      <c r="Q101" s="41">
        <f t="shared" si="66"/>
        <v>0</v>
      </c>
    </row>
    <row r="102" spans="1:17" x14ac:dyDescent="0.2">
      <c r="A102" s="38" t="s">
        <v>22</v>
      </c>
      <c r="B102" s="21">
        <v>4.6859000000000002</v>
      </c>
      <c r="C102" s="21">
        <v>5.0773999999999999</v>
      </c>
      <c r="D102" s="21">
        <f t="shared" si="62"/>
        <v>0.39149999999999974</v>
      </c>
      <c r="E102" s="28">
        <v>540.15</v>
      </c>
      <c r="F102" s="28">
        <v>1283.29</v>
      </c>
      <c r="G102" s="41">
        <f t="shared" si="63"/>
        <v>0.34057560476307963</v>
      </c>
      <c r="H102" s="41">
        <f t="shared" si="64"/>
        <v>0.92856725759804704</v>
      </c>
      <c r="J102" s="38" t="s">
        <v>22</v>
      </c>
      <c r="K102" s="21">
        <v>5.2149000000000001</v>
      </c>
      <c r="L102" s="21">
        <v>5.6832000000000003</v>
      </c>
      <c r="M102" s="21">
        <f t="shared" si="67"/>
        <v>0.46830000000000016</v>
      </c>
      <c r="N102">
        <v>109.46</v>
      </c>
      <c r="O102">
        <v>204.55</v>
      </c>
      <c r="P102" s="41">
        <f t="shared" si="65"/>
        <v>0.11880797926870876</v>
      </c>
      <c r="Q102" s="41">
        <f t="shared" si="66"/>
        <v>0.24150375899427587</v>
      </c>
    </row>
    <row r="103" spans="1:17" x14ac:dyDescent="0.2">
      <c r="A103" s="28" t="s">
        <v>29</v>
      </c>
      <c r="B103" s="27">
        <v>3.2370000000000001</v>
      </c>
      <c r="C103" s="27">
        <v>3.2431999999999999</v>
      </c>
      <c r="D103" s="21">
        <f t="shared" si="62"/>
        <v>6.1999999999997613E-3</v>
      </c>
      <c r="E103" s="28">
        <v>0</v>
      </c>
      <c r="F103" s="28">
        <v>4.54</v>
      </c>
      <c r="G103" s="41">
        <f t="shared" si="63"/>
        <v>0</v>
      </c>
      <c r="H103" s="41">
        <f t="shared" si="64"/>
        <v>0.20743617015229845</v>
      </c>
      <c r="J103" s="28" t="s">
        <v>29</v>
      </c>
      <c r="K103" s="27">
        <v>3.2347000000000001</v>
      </c>
      <c r="L103" s="21">
        <v>3.2464</v>
      </c>
      <c r="M103" s="21">
        <f t="shared" si="67"/>
        <v>1.1699999999999822E-2</v>
      </c>
      <c r="N103">
        <v>0.17</v>
      </c>
      <c r="O103">
        <v>10.81</v>
      </c>
      <c r="P103" s="41">
        <f t="shared" si="65"/>
        <v>7.3854571529554727E-3</v>
      </c>
      <c r="Q103" s="41">
        <f t="shared" si="66"/>
        <v>0.51084412259690282</v>
      </c>
    </row>
    <row r="104" spans="1:17" ht="16" thickBot="1" x14ac:dyDescent="0.25">
      <c r="A104" s="24" t="s">
        <v>25</v>
      </c>
      <c r="B104" s="25">
        <v>3.2507999999999999</v>
      </c>
      <c r="C104" s="25">
        <v>3.3056999999999999</v>
      </c>
      <c r="D104" s="25">
        <f t="shared" si="62"/>
        <v>5.4899999999999949E-2</v>
      </c>
      <c r="E104" s="14">
        <v>33.770000000000003</v>
      </c>
      <c r="F104" s="14">
        <v>43.26</v>
      </c>
      <c r="G104" s="42">
        <f t="shared" si="63"/>
        <v>0.15184120395182893</v>
      </c>
      <c r="H104" s="42">
        <f t="shared" si="64"/>
        <v>0.22322071394881435</v>
      </c>
      <c r="J104" s="24" t="s">
        <v>25</v>
      </c>
      <c r="K104" s="25">
        <v>3.2395999999999998</v>
      </c>
      <c r="L104" s="25">
        <v>3.2780999999999998</v>
      </c>
      <c r="M104" s="25">
        <f t="shared" si="67"/>
        <v>3.8499999999999979E-2</v>
      </c>
      <c r="N104" s="63">
        <v>6.19</v>
      </c>
      <c r="O104" s="64">
        <v>33.68</v>
      </c>
      <c r="P104" s="42">
        <f t="shared" si="65"/>
        <v>8.1722989058592266E-2</v>
      </c>
      <c r="Q104" s="42">
        <f t="shared" si="66"/>
        <v>0.4836819961652683</v>
      </c>
    </row>
    <row r="105" spans="1:17" x14ac:dyDescent="0.2">
      <c r="A105" s="18" t="s">
        <v>26</v>
      </c>
      <c r="B105" s="19"/>
      <c r="C105" s="18"/>
      <c r="D105" s="18"/>
      <c r="E105" s="18"/>
      <c r="F105" s="18"/>
      <c r="G105" s="26">
        <f>G96/G95</f>
        <v>251.43761608657042</v>
      </c>
      <c r="H105" s="26">
        <f>H96/H95</f>
        <v>112.52141770262132</v>
      </c>
      <c r="J105" s="18" t="s">
        <v>26</v>
      </c>
      <c r="K105" s="19"/>
      <c r="L105" s="18"/>
      <c r="M105" s="18"/>
      <c r="N105" s="18"/>
      <c r="O105" s="18"/>
      <c r="P105" s="26" t="e">
        <f>P96/P95</f>
        <v>#DIV/0!</v>
      </c>
      <c r="Q105" s="26" t="e">
        <f>Q96/Q95</f>
        <v>#DIV/0!</v>
      </c>
    </row>
    <row r="106" spans="1:17" x14ac:dyDescent="0.2">
      <c r="A106" s="20" t="s">
        <v>27</v>
      </c>
      <c r="B106" s="27"/>
      <c r="C106" s="28"/>
      <c r="D106" s="28"/>
      <c r="E106" s="28"/>
      <c r="F106" s="28"/>
      <c r="G106" s="29" t="e">
        <f>G96/G94</f>
        <v>#DIV/0!</v>
      </c>
      <c r="H106" s="29" t="e">
        <f>H96/H94</f>
        <v>#DIV/0!</v>
      </c>
      <c r="J106" s="20" t="s">
        <v>27</v>
      </c>
      <c r="K106" s="27"/>
      <c r="L106" s="28"/>
      <c r="M106" s="28"/>
      <c r="N106" s="28"/>
      <c r="O106" s="28"/>
      <c r="P106" s="29">
        <f>P96/P94</f>
        <v>3086.2635113527381</v>
      </c>
      <c r="Q106" s="29">
        <f>Q96/Q94</f>
        <v>1960.58537366373</v>
      </c>
    </row>
    <row r="107" spans="1:17" x14ac:dyDescent="0.2">
      <c r="A107" s="30" t="s">
        <v>28</v>
      </c>
      <c r="B107" s="21"/>
      <c r="C107" s="20"/>
      <c r="D107" s="20"/>
      <c r="E107" s="20"/>
      <c r="F107" s="20"/>
      <c r="G107" s="22">
        <f>G96/G101</f>
        <v>215.69032573190484</v>
      </c>
      <c r="H107" s="22">
        <f>H96/H101</f>
        <v>257.28543678033788</v>
      </c>
      <c r="J107" s="30" t="s">
        <v>28</v>
      </c>
      <c r="K107" s="21"/>
      <c r="L107" s="20"/>
      <c r="M107" s="20"/>
      <c r="N107" s="20"/>
      <c r="O107" s="20"/>
      <c r="P107" s="22" t="e">
        <f>P96/P101</f>
        <v>#DIV/0!</v>
      </c>
      <c r="Q107" s="22" t="e">
        <f>Q96/Q101</f>
        <v>#DIV/0!</v>
      </c>
    </row>
    <row r="109" spans="1:17" ht="16" thickBot="1" x14ac:dyDescent="0.25">
      <c r="A109" s="14" t="s">
        <v>11</v>
      </c>
      <c r="B109" s="15">
        <v>29</v>
      </c>
      <c r="C109" s="14"/>
      <c r="D109" s="16"/>
      <c r="E109" s="16"/>
      <c r="F109" s="16"/>
      <c r="G109" s="17"/>
      <c r="H109" s="14"/>
      <c r="J109" s="14" t="s">
        <v>11</v>
      </c>
      <c r="K109" s="15">
        <v>33</v>
      </c>
      <c r="L109" s="14"/>
      <c r="M109" s="16"/>
      <c r="N109" s="16"/>
      <c r="O109" s="16"/>
      <c r="P109" s="17"/>
      <c r="Q109" s="14"/>
    </row>
    <row r="110" spans="1:17" x14ac:dyDescent="0.2">
      <c r="A110" s="18" t="s">
        <v>12</v>
      </c>
      <c r="B110" s="19" t="s">
        <v>13</v>
      </c>
      <c r="C110" s="18" t="s">
        <v>14</v>
      </c>
      <c r="D110" s="18" t="s">
        <v>15</v>
      </c>
      <c r="E110" s="18" t="s">
        <v>36</v>
      </c>
      <c r="F110" s="38" t="s">
        <v>37</v>
      </c>
      <c r="G110" s="39" t="s">
        <v>38</v>
      </c>
      <c r="H110" s="40" t="s">
        <v>39</v>
      </c>
      <c r="J110" s="18" t="s">
        <v>12</v>
      </c>
      <c r="K110" s="19" t="s">
        <v>13</v>
      </c>
      <c r="L110" s="18" t="s">
        <v>14</v>
      </c>
      <c r="M110" s="18" t="s">
        <v>15</v>
      </c>
      <c r="N110" s="18" t="s">
        <v>36</v>
      </c>
      <c r="O110" s="38" t="s">
        <v>37</v>
      </c>
      <c r="P110" s="39" t="s">
        <v>38</v>
      </c>
      <c r="Q110" s="40" t="s">
        <v>39</v>
      </c>
    </row>
    <row r="111" spans="1:17" x14ac:dyDescent="0.2">
      <c r="A111" s="20"/>
      <c r="B111" s="21"/>
      <c r="C111" s="20"/>
      <c r="D111" s="20"/>
      <c r="E111" s="20"/>
      <c r="F111" s="30"/>
      <c r="J111" s="20"/>
      <c r="K111" s="21"/>
      <c r="L111" s="20"/>
      <c r="M111" s="20"/>
      <c r="N111" s="20"/>
      <c r="O111" s="30"/>
    </row>
    <row r="112" spans="1:17" x14ac:dyDescent="0.2">
      <c r="A112" s="20" t="s">
        <v>16</v>
      </c>
      <c r="B112" s="21">
        <v>3.2244999999999999</v>
      </c>
      <c r="C112" s="21">
        <v>3.427</v>
      </c>
      <c r="D112" s="21">
        <f t="shared" ref="D112:D122" si="68">C112-B112</f>
        <v>0.20250000000000012</v>
      </c>
      <c r="E112" s="28">
        <v>11.21</v>
      </c>
      <c r="F112" s="28">
        <v>0</v>
      </c>
      <c r="G112" s="41">
        <f>(E112/$B$14)/D112</f>
        <v>1.3665058885177503E-2</v>
      </c>
      <c r="H112" s="41">
        <f>(F112/$C$14)/D112</f>
        <v>0</v>
      </c>
      <c r="J112" s="20" t="s">
        <v>16</v>
      </c>
      <c r="K112" s="21">
        <v>3.2277999999999998</v>
      </c>
      <c r="L112" s="21">
        <v>3.4670999999999998</v>
      </c>
      <c r="M112" s="21">
        <f t="shared" ref="M112:M122" si="69">L112-K112</f>
        <v>0.23930000000000007</v>
      </c>
      <c r="N112">
        <v>0</v>
      </c>
      <c r="O112">
        <v>14.61</v>
      </c>
      <c r="P112" s="41">
        <f>(N112/$H$14)/M112</f>
        <v>0</v>
      </c>
      <c r="Q112" s="41">
        <f>(O112/$I$14)/M112</f>
        <v>3.3756397024603216E-2</v>
      </c>
    </row>
    <row r="113" spans="1:17" x14ac:dyDescent="0.2">
      <c r="A113" s="20" t="s">
        <v>17</v>
      </c>
      <c r="B113" s="21">
        <v>3.2355</v>
      </c>
      <c r="C113" s="21">
        <v>3.4327000000000001</v>
      </c>
      <c r="D113" s="21">
        <f t="shared" si="68"/>
        <v>0.19720000000000004</v>
      </c>
      <c r="E113" s="28">
        <v>1.21</v>
      </c>
      <c r="F113" s="28">
        <v>74.3</v>
      </c>
      <c r="G113" s="41">
        <f t="shared" ref="G113:G122" si="70">(E113/$B$14)/D113</f>
        <v>1.5146398614232703E-3</v>
      </c>
      <c r="H113" s="41">
        <f t="shared" ref="H113:H122" si="71">(F113/$C$14)/D113</f>
        <v>0.10673386233519729</v>
      </c>
      <c r="J113" s="20" t="s">
        <v>17</v>
      </c>
      <c r="K113" s="21">
        <v>3.2565</v>
      </c>
      <c r="L113" s="21">
        <v>3.3633000000000002</v>
      </c>
      <c r="M113" s="21">
        <f t="shared" si="69"/>
        <v>0.10680000000000023</v>
      </c>
      <c r="N113">
        <v>0</v>
      </c>
      <c r="O113">
        <v>8.5</v>
      </c>
      <c r="P113" s="41">
        <f t="shared" ref="P113:P122" si="72">(N113/$H$14)/M113</f>
        <v>0</v>
      </c>
      <c r="Q113" s="41">
        <f t="shared" ref="Q113:Q122" si="73">(O113/$I$14)/M113</f>
        <v>4.4004413994758892E-2</v>
      </c>
    </row>
    <row r="114" spans="1:17" x14ac:dyDescent="0.2">
      <c r="A114" s="20" t="s">
        <v>18</v>
      </c>
      <c r="B114" s="21">
        <v>4.8903999999999996</v>
      </c>
      <c r="C114" s="21">
        <v>5.0639000000000003</v>
      </c>
      <c r="D114" s="21">
        <f t="shared" si="68"/>
        <v>0.17350000000000065</v>
      </c>
      <c r="E114" s="28">
        <v>1686.08</v>
      </c>
      <c r="F114" s="28">
        <v>4562.0600000000004</v>
      </c>
      <c r="G114" s="41">
        <f t="shared" si="70"/>
        <v>2.3988860569822652</v>
      </c>
      <c r="H114" s="41">
        <f t="shared" si="71"/>
        <v>7.4487231998764987</v>
      </c>
      <c r="J114" s="20" t="s">
        <v>18</v>
      </c>
      <c r="K114" s="21">
        <v>5.1070000000000002</v>
      </c>
      <c r="L114" s="21">
        <v>5.2188999999999997</v>
      </c>
      <c r="M114" s="21">
        <f t="shared" si="69"/>
        <v>0.11189999999999944</v>
      </c>
      <c r="N114">
        <v>574.13</v>
      </c>
      <c r="O114">
        <v>1559.11</v>
      </c>
      <c r="P114" s="41">
        <f t="shared" si="72"/>
        <v>2.6079212757266199</v>
      </c>
      <c r="Q114" s="41">
        <f t="shared" si="73"/>
        <v>7.703626871975831</v>
      </c>
    </row>
    <row r="115" spans="1:17" x14ac:dyDescent="0.2">
      <c r="A115" s="20" t="s">
        <v>19</v>
      </c>
      <c r="B115" s="21">
        <v>3.2395</v>
      </c>
      <c r="C115" s="21">
        <v>3.4091</v>
      </c>
      <c r="D115" s="21">
        <f t="shared" si="68"/>
        <v>0.16959999999999997</v>
      </c>
      <c r="E115" s="28">
        <v>1.69</v>
      </c>
      <c r="F115" s="28">
        <v>5.0999999999999996</v>
      </c>
      <c r="G115" s="41">
        <f t="shared" si="70"/>
        <v>2.4597545870536932E-3</v>
      </c>
      <c r="H115" s="41">
        <f t="shared" si="71"/>
        <v>8.5185298658354263E-3</v>
      </c>
      <c r="J115" s="20" t="s">
        <v>19</v>
      </c>
      <c r="K115" s="21">
        <v>3.2355</v>
      </c>
      <c r="L115" s="21">
        <v>3.3725999999999998</v>
      </c>
      <c r="M115" s="21">
        <f t="shared" si="69"/>
        <v>0.13709999999999978</v>
      </c>
      <c r="N115">
        <v>14.22</v>
      </c>
      <c r="O115">
        <v>15.73</v>
      </c>
      <c r="P115" s="41">
        <f t="shared" si="72"/>
        <v>5.2720129075633809E-2</v>
      </c>
      <c r="Q115" s="41">
        <f t="shared" si="73"/>
        <v>6.3436591026122119E-2</v>
      </c>
    </row>
    <row r="116" spans="1:17" x14ac:dyDescent="0.2">
      <c r="A116" s="20" t="s">
        <v>20</v>
      </c>
      <c r="B116" s="21">
        <v>3.2421000000000002</v>
      </c>
      <c r="C116" s="21">
        <v>3.3921999999999999</v>
      </c>
      <c r="D116" s="21">
        <f t="shared" si="68"/>
        <v>0.15009999999999968</v>
      </c>
      <c r="E116" s="28">
        <v>24.25</v>
      </c>
      <c r="F116" s="28">
        <v>19.57</v>
      </c>
      <c r="G116" s="41">
        <f t="shared" si="70"/>
        <v>3.9880626586750643E-2</v>
      </c>
      <c r="H116" s="41">
        <f t="shared" si="71"/>
        <v>3.6934349595509113E-2</v>
      </c>
      <c r="J116" s="20" t="s">
        <v>20</v>
      </c>
      <c r="K116" s="21">
        <v>3.2382</v>
      </c>
      <c r="L116" s="21">
        <v>3.3898000000000001</v>
      </c>
      <c r="M116" s="21">
        <f t="shared" si="69"/>
        <v>0.15160000000000018</v>
      </c>
      <c r="N116">
        <v>6.2</v>
      </c>
      <c r="O116">
        <v>16.02</v>
      </c>
      <c r="P116" s="41">
        <f t="shared" si="72"/>
        <v>2.0787717750868431E-2</v>
      </c>
      <c r="Q116" s="41">
        <f t="shared" si="73"/>
        <v>5.8426770186665276E-2</v>
      </c>
    </row>
    <row r="117" spans="1:17" x14ac:dyDescent="0.2">
      <c r="A117" s="20" t="s">
        <v>21</v>
      </c>
      <c r="B117" s="23">
        <v>3.2174999999999998</v>
      </c>
      <c r="C117" s="23">
        <v>3.5002</v>
      </c>
      <c r="D117" s="23">
        <f t="shared" si="68"/>
        <v>0.28270000000000017</v>
      </c>
      <c r="E117" s="28">
        <v>48.82</v>
      </c>
      <c r="F117" s="28">
        <v>19.93</v>
      </c>
      <c r="G117" s="41">
        <f t="shared" si="70"/>
        <v>4.2628778562210597E-2</v>
      </c>
      <c r="H117" s="41">
        <f t="shared" si="71"/>
        <v>1.9971092003819298E-2</v>
      </c>
      <c r="J117" s="20" t="s">
        <v>21</v>
      </c>
      <c r="K117" s="23">
        <v>3.2221000000000002</v>
      </c>
      <c r="L117" s="23">
        <v>3.4988000000000001</v>
      </c>
      <c r="M117" s="23">
        <f t="shared" si="69"/>
        <v>0.27669999999999995</v>
      </c>
      <c r="N117">
        <v>0</v>
      </c>
      <c r="O117">
        <v>0</v>
      </c>
      <c r="P117" s="41">
        <f t="shared" si="72"/>
        <v>0</v>
      </c>
      <c r="Q117" s="41">
        <f t="shared" si="73"/>
        <v>0</v>
      </c>
    </row>
    <row r="118" spans="1:17" x14ac:dyDescent="0.2">
      <c r="A118" s="20" t="s">
        <v>23</v>
      </c>
      <c r="B118" s="21">
        <v>3.2362000000000002</v>
      </c>
      <c r="C118" s="21">
        <v>3.5272999999999999</v>
      </c>
      <c r="D118" s="21">
        <f t="shared" si="68"/>
        <v>0.29109999999999969</v>
      </c>
      <c r="E118" s="28">
        <v>113.07</v>
      </c>
      <c r="F118" s="28">
        <v>321.81</v>
      </c>
      <c r="G118" s="41">
        <f t="shared" si="70"/>
        <v>9.58817846943021E-2</v>
      </c>
      <c r="H118" s="41">
        <f t="shared" si="71"/>
        <v>0.31316819710409838</v>
      </c>
      <c r="J118" s="20" t="s">
        <v>23</v>
      </c>
      <c r="K118" s="21">
        <v>3.2515000000000001</v>
      </c>
      <c r="L118" s="21">
        <v>3.5127999999999999</v>
      </c>
      <c r="M118" s="21">
        <f t="shared" si="69"/>
        <v>0.26129999999999987</v>
      </c>
      <c r="N118">
        <v>84.94</v>
      </c>
      <c r="O118">
        <v>207.22</v>
      </c>
      <c r="P118" s="41">
        <f t="shared" si="72"/>
        <v>0.16522934080035873</v>
      </c>
      <c r="Q118" s="41">
        <f t="shared" si="73"/>
        <v>0.4384709531715878</v>
      </c>
    </row>
    <row r="119" spans="1:17" x14ac:dyDescent="0.2">
      <c r="A119" s="20" t="s">
        <v>24</v>
      </c>
      <c r="B119" s="21">
        <v>3.2431000000000001</v>
      </c>
      <c r="C119" s="21">
        <v>3.4775</v>
      </c>
      <c r="D119" s="21">
        <f t="shared" si="68"/>
        <v>0.23439999999999994</v>
      </c>
      <c r="E119" s="28">
        <v>16.23</v>
      </c>
      <c r="F119" s="28">
        <v>42.81</v>
      </c>
      <c r="G119" s="41">
        <f t="shared" si="70"/>
        <v>1.7091958707011464E-2</v>
      </c>
      <c r="H119" s="41">
        <f t="shared" si="71"/>
        <v>5.1737798215860213E-2</v>
      </c>
      <c r="J119" s="20" t="s">
        <v>24</v>
      </c>
      <c r="K119" s="21">
        <v>3.1983000000000001</v>
      </c>
      <c r="L119" s="21">
        <v>3.4474</v>
      </c>
      <c r="M119" s="21">
        <f t="shared" si="69"/>
        <v>0.24909999999999988</v>
      </c>
      <c r="N119">
        <v>8.19</v>
      </c>
      <c r="O119">
        <v>28.35</v>
      </c>
      <c r="P119" s="41">
        <f t="shared" si="72"/>
        <v>1.6711848791358109E-2</v>
      </c>
      <c r="Q119" s="41">
        <f t="shared" si="73"/>
        <v>6.2925678137790847E-2</v>
      </c>
    </row>
    <row r="120" spans="1:17" x14ac:dyDescent="0.2">
      <c r="A120" s="38" t="s">
        <v>22</v>
      </c>
      <c r="B120" s="21">
        <v>4.6654999999999998</v>
      </c>
      <c r="C120" s="21">
        <v>5.1054000000000004</v>
      </c>
      <c r="D120" s="21">
        <f t="shared" si="68"/>
        <v>0.43990000000000062</v>
      </c>
      <c r="E120" s="28">
        <v>550.04999999999995</v>
      </c>
      <c r="F120" s="28">
        <v>1586.31</v>
      </c>
      <c r="G120" s="41">
        <f t="shared" si="70"/>
        <v>0.30865913124320393</v>
      </c>
      <c r="H120" s="41">
        <f t="shared" si="71"/>
        <v>1.0215377547062321</v>
      </c>
      <c r="J120" s="38" t="s">
        <v>22</v>
      </c>
      <c r="K120" s="21">
        <v>5.0689000000000002</v>
      </c>
      <c r="L120" s="21">
        <v>5.5255000000000001</v>
      </c>
      <c r="M120" s="21">
        <f t="shared" si="69"/>
        <v>0.45659999999999989</v>
      </c>
      <c r="N120">
        <v>86.46</v>
      </c>
      <c r="O120">
        <v>242.15</v>
      </c>
      <c r="P120" s="41">
        <f t="shared" si="72"/>
        <v>9.6248428508681691E-2</v>
      </c>
      <c r="Q120" s="41">
        <f t="shared" si="73"/>
        <v>0.29322239392315047</v>
      </c>
    </row>
    <row r="121" spans="1:17" x14ac:dyDescent="0.2">
      <c r="A121" s="28" t="s">
        <v>29</v>
      </c>
      <c r="B121" s="27">
        <v>3.2351000000000001</v>
      </c>
      <c r="C121" s="27">
        <v>3.2505000000000002</v>
      </c>
      <c r="D121" s="21">
        <f t="shared" si="68"/>
        <v>1.540000000000008E-2</v>
      </c>
      <c r="E121" s="28">
        <v>10.210000000000001</v>
      </c>
      <c r="F121" s="28">
        <v>5.66</v>
      </c>
      <c r="G121" s="41">
        <f t="shared" si="70"/>
        <v>0.16365751168122436</v>
      </c>
      <c r="H121" s="41">
        <f t="shared" si="71"/>
        <v>0.10411565425630956</v>
      </c>
      <c r="J121" s="28" t="s">
        <v>29</v>
      </c>
      <c r="K121" s="27">
        <v>3.2021000000000002</v>
      </c>
      <c r="L121" s="27">
        <v>3.2080000000000002</v>
      </c>
      <c r="M121" s="21">
        <f t="shared" si="69"/>
        <v>5.9000000000000163E-3</v>
      </c>
      <c r="N121">
        <v>0</v>
      </c>
      <c r="O121">
        <v>13.5</v>
      </c>
      <c r="P121" s="41">
        <f t="shared" si="72"/>
        <v>0</v>
      </c>
      <c r="Q121" s="41">
        <f t="shared" si="73"/>
        <v>1.2651159341504152</v>
      </c>
    </row>
    <row r="122" spans="1:17" ht="16" thickBot="1" x14ac:dyDescent="0.25">
      <c r="A122" s="24" t="s">
        <v>25</v>
      </c>
      <c r="B122" s="25">
        <v>3.2279</v>
      </c>
      <c r="C122" s="25">
        <v>3.2892000000000001</v>
      </c>
      <c r="D122" s="25">
        <f t="shared" si="68"/>
        <v>6.1300000000000132E-2</v>
      </c>
      <c r="E122" s="14">
        <v>25.29</v>
      </c>
      <c r="F122" s="14">
        <v>9.7200000000000006</v>
      </c>
      <c r="G122" s="42">
        <f t="shared" si="70"/>
        <v>0.10184020790869699</v>
      </c>
      <c r="H122" s="42">
        <f t="shared" si="71"/>
        <v>4.4918589726475576E-2</v>
      </c>
      <c r="J122" s="24" t="s">
        <v>25</v>
      </c>
      <c r="K122" s="25">
        <v>3.2305999999999999</v>
      </c>
      <c r="L122" s="25">
        <v>2018</v>
      </c>
      <c r="M122" s="25">
        <f t="shared" si="69"/>
        <v>2014.7693999999999</v>
      </c>
      <c r="N122" s="63">
        <v>0</v>
      </c>
      <c r="O122" s="64">
        <v>25.72</v>
      </c>
      <c r="P122" s="42">
        <f t="shared" si="72"/>
        <v>0</v>
      </c>
      <c r="Q122" s="42">
        <f t="shared" si="73"/>
        <v>7.0582036823579197E-6</v>
      </c>
    </row>
    <row r="123" spans="1:17" x14ac:dyDescent="0.2">
      <c r="A123" s="18" t="s">
        <v>26</v>
      </c>
      <c r="B123" s="19"/>
      <c r="C123" s="18"/>
      <c r="D123" s="18"/>
      <c r="E123" s="18"/>
      <c r="F123" s="18"/>
      <c r="G123" s="26">
        <f>G114/G113</f>
        <v>1583.7996332198006</v>
      </c>
      <c r="H123" s="26">
        <f>H114/H113</f>
        <v>69.787816508352449</v>
      </c>
      <c r="J123" s="18" t="s">
        <v>26</v>
      </c>
      <c r="K123" s="19"/>
      <c r="L123" s="18"/>
      <c r="M123" s="18"/>
      <c r="N123" s="18"/>
      <c r="O123" s="18"/>
      <c r="P123" s="26" t="e">
        <f>P114/P113</f>
        <v>#DIV/0!</v>
      </c>
      <c r="Q123" s="26">
        <f>Q114/Q113</f>
        <v>175.06486674026303</v>
      </c>
    </row>
    <row r="124" spans="1:17" x14ac:dyDescent="0.2">
      <c r="A124" s="20" t="s">
        <v>27</v>
      </c>
      <c r="B124" s="27"/>
      <c r="C124" s="28"/>
      <c r="D124" s="28"/>
      <c r="E124" s="28"/>
      <c r="F124" s="28"/>
      <c r="G124" s="29">
        <f>G114/G112</f>
        <v>175.54890009177626</v>
      </c>
      <c r="H124" s="29" t="e">
        <f>H114/H112</f>
        <v>#DIV/0!</v>
      </c>
      <c r="J124" s="20" t="s">
        <v>27</v>
      </c>
      <c r="K124" s="27"/>
      <c r="L124" s="28"/>
      <c r="M124" s="28"/>
      <c r="N124" s="28"/>
      <c r="O124" s="28"/>
      <c r="P124" s="29" t="e">
        <f>P114/P112</f>
        <v>#DIV/0!</v>
      </c>
      <c r="Q124" s="29">
        <f>Q114/Q112</f>
        <v>228.21235531627008</v>
      </c>
    </row>
    <row r="125" spans="1:17" x14ac:dyDescent="0.2">
      <c r="A125" s="30" t="s">
        <v>28</v>
      </c>
      <c r="B125" s="21"/>
      <c r="C125" s="20"/>
      <c r="D125" s="20"/>
      <c r="E125" s="20"/>
      <c r="F125" s="20"/>
      <c r="G125" s="22">
        <f>G114/G119</f>
        <v>140.35173487741895</v>
      </c>
      <c r="H125" s="22">
        <f>H114/H119</f>
        <v>143.97062605561544</v>
      </c>
      <c r="J125" s="30" t="s">
        <v>28</v>
      </c>
      <c r="K125" s="21"/>
      <c r="L125" s="20"/>
      <c r="M125" s="20"/>
      <c r="N125" s="20"/>
      <c r="O125" s="20"/>
      <c r="P125" s="22">
        <f>P114/P119</f>
        <v>156.05223026402717</v>
      </c>
      <c r="Q125" s="22">
        <f>Q114/Q119</f>
        <v>122.42421694855469</v>
      </c>
    </row>
    <row r="126" spans="1:17" x14ac:dyDescent="0.2">
      <c r="K126" s="31"/>
      <c r="L126" s="31"/>
      <c r="M126" s="31"/>
      <c r="N126" s="2"/>
      <c r="O126" s="32"/>
    </row>
    <row r="128" spans="1:17" ht="16" thickBot="1" x14ac:dyDescent="0.25">
      <c r="A128" s="14" t="s">
        <v>11</v>
      </c>
      <c r="B128" s="15">
        <v>13</v>
      </c>
      <c r="C128" s="14"/>
      <c r="D128" s="16"/>
      <c r="J128" s="14" t="s">
        <v>11</v>
      </c>
      <c r="K128" s="15">
        <v>5</v>
      </c>
      <c r="L128" s="14"/>
      <c r="M128" s="16"/>
    </row>
    <row r="129" spans="1:13" x14ac:dyDescent="0.2">
      <c r="A129" s="18" t="s">
        <v>12</v>
      </c>
      <c r="B129" s="19" t="s">
        <v>13</v>
      </c>
      <c r="C129" s="18" t="s">
        <v>14</v>
      </c>
      <c r="D129" s="18" t="s">
        <v>15</v>
      </c>
      <c r="J129" s="18" t="s">
        <v>12</v>
      </c>
      <c r="K129" s="19" t="s">
        <v>13</v>
      </c>
      <c r="L129" s="18" t="s">
        <v>14</v>
      </c>
      <c r="M129" s="18" t="s">
        <v>15</v>
      </c>
    </row>
    <row r="130" spans="1:13" x14ac:dyDescent="0.2">
      <c r="A130" s="20" t="s">
        <v>18</v>
      </c>
      <c r="B130" s="21">
        <v>5.1364000000000001</v>
      </c>
      <c r="C130" s="21">
        <v>5.3078000000000003</v>
      </c>
      <c r="D130" s="21">
        <f>C130-B130</f>
        <v>0.17140000000000022</v>
      </c>
      <c r="J130" s="20" t="s">
        <v>18</v>
      </c>
      <c r="K130" s="21">
        <v>5.1315</v>
      </c>
      <c r="L130" s="21">
        <v>5.2640000000000002</v>
      </c>
      <c r="M130" s="21">
        <f>L130-K130</f>
        <v>0.13250000000000028</v>
      </c>
    </row>
    <row r="131" spans="1:13" x14ac:dyDescent="0.2">
      <c r="A131" s="20" t="s">
        <v>22</v>
      </c>
      <c r="B131" s="21">
        <v>5.1688000000000001</v>
      </c>
      <c r="C131" s="21">
        <v>5.6052999999999997</v>
      </c>
      <c r="D131" s="21">
        <f>C131-B131</f>
        <v>0.43649999999999967</v>
      </c>
      <c r="J131" s="20" t="s">
        <v>22</v>
      </c>
      <c r="K131" s="21">
        <v>5.1555</v>
      </c>
      <c r="L131" s="21">
        <v>5.6093000000000002</v>
      </c>
      <c r="M131" s="21">
        <f>L131-K131</f>
        <v>0.4538000000000002</v>
      </c>
    </row>
    <row r="133" spans="1:13" ht="16" thickBot="1" x14ac:dyDescent="0.25">
      <c r="A133" s="14" t="s">
        <v>11</v>
      </c>
      <c r="B133" s="15">
        <v>38</v>
      </c>
      <c r="C133" s="14"/>
      <c r="D133" s="16"/>
      <c r="J133" s="14" t="s">
        <v>11</v>
      </c>
      <c r="K133" s="15">
        <v>22</v>
      </c>
      <c r="L133" s="14"/>
      <c r="M133" s="16"/>
    </row>
    <row r="134" spans="1:13" x14ac:dyDescent="0.2">
      <c r="A134" s="18" t="s">
        <v>12</v>
      </c>
      <c r="B134" s="19" t="s">
        <v>13</v>
      </c>
      <c r="C134" s="18" t="s">
        <v>14</v>
      </c>
      <c r="D134" s="18" t="s">
        <v>15</v>
      </c>
      <c r="J134" s="18" t="s">
        <v>12</v>
      </c>
      <c r="K134" s="19" t="s">
        <v>13</v>
      </c>
      <c r="L134" s="18" t="s">
        <v>14</v>
      </c>
      <c r="M134" s="18" t="s">
        <v>15</v>
      </c>
    </row>
    <row r="135" spans="1:13" x14ac:dyDescent="0.2">
      <c r="A135" s="20" t="s">
        <v>18</v>
      </c>
      <c r="B135" s="21">
        <v>5.2239000000000004</v>
      </c>
      <c r="C135" s="21">
        <v>5.3879999999999999</v>
      </c>
      <c r="D135" s="21">
        <f>C135-B135</f>
        <v>0.16409999999999947</v>
      </c>
      <c r="J135" s="20" t="s">
        <v>18</v>
      </c>
      <c r="K135" s="21">
        <v>5.1750999999999996</v>
      </c>
      <c r="L135" s="21">
        <v>5.3650000000000002</v>
      </c>
      <c r="M135" s="21">
        <f>L135-K135</f>
        <v>0.18990000000000062</v>
      </c>
    </row>
    <row r="136" spans="1:13" x14ac:dyDescent="0.2">
      <c r="A136" s="20" t="s">
        <v>22</v>
      </c>
      <c r="B136" s="21">
        <v>5.1658999999999997</v>
      </c>
      <c r="C136" s="21">
        <v>5.6908000000000003</v>
      </c>
      <c r="D136" s="21">
        <f>C136-B136</f>
        <v>0.52490000000000059</v>
      </c>
      <c r="J136" s="20" t="s">
        <v>22</v>
      </c>
      <c r="K136" s="21">
        <v>5.1223000000000001</v>
      </c>
      <c r="L136" s="21">
        <v>5.5591999999999997</v>
      </c>
      <c r="M136" s="21">
        <f>L136-K136</f>
        <v>0.43689999999999962</v>
      </c>
    </row>
    <row r="138" spans="1:13" ht="16" thickBot="1" x14ac:dyDescent="0.25">
      <c r="A138" s="14" t="s">
        <v>11</v>
      </c>
      <c r="B138" s="15">
        <v>51</v>
      </c>
      <c r="C138" s="14"/>
      <c r="D138" s="16"/>
      <c r="J138" s="14" t="s">
        <v>11</v>
      </c>
      <c r="K138" s="15">
        <v>41</v>
      </c>
      <c r="L138" s="14"/>
      <c r="M138" s="16"/>
    </row>
    <row r="139" spans="1:13" x14ac:dyDescent="0.2">
      <c r="A139" s="18" t="s">
        <v>12</v>
      </c>
      <c r="B139" s="19" t="s">
        <v>13</v>
      </c>
      <c r="C139" s="18" t="s">
        <v>14</v>
      </c>
      <c r="D139" s="18" t="s">
        <v>15</v>
      </c>
      <c r="J139" s="18" t="s">
        <v>12</v>
      </c>
      <c r="K139" s="19" t="s">
        <v>13</v>
      </c>
      <c r="L139" s="18" t="s">
        <v>14</v>
      </c>
      <c r="M139" s="18" t="s">
        <v>15</v>
      </c>
    </row>
    <row r="140" spans="1:13" x14ac:dyDescent="0.2">
      <c r="A140" s="20" t="s">
        <v>18</v>
      </c>
      <c r="B140" s="21">
        <v>5.2103000000000002</v>
      </c>
      <c r="C140" s="21">
        <v>5.2507000000000001</v>
      </c>
      <c r="D140" s="21">
        <f>C140-B140</f>
        <v>4.0399999999999991E-2</v>
      </c>
      <c r="J140" s="20" t="s">
        <v>18</v>
      </c>
      <c r="K140" s="21">
        <v>5.1733000000000002</v>
      </c>
      <c r="L140" s="21">
        <v>5.1820000000000004</v>
      </c>
      <c r="M140" s="21">
        <f>L140-K140</f>
        <v>8.7000000000001521E-3</v>
      </c>
    </row>
    <row r="141" spans="1:13" x14ac:dyDescent="0.2">
      <c r="A141" s="20" t="s">
        <v>22</v>
      </c>
      <c r="B141" s="21">
        <v>5.2232000000000003</v>
      </c>
      <c r="C141" s="21">
        <v>5.6635999999999997</v>
      </c>
      <c r="D141" s="21">
        <f>C141-B141</f>
        <v>0.44039999999999946</v>
      </c>
      <c r="J141" s="20" t="s">
        <v>22</v>
      </c>
      <c r="K141" s="21">
        <v>5.1387999999999998</v>
      </c>
      <c r="L141" s="21">
        <v>5.5891000000000002</v>
      </c>
      <c r="M141" s="21">
        <f>L141-K141</f>
        <v>0.45030000000000037</v>
      </c>
    </row>
    <row r="143" spans="1:13" ht="16" thickBot="1" x14ac:dyDescent="0.25">
      <c r="A143" s="14" t="s">
        <v>11</v>
      </c>
      <c r="B143" s="15">
        <v>6</v>
      </c>
      <c r="C143" s="14"/>
      <c r="D143" s="16"/>
      <c r="J143" s="14" t="s">
        <v>11</v>
      </c>
      <c r="K143" s="15">
        <v>9</v>
      </c>
      <c r="L143" s="14"/>
      <c r="M143" s="16"/>
    </row>
    <row r="144" spans="1:13" x14ac:dyDescent="0.2">
      <c r="A144" s="18" t="s">
        <v>12</v>
      </c>
      <c r="B144" s="19" t="s">
        <v>13</v>
      </c>
      <c r="C144" s="18" t="s">
        <v>14</v>
      </c>
      <c r="D144" s="18" t="s">
        <v>15</v>
      </c>
      <c r="J144" s="18" t="s">
        <v>12</v>
      </c>
      <c r="K144" s="19" t="s">
        <v>13</v>
      </c>
      <c r="L144" s="18" t="s">
        <v>14</v>
      </c>
      <c r="M144" s="18" t="s">
        <v>15</v>
      </c>
    </row>
    <row r="145" spans="1:13" x14ac:dyDescent="0.2">
      <c r="A145" s="20" t="s">
        <v>18</v>
      </c>
      <c r="B145" s="21">
        <v>5.226</v>
      </c>
      <c r="C145" s="21">
        <v>5.2679999999999998</v>
      </c>
      <c r="D145" s="21">
        <f>C145-B145</f>
        <v>4.1999999999999815E-2</v>
      </c>
      <c r="J145" s="20" t="s">
        <v>18</v>
      </c>
      <c r="K145" s="21">
        <v>5.2190000000000003</v>
      </c>
      <c r="L145" s="21">
        <v>5.3071999999999999</v>
      </c>
      <c r="M145" s="21">
        <f>L145-K145</f>
        <v>8.8199999999999612E-2</v>
      </c>
    </row>
    <row r="146" spans="1:13" x14ac:dyDescent="0.2">
      <c r="A146" s="20" t="s">
        <v>22</v>
      </c>
      <c r="B146" s="21">
        <v>5.2645</v>
      </c>
      <c r="C146" s="21">
        <v>5.7192999999999996</v>
      </c>
      <c r="D146" s="21">
        <f>C146-B146</f>
        <v>0.45479999999999965</v>
      </c>
      <c r="J146" s="20" t="s">
        <v>22</v>
      </c>
      <c r="K146" s="21">
        <v>5.1752000000000002</v>
      </c>
      <c r="L146" s="21">
        <v>5.5777000000000001</v>
      </c>
      <c r="M146" s="21">
        <f>L146-K146</f>
        <v>0.40249999999999986</v>
      </c>
    </row>
    <row r="148" spans="1:13" ht="16" thickBot="1" x14ac:dyDescent="0.25">
      <c r="A148" s="14" t="s">
        <v>11</v>
      </c>
      <c r="B148" s="15">
        <v>43</v>
      </c>
      <c r="C148" s="14"/>
      <c r="D148" s="16"/>
      <c r="J148" s="14" t="s">
        <v>11</v>
      </c>
      <c r="K148" s="15">
        <v>16</v>
      </c>
      <c r="L148" s="14"/>
      <c r="M148" s="16"/>
    </row>
    <row r="149" spans="1:13" x14ac:dyDescent="0.2">
      <c r="A149" s="18" t="s">
        <v>12</v>
      </c>
      <c r="B149" s="19" t="s">
        <v>13</v>
      </c>
      <c r="C149" s="18" t="s">
        <v>14</v>
      </c>
      <c r="D149" s="18" t="s">
        <v>15</v>
      </c>
      <c r="J149" s="18" t="s">
        <v>12</v>
      </c>
      <c r="K149" s="19" t="s">
        <v>13</v>
      </c>
      <c r="L149" s="18" t="s">
        <v>14</v>
      </c>
      <c r="M149" s="18" t="s">
        <v>15</v>
      </c>
    </row>
    <row r="150" spans="1:13" x14ac:dyDescent="0.2">
      <c r="A150" s="20" t="s">
        <v>18</v>
      </c>
      <c r="B150" s="21">
        <v>4.9345999999999997</v>
      </c>
      <c r="C150" s="21">
        <v>5.0709999999999997</v>
      </c>
      <c r="D150" s="21">
        <f>C150-B150</f>
        <v>0.13640000000000008</v>
      </c>
      <c r="J150" s="20" t="s">
        <v>18</v>
      </c>
      <c r="K150" s="21">
        <v>5.1394000000000002</v>
      </c>
      <c r="L150" s="21">
        <v>5.1769999999999996</v>
      </c>
      <c r="M150" s="21">
        <f>L150-K150</f>
        <v>3.7599999999999412E-2</v>
      </c>
    </row>
    <row r="151" spans="1:13" x14ac:dyDescent="0.2">
      <c r="A151" s="20" t="s">
        <v>22</v>
      </c>
      <c r="B151" s="21">
        <v>5.0979000000000001</v>
      </c>
      <c r="C151" s="21">
        <v>5.5960000000000001</v>
      </c>
      <c r="D151" s="21">
        <f>C151-B151</f>
        <v>0.49809999999999999</v>
      </c>
      <c r="J151" s="20" t="s">
        <v>22</v>
      </c>
      <c r="K151" s="21">
        <v>5.1603000000000003</v>
      </c>
      <c r="L151" s="21">
        <v>5.5377999999999998</v>
      </c>
      <c r="M151" s="21">
        <f>L151-K151</f>
        <v>0.3774999999999995</v>
      </c>
    </row>
    <row r="153" spans="1:13" ht="16" thickBot="1" x14ac:dyDescent="0.25">
      <c r="A153" s="14" t="s">
        <v>11</v>
      </c>
      <c r="B153" s="15">
        <v>44</v>
      </c>
      <c r="C153" s="14"/>
      <c r="D153" s="16"/>
      <c r="J153" s="14" t="s">
        <v>11</v>
      </c>
      <c r="K153" s="15">
        <v>36</v>
      </c>
      <c r="L153" s="14"/>
      <c r="M153" s="16"/>
    </row>
    <row r="154" spans="1:13" x14ac:dyDescent="0.2">
      <c r="A154" s="18" t="s">
        <v>12</v>
      </c>
      <c r="B154" s="19" t="s">
        <v>13</v>
      </c>
      <c r="C154" s="18" t="s">
        <v>14</v>
      </c>
      <c r="D154" s="18" t="s">
        <v>15</v>
      </c>
      <c r="J154" s="18" t="s">
        <v>12</v>
      </c>
      <c r="K154" s="19" t="s">
        <v>13</v>
      </c>
      <c r="L154" s="18" t="s">
        <v>14</v>
      </c>
      <c r="M154" s="18" t="s">
        <v>15</v>
      </c>
    </row>
    <row r="155" spans="1:13" x14ac:dyDescent="0.2">
      <c r="A155" s="20" t="s">
        <v>18</v>
      </c>
      <c r="B155" s="21">
        <v>4.9196</v>
      </c>
      <c r="C155">
        <v>5.0761000000000003</v>
      </c>
      <c r="D155" s="21">
        <f>C155-B155</f>
        <v>0.15650000000000031</v>
      </c>
      <c r="J155" s="20" t="s">
        <v>18</v>
      </c>
      <c r="K155" s="21">
        <v>5.0483000000000002</v>
      </c>
      <c r="L155" s="21">
        <v>5.1413000000000002</v>
      </c>
      <c r="M155" s="21">
        <f>L155-K155</f>
        <v>9.2999999999999972E-2</v>
      </c>
    </row>
    <row r="156" spans="1:13" x14ac:dyDescent="0.2">
      <c r="A156" s="20" t="s">
        <v>22</v>
      </c>
      <c r="B156" s="21">
        <v>4.9364999999999997</v>
      </c>
      <c r="C156" s="21">
        <v>5.4097</v>
      </c>
      <c r="D156" s="21">
        <f>C156-B156</f>
        <v>0.47320000000000029</v>
      </c>
      <c r="J156" s="20" t="s">
        <v>22</v>
      </c>
      <c r="K156" s="21">
        <v>5.0296000000000003</v>
      </c>
      <c r="L156" s="21">
        <v>5.4006999999999996</v>
      </c>
      <c r="M156" s="21">
        <f>L156-K156</f>
        <v>0.37109999999999932</v>
      </c>
    </row>
  </sheetData>
  <mergeCells count="6">
    <mergeCell ref="Y21:AD21"/>
    <mergeCell ref="AG21:AL21"/>
    <mergeCell ref="B9:E9"/>
    <mergeCell ref="F9:I9"/>
    <mergeCell ref="Y5:AD5"/>
    <mergeCell ref="AG5:AL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AE67"/>
  <sheetViews>
    <sheetView topLeftCell="A2" workbookViewId="0">
      <selection activeCell="G63" sqref="G63"/>
    </sheetView>
  </sheetViews>
  <sheetFormatPr baseColWidth="10" defaultRowHeight="15" x14ac:dyDescent="0.2"/>
  <sheetData>
    <row r="4" spans="2:31" x14ac:dyDescent="0.2">
      <c r="B4" t="s">
        <v>109</v>
      </c>
    </row>
    <row r="6" spans="2:31" x14ac:dyDescent="0.2">
      <c r="B6" s="57" t="s">
        <v>32</v>
      </c>
      <c r="C6" s="57"/>
      <c r="D6" s="57"/>
      <c r="E6" s="57"/>
      <c r="F6" s="57"/>
      <c r="G6" s="57"/>
      <c r="H6" s="57"/>
      <c r="I6" s="57"/>
      <c r="J6" s="57"/>
      <c r="K6" s="57"/>
      <c r="L6" s="57"/>
      <c r="M6" s="57"/>
      <c r="N6" s="57"/>
      <c r="O6" s="57"/>
      <c r="P6" s="57"/>
      <c r="Q6" s="57"/>
      <c r="R6" s="57"/>
      <c r="S6" s="57"/>
    </row>
    <row r="7" spans="2:31" x14ac:dyDescent="0.2">
      <c r="B7" s="57"/>
      <c r="C7" s="57" t="s">
        <v>34</v>
      </c>
      <c r="D7" s="57"/>
      <c r="E7" s="57"/>
      <c r="F7" s="57"/>
      <c r="G7" s="57"/>
      <c r="H7" s="57"/>
      <c r="I7" s="57"/>
      <c r="J7" s="76" t="s">
        <v>110</v>
      </c>
      <c r="K7" s="76"/>
      <c r="L7" s="57"/>
      <c r="M7" s="57" t="s">
        <v>35</v>
      </c>
      <c r="N7" s="57"/>
      <c r="O7" s="57"/>
      <c r="P7" s="57"/>
      <c r="Q7" s="57"/>
      <c r="R7" s="57"/>
      <c r="T7" s="76" t="s">
        <v>110</v>
      </c>
      <c r="U7" s="76"/>
      <c r="X7" t="s">
        <v>112</v>
      </c>
      <c r="Z7" t="s">
        <v>114</v>
      </c>
      <c r="AB7" t="s">
        <v>113</v>
      </c>
      <c r="AD7" s="61" t="s">
        <v>115</v>
      </c>
    </row>
    <row r="8" spans="2:31" x14ac:dyDescent="0.2">
      <c r="B8" s="57"/>
      <c r="C8" s="57" t="s">
        <v>36</v>
      </c>
      <c r="D8" s="57" t="s">
        <v>111</v>
      </c>
      <c r="E8" s="57" t="s">
        <v>37</v>
      </c>
      <c r="F8" s="57" t="s">
        <v>41</v>
      </c>
      <c r="G8" s="57" t="s">
        <v>42</v>
      </c>
      <c r="H8" s="57" t="s">
        <v>43</v>
      </c>
      <c r="I8" s="57"/>
      <c r="J8" s="57"/>
      <c r="K8" s="57"/>
      <c r="L8" s="57"/>
      <c r="M8" s="57" t="s">
        <v>36</v>
      </c>
      <c r="N8" s="57" t="s">
        <v>41</v>
      </c>
      <c r="O8" s="57" t="s">
        <v>37</v>
      </c>
      <c r="P8" s="57" t="s">
        <v>41</v>
      </c>
      <c r="Q8" s="57" t="s">
        <v>42</v>
      </c>
      <c r="R8" s="57" t="s">
        <v>43</v>
      </c>
      <c r="T8" s="57"/>
      <c r="U8" s="57"/>
      <c r="X8" s="57" t="s">
        <v>42</v>
      </c>
      <c r="Y8" s="57" t="s">
        <v>43</v>
      </c>
      <c r="Z8" s="57" t="s">
        <v>42</v>
      </c>
      <c r="AA8" s="57" t="s">
        <v>43</v>
      </c>
      <c r="AB8" s="57" t="s">
        <v>42</v>
      </c>
      <c r="AC8" s="57" t="s">
        <v>43</v>
      </c>
      <c r="AD8" s="57" t="s">
        <v>42</v>
      </c>
      <c r="AE8" s="57" t="s">
        <v>43</v>
      </c>
    </row>
    <row r="9" spans="2:31" x14ac:dyDescent="0.2">
      <c r="B9" s="57" t="s">
        <v>16</v>
      </c>
      <c r="C9" s="57">
        <v>5.5692495560556034E-2</v>
      </c>
      <c r="D9" s="69">
        <f>0.0383322261716156/SQRT(3)</f>
        <v>2.2131121098819886E-2</v>
      </c>
      <c r="E9" s="57">
        <v>0</v>
      </c>
      <c r="F9" s="57">
        <f>0/SQRT(3)</f>
        <v>0</v>
      </c>
      <c r="G9" s="57">
        <f>C9</f>
        <v>5.5692495560556034E-2</v>
      </c>
      <c r="H9" s="57">
        <f>D9</f>
        <v>2.2131121098819886E-2</v>
      </c>
      <c r="I9" s="57"/>
      <c r="J9" s="57">
        <f>AVERAGE(G41,G9)</f>
        <v>5.3020484302428381E-2</v>
      </c>
      <c r="K9" s="57">
        <f>SQRT((H9/G9)^2+(H41/G41)^2)*J9</f>
        <v>3.0271510597665172E-2</v>
      </c>
      <c r="L9" s="57"/>
      <c r="M9" s="57">
        <v>6.4349845509113143E-3</v>
      </c>
      <c r="N9" s="57">
        <f>0.0111457201880992/SQRT(3)</f>
        <v>6.4349845509113204E-3</v>
      </c>
      <c r="O9" s="57">
        <v>1.702417197631045E-2</v>
      </c>
      <c r="P9" s="57">
        <f>0.02948673081976/SQRT(3)</f>
        <v>1.7024171976310471E-2</v>
      </c>
      <c r="Q9" s="57">
        <f>AVERAGE(M9,O9)</f>
        <v>1.1729578263610882E-2</v>
      </c>
      <c r="R9" s="57">
        <f>SQRT((N9/M9)^2+(P9/O9)^2)*Q9</f>
        <v>1.6588128661315187E-2</v>
      </c>
      <c r="T9" s="57">
        <f>AVERAGE(Q41,Q9)</f>
        <v>7.0551349314274241E-3</v>
      </c>
      <c r="U9" s="57">
        <f>SQRT((R9/Q9)^2+(R41/Q41)^2)*T9</f>
        <v>1.4110269862854857E-2</v>
      </c>
      <c r="W9" s="57" t="s">
        <v>16</v>
      </c>
      <c r="X9" s="70">
        <f>G9</f>
        <v>5.5692495560556034E-2</v>
      </c>
      <c r="Y9" s="70">
        <f>H9</f>
        <v>2.2131121098819886E-2</v>
      </c>
      <c r="Z9" s="70">
        <f>G25</f>
        <v>0.21691946399854556</v>
      </c>
      <c r="AA9" s="70">
        <f>H25</f>
        <v>0.24246930598627012</v>
      </c>
      <c r="AB9" s="70">
        <f>G41</f>
        <v>5.0348473044300728E-2</v>
      </c>
      <c r="AC9" s="70">
        <f>H41</f>
        <v>2.0640478370972219E-2</v>
      </c>
      <c r="AD9" s="70">
        <f>G57</f>
        <v>8.797662217154955E-3</v>
      </c>
      <c r="AE9" s="70">
        <f>H57</f>
        <v>9.8164634806222981E-3</v>
      </c>
    </row>
    <row r="10" spans="2:31" x14ac:dyDescent="0.2">
      <c r="B10" s="57" t="s">
        <v>17</v>
      </c>
      <c r="C10" s="57">
        <v>1.5246931776991254E-2</v>
      </c>
      <c r="D10" s="57">
        <f>0.0173738946136683/SQRT(3)</f>
        <v>1.0030822732073584E-2</v>
      </c>
      <c r="E10" s="57">
        <v>1.941467004438175E-2</v>
      </c>
      <c r="F10" s="57">
        <f>0.0336271949290547/SQRT(3)</f>
        <v>1.941467004438175E-2</v>
      </c>
      <c r="G10" s="57">
        <f t="shared" ref="G10:G19" si="0">AVERAGE(C10,E10)</f>
        <v>1.7330800910686502E-2</v>
      </c>
      <c r="H10" s="57">
        <f t="shared" ref="H10:H19" si="1">SQRT((D10/C10)^2+(F10/E10)^2)*G10</f>
        <v>2.0745054643421187E-2</v>
      </c>
      <c r="I10" s="57"/>
      <c r="J10" s="57">
        <f t="shared" ref="J10:J19" si="2">AVERAGE(G42,G10)</f>
        <v>2.4438613530567137</v>
      </c>
      <c r="K10" s="57">
        <f t="shared" ref="K10:K19" si="3">SQRT((H10/G10)^2+(H42/G42)^2)*J10</f>
        <v>3.4367204500812432</v>
      </c>
      <c r="L10" s="57"/>
      <c r="M10" s="57">
        <v>0.15128278895387245</v>
      </c>
      <c r="N10" s="57">
        <f>0.210805876823437/SQRT(3)</f>
        <v>0.12170882973076644</v>
      </c>
      <c r="O10" s="57">
        <v>0.39648897164427632</v>
      </c>
      <c r="P10" s="57">
        <f>0.680544421270487/SQRT(3)</f>
        <v>0.39291250481601375</v>
      </c>
      <c r="Q10" s="57">
        <f t="shared" ref="Q10:Q19" si="4">AVERAGE(M10,O10)</f>
        <v>0.2738858802990744</v>
      </c>
      <c r="R10" s="57">
        <f t="shared" ref="R10:R19" si="5">SQRT((N10/M10)^2+(P10/O10)^2)*Q10</f>
        <v>0.34959688430052155</v>
      </c>
      <c r="T10" s="57">
        <f t="shared" ref="T10:T19" si="6">AVERAGE(Q42,Q10)</f>
        <v>0.16421958717322513</v>
      </c>
      <c r="U10" s="57">
        <f t="shared" ref="U10:U19" si="7">SQRT((R10/Q10)^2+(R42/Q42)^2)*T10</f>
        <v>0.26494182636201857</v>
      </c>
      <c r="W10" s="57" t="s">
        <v>17</v>
      </c>
      <c r="X10" s="70">
        <f t="shared" ref="X10:X19" si="8">G10</f>
        <v>1.7330800910686502E-2</v>
      </c>
      <c r="Y10" s="70">
        <f t="shared" ref="Y10:Y19" si="9">H10</f>
        <v>2.0745054643421187E-2</v>
      </c>
      <c r="Z10" s="70">
        <f t="shared" ref="Z10:AA19" si="10">G26</f>
        <v>0.16235926615026283</v>
      </c>
      <c r="AA10" s="70">
        <f t="shared" si="10"/>
        <v>0.16621226365124567</v>
      </c>
      <c r="AB10" s="70">
        <f t="shared" ref="AB10:AB19" si="11">G42</f>
        <v>4.8703919052027409</v>
      </c>
      <c r="AC10" s="70">
        <f t="shared" ref="AC10:AC19" si="12">H42</f>
        <v>3.5947475112820899</v>
      </c>
      <c r="AD10" s="70">
        <f t="shared" ref="AD10:AE19" si="13">G58</f>
        <v>4.637296478039904E-2</v>
      </c>
      <c r="AE10" s="70">
        <f t="shared" si="13"/>
        <v>4.3373806116895376E-2</v>
      </c>
    </row>
    <row r="11" spans="2:31" x14ac:dyDescent="0.2">
      <c r="B11" s="57" t="s">
        <v>18</v>
      </c>
      <c r="C11" s="57">
        <v>275.50226777125937</v>
      </c>
      <c r="D11" s="57">
        <f>136.270300983093/SQRT(3)</f>
        <v>78.675694955140074</v>
      </c>
      <c r="E11" s="57">
        <v>309.76144982338468</v>
      </c>
      <c r="F11" s="57">
        <f>211.097139985543/SQRT(3)</f>
        <v>121.87699059581338</v>
      </c>
      <c r="G11" s="57">
        <f t="shared" si="0"/>
        <v>292.63185879732202</v>
      </c>
      <c r="H11" s="57">
        <f t="shared" si="1"/>
        <v>142.26773092974932</v>
      </c>
      <c r="I11" s="57"/>
      <c r="J11" s="57">
        <f t="shared" si="2"/>
        <v>268.14509260374098</v>
      </c>
      <c r="K11" s="57">
        <f>SQRT((H11/G11)^2+(H43/G43)^2)*J11</f>
        <v>172.36024425421223</v>
      </c>
      <c r="L11" s="57"/>
      <c r="M11" s="57">
        <v>7.7118348035625139</v>
      </c>
      <c r="N11" s="57">
        <f>4.77493917931522/SQRT(3)</f>
        <v>2.7568124205417335</v>
      </c>
      <c r="O11" s="57">
        <v>12.276572892781466</v>
      </c>
      <c r="P11" s="57">
        <f>11.9809581190595/SQRT(3)</f>
        <v>6.9172093951886344</v>
      </c>
      <c r="Q11" s="57">
        <f t="shared" si="4"/>
        <v>9.9942038481719901</v>
      </c>
      <c r="R11" s="57">
        <f t="shared" si="5"/>
        <v>6.6689441771043771</v>
      </c>
      <c r="T11" s="57">
        <f t="shared" si="6"/>
        <v>9.2769912436638329</v>
      </c>
      <c r="U11" s="57">
        <f t="shared" si="7"/>
        <v>7.5511460047777916</v>
      </c>
      <c r="W11" s="57" t="s">
        <v>18</v>
      </c>
      <c r="X11" s="70">
        <f t="shared" si="8"/>
        <v>292.63185879732202</v>
      </c>
      <c r="Y11" s="70">
        <f t="shared" si="9"/>
        <v>142.26773092974932</v>
      </c>
      <c r="Z11" s="70">
        <f t="shared" si="10"/>
        <v>152.44615145615145</v>
      </c>
      <c r="AA11" s="70">
        <f t="shared" si="10"/>
        <v>43.553621037675022</v>
      </c>
      <c r="AB11" s="70">
        <f t="shared" si="11"/>
        <v>243.65832641015996</v>
      </c>
      <c r="AC11" s="70">
        <f t="shared" si="12"/>
        <v>102.45762303222993</v>
      </c>
      <c r="AD11" s="70">
        <f t="shared" si="13"/>
        <v>289.51267080832713</v>
      </c>
      <c r="AE11" s="70">
        <f t="shared" si="13"/>
        <v>187.19567643386208</v>
      </c>
    </row>
    <row r="12" spans="2:31" x14ac:dyDescent="0.2">
      <c r="B12" s="57" t="s">
        <v>19</v>
      </c>
      <c r="C12" s="57">
        <v>9.2415911825211472E-2</v>
      </c>
      <c r="D12" s="57">
        <f>0.0695462876422641/SQRT(3)</f>
        <v>4.0152567891400322E-2</v>
      </c>
      <c r="E12" s="57">
        <v>5.4412551798431831E-2</v>
      </c>
      <c r="F12" s="57">
        <f>0.0237333711396083/SQRT(3)</f>
        <v>1.3702468216230149E-2</v>
      </c>
      <c r="G12" s="57">
        <f t="shared" si="0"/>
        <v>7.3414231811821648E-2</v>
      </c>
      <c r="H12" s="57">
        <f t="shared" si="1"/>
        <v>3.6867261614006219E-2</v>
      </c>
      <c r="I12" s="57"/>
      <c r="J12" s="57">
        <f t="shared" si="2"/>
        <v>0.18897992149061629</v>
      </c>
      <c r="K12" s="57">
        <f t="shared" si="3"/>
        <v>0.10313426656839862</v>
      </c>
      <c r="L12" s="57"/>
      <c r="M12" s="57">
        <v>1.2406663614547364E-2</v>
      </c>
      <c r="N12" s="57">
        <f>0.0214889717328122/SQRT(3)</f>
        <v>1.2406663614547382E-2</v>
      </c>
      <c r="O12" s="57">
        <v>1.9303984823050549E-4</v>
      </c>
      <c r="P12" s="57">
        <f>0.000334354825020621/SQRT(3)</f>
        <v>1.9303984823050579E-4</v>
      </c>
      <c r="Q12" s="57">
        <f t="shared" si="4"/>
        <v>6.2998517313889351E-3</v>
      </c>
      <c r="R12" s="57">
        <f t="shared" si="5"/>
        <v>8.9093357594698698E-3</v>
      </c>
      <c r="T12" s="57">
        <f t="shared" si="6"/>
        <v>2.0384650851485886E-2</v>
      </c>
      <c r="U12" s="57">
        <f t="shared" si="7"/>
        <v>3.4521841044062869E-2</v>
      </c>
      <c r="W12" s="57" t="s">
        <v>19</v>
      </c>
      <c r="X12" s="70">
        <f t="shared" si="8"/>
        <v>7.3414231811821648E-2</v>
      </c>
      <c r="Y12" s="70">
        <f t="shared" si="9"/>
        <v>3.6867261614006219E-2</v>
      </c>
      <c r="Z12" s="70">
        <f t="shared" si="10"/>
        <v>0.19426208132806361</v>
      </c>
      <c r="AA12" s="70">
        <f t="shared" si="10"/>
        <v>0.13064079011684307</v>
      </c>
      <c r="AB12" s="70">
        <f t="shared" si="11"/>
        <v>0.30454561116941092</v>
      </c>
      <c r="AC12" s="70">
        <f t="shared" si="12"/>
        <v>6.5067432396787028E-2</v>
      </c>
      <c r="AD12" s="70">
        <f t="shared" si="13"/>
        <v>0.3718680218154215</v>
      </c>
      <c r="AE12" s="70">
        <f t="shared" si="13"/>
        <v>4.5392221323754457E-2</v>
      </c>
    </row>
    <row r="13" spans="2:31" x14ac:dyDescent="0.2">
      <c r="B13" s="57" t="s">
        <v>20</v>
      </c>
      <c r="C13" s="57">
        <v>0.21743611350438349</v>
      </c>
      <c r="D13" s="57">
        <f>0.251093923790423/SQRT(3)</f>
        <v>0.1449691444922801</v>
      </c>
      <c r="E13" s="57">
        <v>0.23500625868990069</v>
      </c>
      <c r="F13" s="57">
        <f>0.0899085665834907/SQRT(3)</f>
        <v>5.1908735119431747E-2</v>
      </c>
      <c r="G13" s="57">
        <f t="shared" si="0"/>
        <v>0.22622118609714209</v>
      </c>
      <c r="H13" s="57">
        <f t="shared" si="1"/>
        <v>0.15888804457125599</v>
      </c>
      <c r="I13" s="57"/>
      <c r="J13" s="57">
        <f t="shared" si="2"/>
        <v>2.3381446736542397</v>
      </c>
      <c r="K13" s="57">
        <f t="shared" si="3"/>
        <v>1.7945127219805683</v>
      </c>
      <c r="L13" s="57"/>
      <c r="M13" s="57">
        <v>3.7494179527444944E-2</v>
      </c>
      <c r="N13" s="57">
        <f>0.0567352930066927/SQRT(3)</f>
        <v>3.2756136689966325E-2</v>
      </c>
      <c r="O13" s="57">
        <v>7.9585342872123044E-2</v>
      </c>
      <c r="P13" s="57">
        <f>0.0897032719606475/SQRT(3)</f>
        <v>5.1790208213670044E-2</v>
      </c>
      <c r="Q13" s="57">
        <f t="shared" si="4"/>
        <v>5.8539761199783991E-2</v>
      </c>
      <c r="R13" s="57">
        <f t="shared" si="5"/>
        <v>6.3771008353179656E-2</v>
      </c>
      <c r="T13" s="57">
        <f t="shared" si="6"/>
        <v>4.8333426898732226E-2</v>
      </c>
      <c r="U13" s="57">
        <f t="shared" si="7"/>
        <v>6.4758462706575676E-2</v>
      </c>
      <c r="W13" s="57" t="s">
        <v>20</v>
      </c>
      <c r="X13" s="70">
        <f t="shared" si="8"/>
        <v>0.22622118609714209</v>
      </c>
      <c r="Y13" s="70">
        <f t="shared" si="9"/>
        <v>0.15888804457125599</v>
      </c>
      <c r="Z13" s="70">
        <f t="shared" si="10"/>
        <v>0.34298089375238616</v>
      </c>
      <c r="AA13" s="70">
        <f t="shared" si="10"/>
        <v>0.12839421711545912</v>
      </c>
      <c r="AB13" s="70">
        <f t="shared" si="11"/>
        <v>4.4500681612113375</v>
      </c>
      <c r="AC13" s="70">
        <f t="shared" si="12"/>
        <v>1.3769497889222424</v>
      </c>
      <c r="AD13" s="70">
        <f t="shared" si="13"/>
        <v>15.472809980764215</v>
      </c>
      <c r="AE13" s="70">
        <f t="shared" si="13"/>
        <v>4.4913175146324935</v>
      </c>
    </row>
    <row r="14" spans="2:31" x14ac:dyDescent="0.2">
      <c r="B14" s="57" t="s">
        <v>21</v>
      </c>
      <c r="C14" s="57">
        <v>8.2657685561092695E-2</v>
      </c>
      <c r="D14" s="57">
        <f>0.0801732282118733/SQRT(3)</f>
        <v>4.6288034889926347E-2</v>
      </c>
      <c r="E14" s="57">
        <v>5.4419196279888955E-2</v>
      </c>
      <c r="F14" s="57">
        <f>0.0526667262241355/SQRT(3)</f>
        <v>3.0407148562840953E-2</v>
      </c>
      <c r="G14" s="57">
        <f t="shared" si="0"/>
        <v>6.8538440920490828E-2</v>
      </c>
      <c r="H14" s="57">
        <f t="shared" si="1"/>
        <v>5.4219347818473762E-2</v>
      </c>
      <c r="I14" s="57"/>
      <c r="J14" s="57">
        <f t="shared" si="2"/>
        <v>0.11516271927315917</v>
      </c>
      <c r="K14" s="57">
        <f t="shared" si="3"/>
        <v>9.2238434272506414E-2</v>
      </c>
      <c r="L14" s="57"/>
      <c r="M14" s="57">
        <v>8.2913682202768162E-3</v>
      </c>
      <c r="N14" s="57">
        <f>0.0110333861515177/SQRT(3)</f>
        <v>6.3701284646518336E-3</v>
      </c>
      <c r="O14" s="57">
        <v>6.9790643234514784E-4</v>
      </c>
      <c r="P14" s="57">
        <f>0.00120880939975093/SQRT(3)</f>
        <v>6.9790643234514936E-4</v>
      </c>
      <c r="Q14" s="57">
        <f t="shared" si="4"/>
        <v>4.4946373263109818E-3</v>
      </c>
      <c r="R14" s="57">
        <f t="shared" si="5"/>
        <v>5.6679868931920957E-3</v>
      </c>
      <c r="T14" s="57">
        <f t="shared" si="6"/>
        <v>1.5590735072877504E-2</v>
      </c>
      <c r="U14" s="57">
        <f t="shared" si="7"/>
        <v>2.3463691015460569E-2</v>
      </c>
      <c r="W14" s="57" t="s">
        <v>21</v>
      </c>
      <c r="X14" s="70">
        <f t="shared" si="8"/>
        <v>6.8538440920490828E-2</v>
      </c>
      <c r="Y14" s="70">
        <f t="shared" si="9"/>
        <v>5.4219347818473762E-2</v>
      </c>
      <c r="Z14" s="70">
        <f t="shared" si="10"/>
        <v>0.22479265205051457</v>
      </c>
      <c r="AA14" s="70">
        <f t="shared" si="10"/>
        <v>3.9255795988569847E-2</v>
      </c>
      <c r="AB14" s="70">
        <f t="shared" si="11"/>
        <v>0.16178699762582752</v>
      </c>
      <c r="AC14" s="70">
        <f t="shared" si="12"/>
        <v>2.0270799923947841E-2</v>
      </c>
      <c r="AD14" s="70">
        <f t="shared" si="13"/>
        <v>0.28673571472164772</v>
      </c>
      <c r="AE14" s="70">
        <f t="shared" si="13"/>
        <v>0.15035970151648542</v>
      </c>
    </row>
    <row r="15" spans="2:31" x14ac:dyDescent="0.2">
      <c r="B15" s="57" t="s">
        <v>22</v>
      </c>
      <c r="C15" s="57">
        <v>0.40863985188929303</v>
      </c>
      <c r="D15" s="57">
        <f>0.260928733011999/SQRT(3)</f>
        <v>0.1506472742437856</v>
      </c>
      <c r="E15" s="57">
        <v>0.45616445591567328</v>
      </c>
      <c r="F15" s="57">
        <f>0.451763128924737/SQRT(3)</f>
        <v>0.26082556409464452</v>
      </c>
      <c r="G15" s="57">
        <f t="shared" si="0"/>
        <v>0.43240215390248316</v>
      </c>
      <c r="H15" s="57">
        <f t="shared" si="1"/>
        <v>0.29417293695212338</v>
      </c>
      <c r="I15" s="57"/>
      <c r="J15" s="57">
        <f t="shared" si="2"/>
        <v>5.1692640935689873</v>
      </c>
      <c r="K15" s="57">
        <f t="shared" si="3"/>
        <v>3.5583270693503026</v>
      </c>
      <c r="L15" s="57"/>
      <c r="M15" s="57">
        <v>0.21654039544063927</v>
      </c>
      <c r="N15" s="57">
        <f>0.0759226665418474/SQRT(3)</f>
        <v>4.3833971965529794E-2</v>
      </c>
      <c r="O15" s="57">
        <v>0.2720758104402195</v>
      </c>
      <c r="P15" s="57">
        <f>0.140350198756948/SQRT(3)</f>
        <v>8.1031225033141419E-2</v>
      </c>
      <c r="Q15" s="57">
        <f t="shared" si="4"/>
        <v>0.24430810294042937</v>
      </c>
      <c r="R15" s="57">
        <f t="shared" si="5"/>
        <v>8.7977248982257547E-2</v>
      </c>
      <c r="T15" s="57">
        <f t="shared" si="6"/>
        <v>0.25880951866124424</v>
      </c>
      <c r="U15" s="57">
        <f t="shared" si="7"/>
        <v>0.12523746936536739</v>
      </c>
      <c r="W15" s="57" t="s">
        <v>22</v>
      </c>
      <c r="X15" s="70">
        <f t="shared" si="8"/>
        <v>0.43240215390248316</v>
      </c>
      <c r="Y15" s="70">
        <f t="shared" si="9"/>
        <v>0.29417293695212338</v>
      </c>
      <c r="Z15" s="70">
        <f t="shared" si="10"/>
        <v>0.40921525555066895</v>
      </c>
      <c r="AA15" s="70">
        <f t="shared" si="10"/>
        <v>0.15730784939287631</v>
      </c>
      <c r="AB15" s="70">
        <f t="shared" si="11"/>
        <v>9.9061260332354912</v>
      </c>
      <c r="AC15" s="70">
        <f t="shared" si="12"/>
        <v>1.0391534251702474</v>
      </c>
      <c r="AD15" s="70">
        <f t="shared" si="13"/>
        <v>16.960523744393257</v>
      </c>
      <c r="AE15" s="70">
        <f t="shared" si="13"/>
        <v>2.61289940899634</v>
      </c>
    </row>
    <row r="16" spans="2:31" x14ac:dyDescent="0.2">
      <c r="B16" s="57" t="s">
        <v>23</v>
      </c>
      <c r="C16" s="57">
        <v>3.750749004793358</v>
      </c>
      <c r="D16" s="57">
        <f>2.19878848926257/SQRT(3)</f>
        <v>1.2694711261667955</v>
      </c>
      <c r="E16" s="57">
        <v>4.4898858925886707</v>
      </c>
      <c r="F16" s="57">
        <f>3.17134828235013/SQRT(3)</f>
        <v>1.8309787845089049</v>
      </c>
      <c r="G16" s="57">
        <f t="shared" si="0"/>
        <v>4.1203174486910141</v>
      </c>
      <c r="H16" s="57">
        <f t="shared" si="1"/>
        <v>2.1835944177811917</v>
      </c>
      <c r="I16" s="57"/>
      <c r="J16" s="57">
        <f t="shared" si="2"/>
        <v>2.2214162864942044</v>
      </c>
      <c r="K16" s="57">
        <f t="shared" si="3"/>
        <v>1.2521725509574966</v>
      </c>
      <c r="L16" s="57"/>
      <c r="M16" s="57">
        <v>0.27969051972882869</v>
      </c>
      <c r="N16" s="57">
        <f>0.161404156333459/SQRT(3)</f>
        <v>9.3186733107447003E-2</v>
      </c>
      <c r="O16" s="57">
        <v>0.54303702273493049</v>
      </c>
      <c r="P16" s="57">
        <f>0.316954550895429/SQRT(3)</f>
        <v>0.18299379528035289</v>
      </c>
      <c r="Q16" s="57">
        <f t="shared" si="4"/>
        <v>0.41136377123187962</v>
      </c>
      <c r="R16" s="57">
        <f t="shared" si="5"/>
        <v>0.19493807156902002</v>
      </c>
      <c r="T16" s="57">
        <f t="shared" si="6"/>
        <v>0.2424882740154134</v>
      </c>
      <c r="U16" s="57">
        <f t="shared" si="7"/>
        <v>0.1740074612793106</v>
      </c>
      <c r="W16" s="57" t="s">
        <v>23</v>
      </c>
      <c r="X16" s="70">
        <f t="shared" si="8"/>
        <v>4.1203174486910141</v>
      </c>
      <c r="Y16" s="70">
        <f t="shared" si="9"/>
        <v>2.1835944177811917</v>
      </c>
      <c r="Z16" s="70">
        <f t="shared" si="10"/>
        <v>5.236424353265317</v>
      </c>
      <c r="AA16" s="70">
        <f t="shared" si="10"/>
        <v>1.8234810222969444</v>
      </c>
      <c r="AB16" s="70">
        <f t="shared" si="11"/>
        <v>0.32251512429739482</v>
      </c>
      <c r="AC16" s="70">
        <f t="shared" si="12"/>
        <v>6.193819150625355E-2</v>
      </c>
      <c r="AD16" s="70">
        <f t="shared" si="13"/>
        <v>0.20082888337411281</v>
      </c>
      <c r="AE16" s="70">
        <f t="shared" si="13"/>
        <v>6.7406597159339859E-2</v>
      </c>
    </row>
    <row r="17" spans="2:31" x14ac:dyDescent="0.2">
      <c r="B17" s="57" t="s">
        <v>24</v>
      </c>
      <c r="C17" s="57">
        <v>0.10717320255972863</v>
      </c>
      <c r="D17" s="57">
        <f>0.100430565568046/SQRT(3)</f>
        <v>5.798361406557772E-2</v>
      </c>
      <c r="E17" s="57">
        <v>9.5640500301276729E-2</v>
      </c>
      <c r="F17" s="57">
        <f>0.0939432588998687/SQRT(3)</f>
        <v>5.4238165814389901E-2</v>
      </c>
      <c r="G17" s="57">
        <f t="shared" si="0"/>
        <v>0.10140685143050268</v>
      </c>
      <c r="H17" s="57">
        <f t="shared" si="1"/>
        <v>7.9481109121167209E-2</v>
      </c>
      <c r="I17" s="57"/>
      <c r="J17" s="57">
        <f t="shared" si="2"/>
        <v>0.55162796256638658</v>
      </c>
      <c r="K17" s="57">
        <f t="shared" si="3"/>
        <v>0.4373108644702367</v>
      </c>
      <c r="L17" s="57"/>
      <c r="M17" s="57">
        <v>2.2952455018528817E-2</v>
      </c>
      <c r="N17" s="57">
        <f>0.0198795109850498/SQRT(3)</f>
        <v>1.1477441018576626E-2</v>
      </c>
      <c r="O17" s="57">
        <v>0</v>
      </c>
      <c r="P17" s="57">
        <f>0/SQRT(3)</f>
        <v>0</v>
      </c>
      <c r="Q17" s="57">
        <f>M17</f>
        <v>2.2952455018528817E-2</v>
      </c>
      <c r="R17" s="57">
        <f>N17</f>
        <v>1.1477441018576626E-2</v>
      </c>
      <c r="T17" s="57">
        <f t="shared" si="6"/>
        <v>0.37553659759829033</v>
      </c>
      <c r="U17" s="57">
        <f t="shared" si="7"/>
        <v>0.20691747407883973</v>
      </c>
      <c r="W17" s="57" t="s">
        <v>24</v>
      </c>
      <c r="X17" s="70">
        <f t="shared" si="8"/>
        <v>0.10140685143050268</v>
      </c>
      <c r="Y17" s="70">
        <f t="shared" si="9"/>
        <v>7.9481109121167209E-2</v>
      </c>
      <c r="Z17" s="70">
        <f t="shared" si="10"/>
        <v>0.24004048107494241</v>
      </c>
      <c r="AA17" s="70">
        <f t="shared" si="10"/>
        <v>0.13473716050158827</v>
      </c>
      <c r="AB17" s="70">
        <f t="shared" si="11"/>
        <v>1.0018490737022705</v>
      </c>
      <c r="AC17" s="70">
        <f t="shared" si="12"/>
        <v>0.11920308944498008</v>
      </c>
      <c r="AD17" s="70">
        <f t="shared" si="13"/>
        <v>0.95332722746251797</v>
      </c>
      <c r="AE17" s="70">
        <f t="shared" si="13"/>
        <v>0.46096732031805476</v>
      </c>
    </row>
    <row r="18" spans="2:31" x14ac:dyDescent="0.2">
      <c r="B18" s="57" t="s">
        <v>29</v>
      </c>
      <c r="C18" s="57">
        <v>5.9121193465767996E-2</v>
      </c>
      <c r="D18" s="57">
        <f>0.102400910886819/SQRT(3)</f>
        <v>5.9121193465767836E-2</v>
      </c>
      <c r="E18" s="57">
        <v>0.11650868109009967</v>
      </c>
      <c r="F18" s="57">
        <f>0.201798955170892/SQRT(3)</f>
        <v>0.11650868109009972</v>
      </c>
      <c r="G18" s="57">
        <f t="shared" si="0"/>
        <v>8.7814937277933824E-2</v>
      </c>
      <c r="H18" s="57">
        <f t="shared" si="1"/>
        <v>0.12418907527739655</v>
      </c>
      <c r="I18" s="57"/>
      <c r="J18" s="57">
        <f t="shared" si="2"/>
        <v>0.37858079178622683</v>
      </c>
      <c r="K18" s="57">
        <f t="shared" si="3"/>
        <v>0.63004147058263249</v>
      </c>
      <c r="L18" s="57"/>
      <c r="M18" s="57">
        <v>1.712368265514036</v>
      </c>
      <c r="N18" s="57">
        <f>2.20338529997487/SQRT(3)</f>
        <v>1.2721250960689556</v>
      </c>
      <c r="O18" s="57">
        <v>0.6665640889288923</v>
      </c>
      <c r="P18" s="57">
        <f>1.1545228685257/SQRT(3)</f>
        <v>0.66656408892889185</v>
      </c>
      <c r="Q18" s="57">
        <f t="shared" si="4"/>
        <v>1.1894661772214641</v>
      </c>
      <c r="R18" s="57">
        <f t="shared" si="5"/>
        <v>1.4817837782710976</v>
      </c>
      <c r="T18" s="57">
        <f t="shared" si="6"/>
        <v>0.63433386661821811</v>
      </c>
      <c r="U18" s="57">
        <f t="shared" si="7"/>
        <v>1.0773206024344586</v>
      </c>
      <c r="W18" s="57" t="s">
        <v>29</v>
      </c>
      <c r="X18" s="70">
        <f t="shared" si="8"/>
        <v>8.7814937277933824E-2</v>
      </c>
      <c r="Y18" s="70">
        <f t="shared" si="9"/>
        <v>0.12418907527739655</v>
      </c>
      <c r="Z18" s="70">
        <f t="shared" si="10"/>
        <v>26.103450277778556</v>
      </c>
      <c r="AA18" s="70">
        <f t="shared" si="10"/>
        <v>19.218383599871668</v>
      </c>
      <c r="AB18" s="70">
        <f t="shared" si="11"/>
        <v>0.66934664629451979</v>
      </c>
      <c r="AC18" s="70">
        <f t="shared" si="12"/>
        <v>0.58720662724252404</v>
      </c>
      <c r="AD18" s="70">
        <f t="shared" si="13"/>
        <v>0.66961817934191703</v>
      </c>
      <c r="AE18" s="70">
        <f t="shared" si="13"/>
        <v>0.38597645213493004</v>
      </c>
    </row>
    <row r="19" spans="2:31" x14ac:dyDescent="0.2">
      <c r="B19" s="57" t="s">
        <v>25</v>
      </c>
      <c r="C19" s="57">
        <v>1.136520976629809</v>
      </c>
      <c r="D19" s="57">
        <f>1.09970604147579/SQRT(3)</f>
        <v>0.63491557907550511</v>
      </c>
      <c r="E19" s="57">
        <v>1.6012516129519776</v>
      </c>
      <c r="F19" s="57">
        <f>1.63071151112664/SQRT(3)</f>
        <v>0.94149172991958707</v>
      </c>
      <c r="G19" s="57">
        <f t="shared" si="0"/>
        <v>1.3688862947908933</v>
      </c>
      <c r="H19" s="57">
        <f t="shared" si="1"/>
        <v>1.1102330458779015</v>
      </c>
      <c r="I19" s="57"/>
      <c r="J19" s="57">
        <f t="shared" si="2"/>
        <v>1.6159069091509628</v>
      </c>
      <c r="K19" s="57">
        <f t="shared" si="3"/>
        <v>1.3349670271167664</v>
      </c>
      <c r="L19" s="57"/>
      <c r="M19" s="57">
        <v>0.12791718826815449</v>
      </c>
      <c r="N19" s="57">
        <f>0.157979669578935/SQRT(3)</f>
        <v>9.1209604757886253E-2</v>
      </c>
      <c r="O19" s="57">
        <v>0.40241403949898952</v>
      </c>
      <c r="P19" s="57">
        <f>0.242549229726851/SQRT(3)</f>
        <v>0.14003586307453381</v>
      </c>
      <c r="Q19" s="57">
        <f t="shared" si="4"/>
        <v>0.26516561388357202</v>
      </c>
      <c r="R19" s="57">
        <f t="shared" si="5"/>
        <v>0.21038807463877471</v>
      </c>
      <c r="T19" s="57">
        <f t="shared" si="6"/>
        <v>0.22613149275711919</v>
      </c>
      <c r="U19" s="57">
        <f t="shared" si="7"/>
        <v>0.2134580730031265</v>
      </c>
      <c r="W19" s="57" t="s">
        <v>25</v>
      </c>
      <c r="X19" s="70">
        <f t="shared" si="8"/>
        <v>1.3688862947908933</v>
      </c>
      <c r="Y19" s="70">
        <f t="shared" si="9"/>
        <v>1.1102330458779015</v>
      </c>
      <c r="Z19" s="70">
        <f t="shared" si="10"/>
        <v>6.1740384034495177</v>
      </c>
      <c r="AA19" s="70">
        <f t="shared" si="10"/>
        <v>2.7593006383211929</v>
      </c>
      <c r="AB19" s="70">
        <f t="shared" si="11"/>
        <v>1.8629275235110323</v>
      </c>
      <c r="AC19" s="70">
        <f t="shared" si="12"/>
        <v>0.29283843478586613</v>
      </c>
      <c r="AD19" s="70">
        <f t="shared" si="13"/>
        <v>2.9756660463195077</v>
      </c>
      <c r="AE19" s="70">
        <f t="shared" si="13"/>
        <v>1.1145428102400359</v>
      </c>
    </row>
    <row r="20" spans="2:31" x14ac:dyDescent="0.2">
      <c r="B20" s="57"/>
      <c r="C20" s="57"/>
      <c r="D20" s="57"/>
      <c r="E20" s="57"/>
      <c r="F20" s="57"/>
      <c r="G20" s="57"/>
      <c r="H20" s="57"/>
      <c r="I20" s="57"/>
      <c r="J20" s="57"/>
      <c r="K20" s="57"/>
      <c r="L20" s="57"/>
      <c r="M20" s="57"/>
      <c r="N20" s="57"/>
      <c r="O20" s="57"/>
      <c r="P20" s="57"/>
      <c r="Q20" s="57"/>
      <c r="R20" s="57"/>
      <c r="T20" s="57"/>
      <c r="U20" s="57"/>
    </row>
    <row r="21" spans="2:31" x14ac:dyDescent="0.2">
      <c r="B21" s="57"/>
      <c r="C21" s="57"/>
      <c r="D21" s="57"/>
      <c r="E21" s="57"/>
      <c r="F21" s="57"/>
      <c r="G21" s="57"/>
      <c r="H21" s="57"/>
      <c r="I21" s="57"/>
      <c r="J21" s="57"/>
      <c r="K21" s="57"/>
      <c r="L21" s="57"/>
      <c r="M21" s="57"/>
      <c r="N21" s="57"/>
      <c r="O21" s="57"/>
      <c r="P21" s="57"/>
      <c r="Q21" s="57"/>
      <c r="R21" s="57"/>
      <c r="T21" s="57"/>
      <c r="U21" s="57"/>
      <c r="X21" t="s">
        <v>116</v>
      </c>
      <c r="Z21" t="s">
        <v>117</v>
      </c>
      <c r="AB21" t="s">
        <v>118</v>
      </c>
      <c r="AD21" s="61" t="s">
        <v>119</v>
      </c>
    </row>
    <row r="22" spans="2:31" x14ac:dyDescent="0.2">
      <c r="B22" s="57" t="s">
        <v>33</v>
      </c>
      <c r="C22" s="57"/>
      <c r="D22" s="57"/>
      <c r="E22" s="57"/>
      <c r="F22" s="57"/>
      <c r="G22" s="57"/>
      <c r="H22" s="57"/>
      <c r="I22" s="57"/>
      <c r="J22" s="57"/>
      <c r="K22" s="57"/>
      <c r="L22" s="57"/>
      <c r="M22" s="57"/>
      <c r="N22" s="57"/>
      <c r="O22" s="57"/>
      <c r="P22" s="57"/>
      <c r="Q22" s="57"/>
      <c r="R22" s="57"/>
      <c r="T22" s="57"/>
      <c r="U22" s="57"/>
      <c r="X22" s="57" t="s">
        <v>42</v>
      </c>
      <c r="Y22" s="57" t="s">
        <v>43</v>
      </c>
      <c r="Z22" s="57" t="s">
        <v>42</v>
      </c>
      <c r="AA22" s="57" t="s">
        <v>43</v>
      </c>
      <c r="AB22" s="57" t="s">
        <v>42</v>
      </c>
      <c r="AC22" s="57" t="s">
        <v>43</v>
      </c>
      <c r="AD22" s="57" t="s">
        <v>42</v>
      </c>
      <c r="AE22" s="57" t="s">
        <v>43</v>
      </c>
    </row>
    <row r="23" spans="2:31" x14ac:dyDescent="0.2">
      <c r="B23" s="57"/>
      <c r="C23" s="57" t="s">
        <v>34</v>
      </c>
      <c r="D23" s="57"/>
      <c r="E23" s="57"/>
      <c r="F23" s="57"/>
      <c r="G23" s="57"/>
      <c r="H23" s="57"/>
      <c r="I23" s="57"/>
      <c r="J23" s="57"/>
      <c r="K23" s="57"/>
      <c r="L23" s="57"/>
      <c r="M23" s="57" t="s">
        <v>35</v>
      </c>
      <c r="N23" s="57"/>
      <c r="O23" s="57"/>
      <c r="P23" s="57"/>
      <c r="Q23" s="57"/>
      <c r="R23" s="57"/>
      <c r="T23" s="57"/>
      <c r="U23" s="57"/>
      <c r="W23" s="57" t="s">
        <v>16</v>
      </c>
      <c r="X23" s="70">
        <f>Q9</f>
        <v>1.1729578263610882E-2</v>
      </c>
      <c r="Y23" s="70">
        <f>R9</f>
        <v>1.6588128661315187E-2</v>
      </c>
      <c r="Z23" s="70">
        <f>Q25</f>
        <v>9.377182986421885E-2</v>
      </c>
      <c r="AA23" s="70">
        <f>R25</f>
        <v>5.2955583798933878E-2</v>
      </c>
      <c r="AB23" s="70">
        <f>Q41</f>
        <v>2.380691599243966E-3</v>
      </c>
      <c r="AC23" s="70">
        <f>R41</f>
        <v>3.3668063474785099E-3</v>
      </c>
      <c r="AD23" s="70">
        <f>Q57</f>
        <v>9.4333298341338096E-3</v>
      </c>
      <c r="AE23" s="70">
        <f>R57</f>
        <v>9.0945230647336769E-3</v>
      </c>
    </row>
    <row r="24" spans="2:31" x14ac:dyDescent="0.2">
      <c r="B24" s="57"/>
      <c r="C24" s="57" t="s">
        <v>36</v>
      </c>
      <c r="D24" s="57" t="s">
        <v>41</v>
      </c>
      <c r="E24" s="57" t="s">
        <v>37</v>
      </c>
      <c r="F24" s="57" t="s">
        <v>41</v>
      </c>
      <c r="G24" s="57" t="s">
        <v>42</v>
      </c>
      <c r="H24" s="57" t="s">
        <v>43</v>
      </c>
      <c r="I24" s="57"/>
      <c r="J24" s="57"/>
      <c r="K24" s="57"/>
      <c r="L24" s="57"/>
      <c r="M24" s="57" t="s">
        <v>36</v>
      </c>
      <c r="N24" s="57" t="s">
        <v>41</v>
      </c>
      <c r="O24" s="57" t="s">
        <v>37</v>
      </c>
      <c r="P24" s="57" t="s">
        <v>41</v>
      </c>
      <c r="Q24" s="57" t="s">
        <v>42</v>
      </c>
      <c r="R24" s="57" t="s">
        <v>43</v>
      </c>
      <c r="T24" s="57"/>
      <c r="U24" s="57"/>
      <c r="W24" s="57" t="s">
        <v>17</v>
      </c>
      <c r="X24" s="70">
        <f t="shared" ref="X24:Y33" si="14">Q10</f>
        <v>0.2738858802990744</v>
      </c>
      <c r="Y24" s="70">
        <f t="shared" si="14"/>
        <v>0.34959688430052155</v>
      </c>
      <c r="Z24" s="70">
        <f t="shared" ref="Z24:AA33" si="15">Q26</f>
        <v>0.1756351619257572</v>
      </c>
      <c r="AA24" s="70">
        <f t="shared" si="15"/>
        <v>0.16495851522146643</v>
      </c>
      <c r="AB24" s="70">
        <f t="shared" ref="AB24:AC33" si="16">Q42</f>
        <v>5.4553294047375869E-2</v>
      </c>
      <c r="AC24" s="70">
        <f t="shared" si="16"/>
        <v>5.3827866225884619E-2</v>
      </c>
      <c r="AD24" s="70">
        <f t="shared" ref="AD24:AE33" si="17">Q58</f>
        <v>1.8762068867726717E-2</v>
      </c>
      <c r="AE24" s="70">
        <f t="shared" si="17"/>
        <v>2.1257213838102754E-2</v>
      </c>
    </row>
    <row r="25" spans="2:31" x14ac:dyDescent="0.2">
      <c r="B25" s="57" t="s">
        <v>16</v>
      </c>
      <c r="C25" s="57">
        <v>0.32766262458929035</v>
      </c>
      <c r="D25" s="57">
        <f>0.341863547236745/SQRT(3)</f>
        <v>0.19737501102325508</v>
      </c>
      <c r="E25" s="57">
        <v>0.10617630340780077</v>
      </c>
      <c r="F25" s="57">
        <f>0.173160852169018/SQRT(3)</f>
        <v>9.9974464612887545E-2</v>
      </c>
      <c r="G25" s="57">
        <f>AVERAGE(C25,E25)</f>
        <v>0.21691946399854556</v>
      </c>
      <c r="H25" s="57">
        <f>SQRT((D25/C25)^2+(F25/E25)^2)*G25</f>
        <v>0.24246930598627012</v>
      </c>
      <c r="I25" s="57"/>
      <c r="J25" s="57">
        <f>AVERAGE(G57,G25)</f>
        <v>0.11285856310785025</v>
      </c>
      <c r="K25" s="57">
        <f>SQRT((H25/G25)^2+(H57/G57)^2)*J25</f>
        <v>0.17824726116656098</v>
      </c>
      <c r="L25" s="57"/>
      <c r="M25" s="57">
        <v>0.15677058357754223</v>
      </c>
      <c r="N25" s="57">
        <f>0.0674228176875267/SQRT(3)</f>
        <v>3.8926581941416606E-2</v>
      </c>
      <c r="O25" s="57">
        <v>3.0773076150895463E-2</v>
      </c>
      <c r="P25" s="57">
        <f>0.0270346412180324/SQRT(3)</f>
        <v>1.5608457384675959E-2</v>
      </c>
      <c r="Q25" s="57">
        <f>AVERAGE(M25,O25)</f>
        <v>9.377182986421885E-2</v>
      </c>
      <c r="R25" s="57">
        <f>SQRT((N25/M25)^2+(P25/O25)^2)*Q25</f>
        <v>5.2955583798933878E-2</v>
      </c>
      <c r="T25" s="57">
        <f>AVERAGE(Q57,Q25)</f>
        <v>5.1602579849176329E-2</v>
      </c>
      <c r="U25" s="57">
        <f>SQRT((R25/Q25)^2+(R57/Q57)^2)*T25</f>
        <v>5.7655945748308998E-2</v>
      </c>
      <c r="W25" s="57" t="s">
        <v>18</v>
      </c>
      <c r="X25" s="70">
        <f t="shared" si="14"/>
        <v>9.9942038481719901</v>
      </c>
      <c r="Y25" s="70">
        <f t="shared" si="14"/>
        <v>6.6689441771043771</v>
      </c>
      <c r="Z25" s="70">
        <f t="shared" si="15"/>
        <v>4.7794502490493533</v>
      </c>
      <c r="AA25" s="70">
        <f t="shared" si="15"/>
        <v>2.9724499120453478</v>
      </c>
      <c r="AB25" s="70">
        <f t="shared" si="16"/>
        <v>8.5597786391556738</v>
      </c>
      <c r="AC25" s="70">
        <f t="shared" si="16"/>
        <v>3.9899479062831147</v>
      </c>
      <c r="AD25" s="70">
        <f t="shared" si="17"/>
        <v>4.7512836423877145</v>
      </c>
      <c r="AE25" s="70">
        <f t="shared" si="17"/>
        <v>1.5824880577507539</v>
      </c>
    </row>
    <row r="26" spans="2:31" x14ac:dyDescent="0.2">
      <c r="B26" s="57" t="s">
        <v>17</v>
      </c>
      <c r="C26" s="57">
        <v>0.29083662526041248</v>
      </c>
      <c r="D26" s="57">
        <f>0.110394382076618/SQRT(3)</f>
        <v>6.3736226208957802E-2</v>
      </c>
      <c r="E26" s="57">
        <v>3.3881907040113166E-2</v>
      </c>
      <c r="F26" s="57">
        <f>0.0586851844508016/SQRT(3)</f>
        <v>3.3881907040113145E-2</v>
      </c>
      <c r="G26" s="57">
        <f t="shared" ref="G26:G35" si="18">AVERAGE(C26,E26)</f>
        <v>0.16235926615026283</v>
      </c>
      <c r="H26" s="57">
        <f t="shared" ref="H26:H35" si="19">SQRT((D26/C26)^2+(F26/E26)^2)*G26</f>
        <v>0.16621226365124567</v>
      </c>
      <c r="I26" s="57"/>
      <c r="J26" s="57">
        <f t="shared" ref="J26:J35" si="20">AVERAGE(G58,G26)</f>
        <v>0.10436611546533094</v>
      </c>
      <c r="K26" s="57">
        <f t="shared" ref="K26:K35" si="21">SQRT((H26/G26)^2+(H58/G58)^2)*J26</f>
        <v>0.1447215672632092</v>
      </c>
      <c r="L26" s="57"/>
      <c r="M26" s="57">
        <v>7.5333317484989656E-2</v>
      </c>
      <c r="N26" s="57">
        <f>0.100118451300818/SQRT(3)</f>
        <v>5.7803414809375717E-2</v>
      </c>
      <c r="O26" s="57">
        <v>0.27593700636652474</v>
      </c>
      <c r="P26" s="57">
        <f>0.258865901552395/SQRT(3)</f>
        <v>0.14945629794529042</v>
      </c>
      <c r="Q26" s="57">
        <f t="shared" ref="Q26:Q35" si="22">AVERAGE(M26,O26)</f>
        <v>0.1756351619257572</v>
      </c>
      <c r="R26" s="57">
        <f t="shared" ref="R26:R35" si="23">SQRT((N26/M26)^2+(P26/O26)^2)*Q26</f>
        <v>0.16495851522146643</v>
      </c>
      <c r="T26" s="57">
        <f t="shared" ref="T26:T35" si="24">AVERAGE(Q58,Q26)</f>
        <v>9.7198615396741961E-2</v>
      </c>
      <c r="U26" s="57">
        <f t="shared" ref="U26:U35" si="25">SQRT((R26/Q26)^2+(R58/Q58)^2)*T26</f>
        <v>0.14304325423518047</v>
      </c>
      <c r="W26" s="57" t="s">
        <v>19</v>
      </c>
      <c r="X26" s="70">
        <f t="shared" si="14"/>
        <v>6.2998517313889351E-3</v>
      </c>
      <c r="Y26" s="70">
        <f t="shared" si="14"/>
        <v>8.9093357594698698E-3</v>
      </c>
      <c r="Z26" s="70">
        <f t="shared" si="15"/>
        <v>0.13996774051874936</v>
      </c>
      <c r="AA26" s="70">
        <f t="shared" si="15"/>
        <v>0.12539943848295104</v>
      </c>
      <c r="AB26" s="70">
        <f t="shared" si="16"/>
        <v>3.4469449971582834E-2</v>
      </c>
      <c r="AC26" s="70">
        <f t="shared" si="16"/>
        <v>3.2114254382911975E-2</v>
      </c>
      <c r="AD26" s="70">
        <f t="shared" si="17"/>
        <v>4.4989342003345603E-2</v>
      </c>
      <c r="AE26" s="70">
        <f t="shared" si="17"/>
        <v>2.4016451200257E-2</v>
      </c>
    </row>
    <row r="27" spans="2:31" x14ac:dyDescent="0.2">
      <c r="B27" s="57" t="s">
        <v>18</v>
      </c>
      <c r="C27" s="57">
        <v>173.66156994975415</v>
      </c>
      <c r="D27" s="57">
        <f>59.1854568097079/SQRT(3)</f>
        <v>34.170739421195826</v>
      </c>
      <c r="E27" s="57">
        <v>131.23073296254876</v>
      </c>
      <c r="F27" s="57">
        <f>47.0823657273872/SQRT(3)</f>
        <v>27.183016526791413</v>
      </c>
      <c r="G27" s="57">
        <f t="shared" si="18"/>
        <v>152.44615145615145</v>
      </c>
      <c r="H27" s="57">
        <f t="shared" si="19"/>
        <v>43.553621037675022</v>
      </c>
      <c r="I27" s="57"/>
      <c r="J27" s="57">
        <f t="shared" si="20"/>
        <v>220.97941113223931</v>
      </c>
      <c r="K27" s="57">
        <f t="shared" si="21"/>
        <v>156.20927605516661</v>
      </c>
      <c r="L27" s="57"/>
      <c r="M27" s="57">
        <v>6.1022308135452477</v>
      </c>
      <c r="N27" s="57">
        <f>4.73186300013088/SQRT(3)</f>
        <v>2.7319423768939939</v>
      </c>
      <c r="O27" s="57">
        <v>3.4566696845534586</v>
      </c>
      <c r="P27" s="57">
        <f>2.58458659342625/SQRT(3)</f>
        <v>1.4922117654585434</v>
      </c>
      <c r="Q27" s="57">
        <f t="shared" si="22"/>
        <v>4.7794502490493533</v>
      </c>
      <c r="R27" s="57">
        <f t="shared" si="23"/>
        <v>2.9724499120453478</v>
      </c>
      <c r="T27" s="57">
        <f t="shared" si="24"/>
        <v>4.7653669457185339</v>
      </c>
      <c r="U27" s="57">
        <f t="shared" si="25"/>
        <v>3.3619342211614125</v>
      </c>
      <c r="W27" s="57" t="s">
        <v>20</v>
      </c>
      <c r="X27" s="70">
        <f t="shared" si="14"/>
        <v>5.8539761199783991E-2</v>
      </c>
      <c r="Y27" s="70">
        <f t="shared" si="14"/>
        <v>6.3771008353179656E-2</v>
      </c>
      <c r="Z27" s="70">
        <f t="shared" si="15"/>
        <v>0.32013729918855188</v>
      </c>
      <c r="AA27" s="70">
        <f t="shared" si="15"/>
        <v>0.13452776302726463</v>
      </c>
      <c r="AB27" s="70">
        <f t="shared" si="16"/>
        <v>3.8127092597680462E-2</v>
      </c>
      <c r="AC27" s="70">
        <f t="shared" si="16"/>
        <v>2.9739816133862881E-2</v>
      </c>
      <c r="AD27" s="70">
        <f t="shared" si="17"/>
        <v>3.7594207110458432E-2</v>
      </c>
      <c r="AE27" s="70">
        <f t="shared" si="17"/>
        <v>2.4721840768148082E-2</v>
      </c>
    </row>
    <row r="28" spans="2:31" x14ac:dyDescent="0.2">
      <c r="B28" s="57" t="s">
        <v>19</v>
      </c>
      <c r="C28" s="57">
        <v>0.33826177719165867</v>
      </c>
      <c r="D28" s="57">
        <f>0.225460100069974/SQRT(3)</f>
        <v>0.13016944946691947</v>
      </c>
      <c r="E28" s="57">
        <v>5.0262385464468561E-2</v>
      </c>
      <c r="F28" s="57">
        <f>0.0480131542372189/SQRT(3)</f>
        <v>2.7720407523501356E-2</v>
      </c>
      <c r="G28" s="57">
        <f t="shared" si="18"/>
        <v>0.19426208132806361</v>
      </c>
      <c r="H28" s="57">
        <f t="shared" si="19"/>
        <v>0.13064079011684307</v>
      </c>
      <c r="I28" s="57"/>
      <c r="J28" s="57">
        <f t="shared" si="20"/>
        <v>0.28306505157174255</v>
      </c>
      <c r="K28" s="57">
        <f t="shared" si="21"/>
        <v>0.1934709831452136</v>
      </c>
      <c r="L28" s="57"/>
      <c r="M28" s="57">
        <v>0.13562716444956044</v>
      </c>
      <c r="N28" s="57">
        <f>0.133552202592547/SQRT(3)</f>
        <v>7.7106400117674445E-2</v>
      </c>
      <c r="O28" s="57">
        <v>0.14430831658793827</v>
      </c>
      <c r="P28" s="57">
        <f>0.173071597165787/SQRT(3)</f>
        <v>9.992293321274559E-2</v>
      </c>
      <c r="Q28" s="57">
        <f t="shared" si="22"/>
        <v>0.13996774051874936</v>
      </c>
      <c r="R28" s="57">
        <f t="shared" si="23"/>
        <v>0.12539943848295104</v>
      </c>
      <c r="T28" s="57">
        <f t="shared" si="24"/>
        <v>9.2478541261047487E-2</v>
      </c>
      <c r="U28" s="57">
        <f t="shared" si="25"/>
        <v>9.6445686947497097E-2</v>
      </c>
      <c r="W28" s="57" t="s">
        <v>21</v>
      </c>
      <c r="X28" s="70">
        <f t="shared" si="14"/>
        <v>4.4946373263109818E-3</v>
      </c>
      <c r="Y28" s="70">
        <f t="shared" si="14"/>
        <v>5.6679868931920957E-3</v>
      </c>
      <c r="Z28" s="70">
        <f t="shared" si="15"/>
        <v>4.0389841501531451E-2</v>
      </c>
      <c r="AA28" s="70">
        <f t="shared" si="15"/>
        <v>3.8167588281754559E-2</v>
      </c>
      <c r="AB28" s="70">
        <f t="shared" si="16"/>
        <v>2.6686832819444027E-2</v>
      </c>
      <c r="AC28" s="70">
        <f t="shared" si="16"/>
        <v>2.1920494204823417E-2</v>
      </c>
      <c r="AD28" s="70">
        <f t="shared" si="17"/>
        <v>4.3775696562830813E-3</v>
      </c>
      <c r="AE28" s="70">
        <f t="shared" si="17"/>
        <v>5.2753338261174098E-3</v>
      </c>
    </row>
    <row r="29" spans="2:31" x14ac:dyDescent="0.2">
      <c r="B29" s="57" t="s">
        <v>20</v>
      </c>
      <c r="C29" s="57">
        <v>0.26712061265481607</v>
      </c>
      <c r="D29" s="57">
        <f>0.139892079724431/SQRT(3)</f>
        <v>8.0766729886396826E-2</v>
      </c>
      <c r="E29" s="57">
        <v>0.41884117484995625</v>
      </c>
      <c r="F29" s="57">
        <f>0.160117695920447/SQRT(3)</f>
        <v>9.2443994841692731E-2</v>
      </c>
      <c r="G29" s="57">
        <f t="shared" si="18"/>
        <v>0.34298089375238616</v>
      </c>
      <c r="H29" s="57">
        <f t="shared" si="19"/>
        <v>0.12839421711545912</v>
      </c>
      <c r="I29" s="57"/>
      <c r="J29" s="57">
        <f t="shared" si="20"/>
        <v>7.9078954372583006</v>
      </c>
      <c r="K29" s="57">
        <f t="shared" si="21"/>
        <v>3.7459897387474173</v>
      </c>
      <c r="L29" s="57"/>
      <c r="M29" s="57">
        <v>0.11082908010861636</v>
      </c>
      <c r="N29" s="57">
        <f>0.0630366255003247/SQRT(3)</f>
        <v>3.6394212701418092E-2</v>
      </c>
      <c r="O29" s="57">
        <v>0.5294455182684874</v>
      </c>
      <c r="P29" s="57">
        <f>0.240445697251269/SQRT(3)</f>
        <v>0.13882138803350741</v>
      </c>
      <c r="Q29" s="57">
        <f t="shared" si="22"/>
        <v>0.32013729918855188</v>
      </c>
      <c r="R29" s="57">
        <f t="shared" si="23"/>
        <v>0.13452776302726463</v>
      </c>
      <c r="T29" s="57">
        <f t="shared" si="24"/>
        <v>0.17886575314950515</v>
      </c>
      <c r="U29" s="57">
        <f t="shared" si="25"/>
        <v>0.13958611549719901</v>
      </c>
      <c r="W29" s="57" t="s">
        <v>22</v>
      </c>
      <c r="X29" s="70">
        <f t="shared" si="14"/>
        <v>0.24430810294042937</v>
      </c>
      <c r="Y29" s="70">
        <f t="shared" si="14"/>
        <v>8.7977248982257547E-2</v>
      </c>
      <c r="Z29" s="70">
        <f t="shared" si="15"/>
        <v>4.8624032984916604E-2</v>
      </c>
      <c r="AA29" s="70">
        <f t="shared" si="15"/>
        <v>4.8237545666239952E-2</v>
      </c>
      <c r="AB29" s="70">
        <f t="shared" si="16"/>
        <v>0.27331093438205911</v>
      </c>
      <c r="AC29" s="70">
        <f t="shared" si="16"/>
        <v>8.8343246629078456E-2</v>
      </c>
      <c r="AD29" s="70">
        <f t="shared" si="17"/>
        <v>0.26709312417978293</v>
      </c>
      <c r="AE29" s="70">
        <f t="shared" si="17"/>
        <v>9.4831129209806658E-2</v>
      </c>
    </row>
    <row r="30" spans="2:31" x14ac:dyDescent="0.2">
      <c r="B30" s="57" t="s">
        <v>21</v>
      </c>
      <c r="C30" s="57">
        <v>0.22977748334615544</v>
      </c>
      <c r="D30" s="57">
        <f>0.0394091588971882/SQRT(3)</f>
        <v>2.2752888497828343E-2</v>
      </c>
      <c r="E30" s="57">
        <v>0.21980782075487373</v>
      </c>
      <c r="F30" s="57">
        <f>0.0547636467412741/SQRT(3)</f>
        <v>3.1617806187880175E-2</v>
      </c>
      <c r="G30" s="57">
        <f t="shared" si="18"/>
        <v>0.22479265205051457</v>
      </c>
      <c r="H30" s="57">
        <f t="shared" si="19"/>
        <v>3.9255795988569847E-2</v>
      </c>
      <c r="I30" s="57"/>
      <c r="J30" s="57">
        <f t="shared" si="20"/>
        <v>0.25576418338608115</v>
      </c>
      <c r="K30" s="57">
        <f t="shared" si="21"/>
        <v>0.14136031282982306</v>
      </c>
      <c r="L30" s="57"/>
      <c r="M30" s="57">
        <v>2.2728051347393776E-2</v>
      </c>
      <c r="N30" s="57">
        <f>0.0270495392608116/SQRT(3)</f>
        <v>1.5617058773684928E-2</v>
      </c>
      <c r="O30" s="57">
        <v>5.8051631655669123E-2</v>
      </c>
      <c r="P30" s="57">
        <f>0.0652281909746139/SQRT(3)</f>
        <v>3.7659513617945652E-2</v>
      </c>
      <c r="Q30" s="57">
        <f t="shared" si="22"/>
        <v>4.0389841501531451E-2</v>
      </c>
      <c r="R30" s="57">
        <f t="shared" si="23"/>
        <v>3.8167588281754559E-2</v>
      </c>
      <c r="T30" s="57">
        <f t="shared" si="24"/>
        <v>2.2383705578907266E-2</v>
      </c>
      <c r="U30" s="57">
        <f t="shared" si="25"/>
        <v>3.4278593533684572E-2</v>
      </c>
      <c r="W30" s="57" t="s">
        <v>23</v>
      </c>
      <c r="X30" s="70">
        <f t="shared" si="14"/>
        <v>0.41136377123187962</v>
      </c>
      <c r="Y30" s="70">
        <f t="shared" si="14"/>
        <v>0.19493807156902002</v>
      </c>
      <c r="Z30" s="70">
        <f t="shared" si="15"/>
        <v>0.27295743823246299</v>
      </c>
      <c r="AA30" s="70">
        <f t="shared" si="15"/>
        <v>0.14908450733077275</v>
      </c>
      <c r="AB30" s="70">
        <f t="shared" si="16"/>
        <v>7.3612776798947205E-2</v>
      </c>
      <c r="AC30" s="70">
        <f t="shared" si="16"/>
        <v>3.9667152511895308E-2</v>
      </c>
      <c r="AD30" s="70">
        <f t="shared" si="17"/>
        <v>2.7392989633788035E-2</v>
      </c>
      <c r="AE30" s="70">
        <f t="shared" si="17"/>
        <v>3.0825848322751224E-2</v>
      </c>
    </row>
    <row r="31" spans="2:31" x14ac:dyDescent="0.2">
      <c r="B31" s="57" t="s">
        <v>22</v>
      </c>
      <c r="C31" s="57">
        <v>0.49317874693160868</v>
      </c>
      <c r="D31" s="57">
        <f>0.198538771880798/SQRT(3)</f>
        <v>0.11462641338995642</v>
      </c>
      <c r="E31" s="57">
        <v>0.32525176416972928</v>
      </c>
      <c r="F31" s="57">
        <f>0.17249350188552/SQRT(3)</f>
        <v>9.9589169747066206E-2</v>
      </c>
      <c r="G31" s="57">
        <f t="shared" si="18"/>
        <v>0.40921525555066895</v>
      </c>
      <c r="H31" s="57">
        <f t="shared" si="19"/>
        <v>0.15730784939287631</v>
      </c>
      <c r="I31" s="57"/>
      <c r="J31" s="57">
        <f t="shared" si="20"/>
        <v>8.6848694999719633</v>
      </c>
      <c r="K31" s="57">
        <f t="shared" si="21"/>
        <v>3.5967050948125787</v>
      </c>
      <c r="L31" s="57"/>
      <c r="M31" s="57">
        <v>5.8794835632631992E-2</v>
      </c>
      <c r="N31" s="57">
        <f>0.0433634929427336/SQRT(3)</f>
        <v>2.5035924323489684E-2</v>
      </c>
      <c r="O31" s="57">
        <v>3.8453230337201209E-2</v>
      </c>
      <c r="P31" s="57">
        <f>0.0596773153779013/SQRT(3)</f>
        <v>3.445471409794551E-2</v>
      </c>
      <c r="Q31" s="57">
        <f t="shared" si="22"/>
        <v>4.8624032984916604E-2</v>
      </c>
      <c r="R31" s="57">
        <f t="shared" si="23"/>
        <v>4.8237545666239952E-2</v>
      </c>
      <c r="T31" s="57">
        <f t="shared" si="24"/>
        <v>0.15785857858234975</v>
      </c>
      <c r="U31" s="57">
        <f t="shared" si="25"/>
        <v>0.16633125965034751</v>
      </c>
      <c r="W31" s="57" t="s">
        <v>24</v>
      </c>
      <c r="X31" s="70">
        <f t="shared" si="14"/>
        <v>2.2952455018528817E-2</v>
      </c>
      <c r="Y31" s="70">
        <f t="shared" si="14"/>
        <v>1.1477441018576626E-2</v>
      </c>
      <c r="Z31" s="70">
        <f t="shared" si="15"/>
        <v>0.22573383445736075</v>
      </c>
      <c r="AA31" s="70">
        <f t="shared" si="15"/>
        <v>0.23176304765555061</v>
      </c>
      <c r="AB31" s="70">
        <f t="shared" si="16"/>
        <v>0.72812074017805184</v>
      </c>
      <c r="AC31" s="70">
        <f t="shared" si="16"/>
        <v>0.16847581470451795</v>
      </c>
      <c r="AD31" s="70">
        <f t="shared" si="17"/>
        <v>0.16965414687707014</v>
      </c>
      <c r="AE31" s="70">
        <f t="shared" si="17"/>
        <v>2.8131861242432197E-2</v>
      </c>
    </row>
    <row r="32" spans="2:31" x14ac:dyDescent="0.2">
      <c r="B32" s="57" t="s">
        <v>23</v>
      </c>
      <c r="C32" s="57">
        <v>4.2331800059569247</v>
      </c>
      <c r="D32" s="57">
        <f>1.71308499408792/SQRT(3)</f>
        <v>0.98905008248136916</v>
      </c>
      <c r="E32" s="57">
        <v>6.2396687005737093</v>
      </c>
      <c r="F32" s="57">
        <f>2.79064993017111/SQRT(3)</f>
        <v>1.6111824883983008</v>
      </c>
      <c r="G32" s="57">
        <f t="shared" si="18"/>
        <v>5.236424353265317</v>
      </c>
      <c r="H32" s="57">
        <f t="shared" si="19"/>
        <v>1.8234810222969444</v>
      </c>
      <c r="I32" s="57"/>
      <c r="J32" s="57">
        <f t="shared" si="20"/>
        <v>2.718626618319715</v>
      </c>
      <c r="K32" s="57">
        <f t="shared" si="21"/>
        <v>1.3148706639649748</v>
      </c>
      <c r="L32" s="57"/>
      <c r="M32" s="57">
        <v>0.18624507710872487</v>
      </c>
      <c r="N32" s="57">
        <f>0.104876230231442/SQRT(3)</f>
        <v>6.055031975571621E-2</v>
      </c>
      <c r="O32" s="57">
        <v>0.35966979935620108</v>
      </c>
      <c r="P32" s="57">
        <f>0.273409071507946/SQRT(3)</f>
        <v>0.15785280103399829</v>
      </c>
      <c r="Q32" s="57">
        <f t="shared" si="22"/>
        <v>0.27295743823246299</v>
      </c>
      <c r="R32" s="57">
        <f t="shared" si="23"/>
        <v>0.14908450733077275</v>
      </c>
      <c r="T32" s="57">
        <f t="shared" si="24"/>
        <v>0.15017521393312552</v>
      </c>
      <c r="U32" s="57">
        <f t="shared" si="25"/>
        <v>0.18784858127852516</v>
      </c>
      <c r="W32" s="57" t="s">
        <v>29</v>
      </c>
      <c r="X32" s="70">
        <f t="shared" si="14"/>
        <v>1.1894661772214641</v>
      </c>
      <c r="Y32" s="70">
        <f t="shared" si="14"/>
        <v>1.4817837782710976</v>
      </c>
      <c r="Z32" s="70">
        <f t="shared" si="15"/>
        <v>16.753517220349494</v>
      </c>
      <c r="AA32" s="70">
        <f t="shared" si="15"/>
        <v>20.730328164216353</v>
      </c>
      <c r="AB32" s="70">
        <f t="shared" si="16"/>
        <v>7.9201556014972058E-2</v>
      </c>
      <c r="AC32" s="70">
        <f t="shared" si="16"/>
        <v>9.1424973218511979E-2</v>
      </c>
      <c r="AD32" s="70">
        <f t="shared" si="17"/>
        <v>0.3548718405765528</v>
      </c>
      <c r="AE32" s="70">
        <f t="shared" si="17"/>
        <v>0.38221614610371096</v>
      </c>
    </row>
    <row r="33" spans="2:31" x14ac:dyDescent="0.2">
      <c r="B33" s="57" t="s">
        <v>24</v>
      </c>
      <c r="C33" s="57">
        <v>0.13262767786875662</v>
      </c>
      <c r="D33" s="57">
        <f>0.127489647025437/SQRT(3)</f>
        <v>7.3606182029026426E-2</v>
      </c>
      <c r="E33" s="57">
        <v>0.34745328428112821</v>
      </c>
      <c r="F33" s="57">
        <f>0.0505744440894139/SQRT(3)</f>
        <v>2.9199168909138797E-2</v>
      </c>
      <c r="G33" s="57">
        <f t="shared" si="18"/>
        <v>0.24004048107494241</v>
      </c>
      <c r="H33" s="57">
        <f t="shared" si="19"/>
        <v>0.13473716050158827</v>
      </c>
      <c r="I33" s="57"/>
      <c r="J33" s="57">
        <f t="shared" si="20"/>
        <v>0.59668385426873016</v>
      </c>
      <c r="K33" s="57">
        <f t="shared" si="21"/>
        <v>0.44205996282179866</v>
      </c>
      <c r="L33" s="57"/>
      <c r="M33" s="57">
        <v>9.3040965346221069E-2</v>
      </c>
      <c r="N33" s="57">
        <f>0.0921385836737519/SQRT(3)</f>
        <v>5.3196236086791519E-2</v>
      </c>
      <c r="O33" s="57">
        <v>0.35842670356850043</v>
      </c>
      <c r="P33" s="57">
        <f>0.529416985178763/SQRT(3)</f>
        <v>0.30565903890651897</v>
      </c>
      <c r="Q33" s="57">
        <f t="shared" si="22"/>
        <v>0.22573383445736075</v>
      </c>
      <c r="R33" s="57">
        <f t="shared" si="23"/>
        <v>0.23176304765555061</v>
      </c>
      <c r="T33" s="57">
        <f t="shared" si="24"/>
        <v>0.19769399066721544</v>
      </c>
      <c r="U33" s="57">
        <f t="shared" si="25"/>
        <v>0.20560441869921026</v>
      </c>
      <c r="W33" s="57" t="s">
        <v>25</v>
      </c>
      <c r="X33" s="70">
        <f t="shared" si="14"/>
        <v>0.26516561388357202</v>
      </c>
      <c r="Y33" s="70">
        <f t="shared" si="14"/>
        <v>0.21038807463877471</v>
      </c>
      <c r="Z33" s="70">
        <f t="shared" si="15"/>
        <v>0.91282216183017861</v>
      </c>
      <c r="AA33" s="70">
        <f t="shared" si="15"/>
        <v>0.60637552447986542</v>
      </c>
      <c r="AB33" s="70">
        <f t="shared" si="16"/>
        <v>0.18709737163066636</v>
      </c>
      <c r="AC33" s="70">
        <f t="shared" si="16"/>
        <v>9.5682428469298697E-2</v>
      </c>
      <c r="AD33" s="70">
        <f t="shared" si="17"/>
        <v>0.12087553397708936</v>
      </c>
      <c r="AE33" s="70">
        <f t="shared" si="17"/>
        <v>0.14504613313301129</v>
      </c>
    </row>
    <row r="34" spans="2:31" x14ac:dyDescent="0.2">
      <c r="B34" s="57" t="s">
        <v>29</v>
      </c>
      <c r="C34" s="57">
        <v>22.120730192099259</v>
      </c>
      <c r="D34" s="57">
        <f>18.2432709276746/SQRT(3)</f>
        <v>10.532757380992205</v>
      </c>
      <c r="E34" s="57">
        <v>30.08617036345785</v>
      </c>
      <c r="F34" s="57">
        <f>29.2624426360029/SQRT(3)</f>
        <v>16.894679133042256</v>
      </c>
      <c r="G34" s="57">
        <f t="shared" si="18"/>
        <v>26.103450277778556</v>
      </c>
      <c r="H34" s="57">
        <f t="shared" si="19"/>
        <v>19.218383599871668</v>
      </c>
      <c r="I34" s="57"/>
      <c r="J34" s="57">
        <f t="shared" si="20"/>
        <v>13.386534228560237</v>
      </c>
      <c r="K34" s="57">
        <f t="shared" si="21"/>
        <v>12.516945133164393</v>
      </c>
      <c r="L34" s="57"/>
      <c r="M34" s="57">
        <v>19.309715998965427</v>
      </c>
      <c r="N34" s="57">
        <f>32.6201626578499/SQRT(3)</f>
        <v>18.833259691519022</v>
      </c>
      <c r="O34" s="57">
        <v>14.197318441733559</v>
      </c>
      <c r="P34" s="57">
        <f>18.7247847160376/SQRT(3)</f>
        <v>10.810759496322099</v>
      </c>
      <c r="Q34" s="57">
        <f t="shared" si="22"/>
        <v>16.753517220349494</v>
      </c>
      <c r="R34" s="57">
        <f t="shared" si="23"/>
        <v>20.730328164216353</v>
      </c>
      <c r="T34" s="57">
        <f t="shared" si="24"/>
        <v>8.5541945304630236</v>
      </c>
      <c r="U34" s="57">
        <f t="shared" si="25"/>
        <v>14.032879422843026</v>
      </c>
    </row>
    <row r="35" spans="2:31" x14ac:dyDescent="0.2">
      <c r="B35" s="57" t="s">
        <v>25</v>
      </c>
      <c r="C35" s="57">
        <v>4.7247145021042742</v>
      </c>
      <c r="D35" s="57">
        <f>2.21507363355895/SQRT(3)</f>
        <v>1.2788733586101024</v>
      </c>
      <c r="E35" s="57">
        <v>7.6233623047947612</v>
      </c>
      <c r="F35" s="57">
        <f>4.6957279364996/SQRT(3)</f>
        <v>2.7110797881792905</v>
      </c>
      <c r="G35" s="57">
        <f t="shared" si="18"/>
        <v>6.1740384034495177</v>
      </c>
      <c r="H35" s="57">
        <f t="shared" si="19"/>
        <v>2.7593006383211929</v>
      </c>
      <c r="I35" s="57"/>
      <c r="J35" s="57">
        <f t="shared" si="20"/>
        <v>4.5748522248845127</v>
      </c>
      <c r="K35" s="57">
        <f t="shared" si="21"/>
        <v>2.6676797972758499</v>
      </c>
      <c r="L35" s="57"/>
      <c r="M35" s="57">
        <v>0.55524999703597178</v>
      </c>
      <c r="N35" s="57">
        <f>0.378702984310218/SQRT(3)</f>
        <v>0.21864426993441899</v>
      </c>
      <c r="O35" s="57">
        <v>1.2703943266243856</v>
      </c>
      <c r="P35" s="57">
        <f>1.17719073072245/SQRT(3)</f>
        <v>0.6796513852701388</v>
      </c>
      <c r="Q35" s="57">
        <f t="shared" si="22"/>
        <v>0.91282216183017861</v>
      </c>
      <c r="R35" s="57">
        <f t="shared" si="23"/>
        <v>0.60637552447986542</v>
      </c>
      <c r="T35" s="57">
        <f t="shared" si="24"/>
        <v>0.51684884790363395</v>
      </c>
      <c r="U35" s="57">
        <f t="shared" si="25"/>
        <v>0.70889115527651547</v>
      </c>
    </row>
    <row r="38" spans="2:31" x14ac:dyDescent="0.2">
      <c r="B38" s="57" t="s">
        <v>32</v>
      </c>
      <c r="C38" s="57"/>
      <c r="D38" s="57"/>
      <c r="E38" s="57"/>
      <c r="F38" s="57"/>
      <c r="G38" s="57"/>
      <c r="H38" s="57"/>
      <c r="I38" s="57"/>
      <c r="J38" s="57"/>
      <c r="K38" s="57"/>
      <c r="L38" s="57"/>
      <c r="M38" s="57"/>
      <c r="N38" s="57"/>
      <c r="O38" s="57"/>
      <c r="P38" s="57"/>
      <c r="Q38" s="57"/>
      <c r="R38" s="57"/>
      <c r="S38" s="57"/>
    </row>
    <row r="39" spans="2:31" x14ac:dyDescent="0.2">
      <c r="B39" s="57"/>
      <c r="C39" s="57" t="s">
        <v>34</v>
      </c>
      <c r="D39" s="57"/>
      <c r="E39" s="57"/>
      <c r="F39" s="57"/>
      <c r="G39" s="57"/>
      <c r="H39" s="57"/>
      <c r="I39" s="57"/>
      <c r="J39" s="57"/>
      <c r="K39" s="57"/>
      <c r="L39" s="57"/>
      <c r="M39" s="57" t="s">
        <v>35</v>
      </c>
      <c r="N39" s="57"/>
      <c r="O39" s="57"/>
      <c r="P39" s="57"/>
      <c r="Q39" s="57"/>
      <c r="R39" s="57"/>
    </row>
    <row r="40" spans="2:31" x14ac:dyDescent="0.2">
      <c r="B40" s="57"/>
      <c r="C40" s="57" t="s">
        <v>36</v>
      </c>
      <c r="D40" s="57" t="s">
        <v>41</v>
      </c>
      <c r="E40" s="57" t="s">
        <v>37</v>
      </c>
      <c r="F40" s="57" t="s">
        <v>41</v>
      </c>
      <c r="G40" s="57" t="s">
        <v>42</v>
      </c>
      <c r="H40" s="57" t="s">
        <v>43</v>
      </c>
      <c r="I40" s="57"/>
      <c r="J40" s="57"/>
      <c r="K40" s="57"/>
      <c r="L40" s="57"/>
      <c r="M40" s="57" t="s">
        <v>36</v>
      </c>
      <c r="N40" s="57" t="s">
        <v>41</v>
      </c>
      <c r="O40" s="57" t="s">
        <v>37</v>
      </c>
      <c r="P40" s="57" t="s">
        <v>41</v>
      </c>
      <c r="Q40" s="57" t="s">
        <v>42</v>
      </c>
      <c r="R40" s="57" t="s">
        <v>43</v>
      </c>
    </row>
    <row r="41" spans="2:31" x14ac:dyDescent="0.2">
      <c r="B41" s="57" t="s">
        <v>16</v>
      </c>
      <c r="C41" s="57">
        <v>4.9066224637089768E-2</v>
      </c>
      <c r="D41" s="57">
        <f>0.0301683539166851/SQRT(3)</f>
        <v>1.7417707254806045E-2</v>
      </c>
      <c r="E41" s="57">
        <v>5.1630721451511687E-2</v>
      </c>
      <c r="F41" s="57">
        <f>0.0183374701652666/SQRT(3)</f>
        <v>1.0587143336173404E-2</v>
      </c>
      <c r="G41" s="57">
        <f>AVERAGE(C41,E41)</f>
        <v>5.0348473044300728E-2</v>
      </c>
      <c r="H41" s="57">
        <f>SQRT((D41/C41)^2+(F41/E41)^2)*G41</f>
        <v>2.0640478370972219E-2</v>
      </c>
      <c r="I41" s="57"/>
      <c r="J41" s="57"/>
      <c r="K41" s="57"/>
      <c r="L41" s="57"/>
      <c r="M41" s="57">
        <v>4.5550196283925008E-3</v>
      </c>
      <c r="N41" s="57">
        <f>0.00788952542584932/SQRT(3)</f>
        <v>4.5550196283925025E-3</v>
      </c>
      <c r="O41" s="57">
        <v>2.0636357009543117E-4</v>
      </c>
      <c r="P41" s="57">
        <f>0.000357432188236588/SQRT(3)</f>
        <v>2.0636357009543108E-4</v>
      </c>
      <c r="Q41" s="57">
        <f>AVERAGE(M41,O41)</f>
        <v>2.380691599243966E-3</v>
      </c>
      <c r="R41" s="57">
        <f>SQRT((N41/M41)^2+(P41/O41)^2)*Q41</f>
        <v>3.3668063474785099E-3</v>
      </c>
    </row>
    <row r="42" spans="2:31" x14ac:dyDescent="0.2">
      <c r="B42" s="57" t="s">
        <v>17</v>
      </c>
      <c r="C42" s="57">
        <v>4.3727148099351982</v>
      </c>
      <c r="D42" s="57">
        <f>4.08093662828736/SQRT(3)</f>
        <v>2.3561298608875112</v>
      </c>
      <c r="E42" s="57">
        <v>5.3680690004702827</v>
      </c>
      <c r="F42" s="57">
        <f>4.68990973405305/SQRT(3)</f>
        <v>2.7077206474305746</v>
      </c>
      <c r="G42" s="57">
        <f t="shared" ref="G42:G51" si="26">AVERAGE(C42,E42)</f>
        <v>4.8703919052027409</v>
      </c>
      <c r="H42" s="57">
        <f t="shared" ref="H42:H51" si="27">SQRT((D42/C42)^2+(F42/E42)^2)*G42</f>
        <v>3.5947475112820899</v>
      </c>
      <c r="I42" s="57"/>
      <c r="J42" s="57"/>
      <c r="K42" s="57"/>
      <c r="L42" s="57"/>
      <c r="M42" s="57">
        <v>1.1943887240007424E-2</v>
      </c>
      <c r="N42" s="57">
        <f>0.0174780556195309/SQRT(3)</f>
        <v>1.0090960116847418E-2</v>
      </c>
      <c r="O42" s="57">
        <v>9.7162700854744322E-2</v>
      </c>
      <c r="P42" s="57">
        <f>0.0857765314907572/SQRT(3)</f>
        <v>4.9523103546341082E-2</v>
      </c>
      <c r="Q42" s="57">
        <f t="shared" ref="Q42:Q51" si="28">AVERAGE(M42,O42)</f>
        <v>5.4553294047375869E-2</v>
      </c>
      <c r="R42" s="57">
        <f t="shared" ref="R42:R51" si="29">SQRT((N42/M42)^2+(P42/O42)^2)*Q42</f>
        <v>5.3827866225884619E-2</v>
      </c>
    </row>
    <row r="43" spans="2:31" x14ac:dyDescent="0.2">
      <c r="B43" s="57" t="s">
        <v>18</v>
      </c>
      <c r="C43" s="57">
        <v>201.19178777112393</v>
      </c>
      <c r="D43" s="57">
        <f>86.7579338319397/SQRT(3)</f>
        <v>50.089716452206126</v>
      </c>
      <c r="E43" s="57">
        <v>286.12486504919599</v>
      </c>
      <c r="F43" s="57">
        <f>167.939144395164/SQRT(3)</f>
        <v>96.959710224023368</v>
      </c>
      <c r="G43" s="57">
        <f t="shared" si="26"/>
        <v>243.65832641015996</v>
      </c>
      <c r="H43" s="57">
        <f t="shared" si="27"/>
        <v>102.45762303222993</v>
      </c>
      <c r="I43" s="57"/>
      <c r="J43" s="57"/>
      <c r="K43" s="57"/>
      <c r="L43" s="57"/>
      <c r="M43" s="57">
        <v>4.9753246727588083</v>
      </c>
      <c r="N43" s="57">
        <f>2.87506023940633/SQRT(3)</f>
        <v>1.6599168031576346</v>
      </c>
      <c r="O43" s="57">
        <v>12.144232605552538</v>
      </c>
      <c r="P43" s="57">
        <f>6.84721316608895/SQRT(3)</f>
        <v>3.9532403646402052</v>
      </c>
      <c r="Q43" s="57">
        <f t="shared" si="28"/>
        <v>8.5597786391556738</v>
      </c>
      <c r="R43" s="57">
        <f t="shared" si="29"/>
        <v>3.9899479062831147</v>
      </c>
    </row>
    <row r="44" spans="2:31" x14ac:dyDescent="0.2">
      <c r="B44" s="57" t="s">
        <v>19</v>
      </c>
      <c r="C44" s="57">
        <v>0.25499447549314586</v>
      </c>
      <c r="D44" s="57">
        <f>0.0133607343034272/SQRT(3)</f>
        <v>7.7138235466547612E-3</v>
      </c>
      <c r="E44" s="57">
        <v>0.35409674684567599</v>
      </c>
      <c r="F44" s="57">
        <f>0.129716867471993/SQRT(3)</f>
        <v>7.4892068353390184E-2</v>
      </c>
      <c r="G44" s="57">
        <f t="shared" si="26"/>
        <v>0.30454561116941092</v>
      </c>
      <c r="H44" s="57">
        <f t="shared" si="27"/>
        <v>6.5067432396787028E-2</v>
      </c>
      <c r="I44" s="57"/>
      <c r="J44" s="57"/>
      <c r="K44" s="57"/>
      <c r="L44" s="57"/>
      <c r="M44" s="57">
        <v>1.9213177488285427E-2</v>
      </c>
      <c r="N44" s="57">
        <f>0.02520326673716/SQRT(3)</f>
        <v>1.4551112835157269E-2</v>
      </c>
      <c r="O44" s="57">
        <v>4.9725722454880238E-2</v>
      </c>
      <c r="P44" s="57">
        <f>0.0467343330694712/SQRT(3)</f>
        <v>2.698207977805683E-2</v>
      </c>
      <c r="Q44" s="57">
        <f t="shared" si="28"/>
        <v>3.4469449971582834E-2</v>
      </c>
      <c r="R44" s="57">
        <f t="shared" si="29"/>
        <v>3.2114254382911975E-2</v>
      </c>
    </row>
    <row r="45" spans="2:31" x14ac:dyDescent="0.2">
      <c r="B45" s="57" t="s">
        <v>20</v>
      </c>
      <c r="C45" s="57">
        <v>3.7642771795599472</v>
      </c>
      <c r="D45" s="57">
        <f>1.68769479021979/SQRT(3)</f>
        <v>0.97439104144332489</v>
      </c>
      <c r="E45" s="57">
        <v>5.1358591428627287</v>
      </c>
      <c r="F45" s="57">
        <f>1.50799381809009/SQRT(3)</f>
        <v>0.87064063681060511</v>
      </c>
      <c r="G45" s="57">
        <f t="shared" si="26"/>
        <v>4.4500681612113375</v>
      </c>
      <c r="H45" s="57">
        <f t="shared" si="27"/>
        <v>1.3769497889222424</v>
      </c>
      <c r="I45" s="57"/>
      <c r="J45" s="57"/>
      <c r="K45" s="57"/>
      <c r="L45" s="57"/>
      <c r="M45" s="57">
        <v>1.6147635918783095E-2</v>
      </c>
      <c r="N45" s="57">
        <f>0.020994506406229/SQRT(3)</f>
        <v>1.2121183925139637E-2</v>
      </c>
      <c r="O45" s="57">
        <v>6.0106549276577825E-2</v>
      </c>
      <c r="P45" s="57">
        <f>0.0220738020973781/SQRT(3)</f>
        <v>1.2744315582959772E-2</v>
      </c>
      <c r="Q45" s="57">
        <f t="shared" si="28"/>
        <v>3.8127092597680462E-2</v>
      </c>
      <c r="R45" s="57">
        <f t="shared" si="29"/>
        <v>2.9739816133862881E-2</v>
      </c>
    </row>
    <row r="46" spans="2:31" x14ac:dyDescent="0.2">
      <c r="B46" s="57" t="s">
        <v>21</v>
      </c>
      <c r="C46" s="57">
        <v>0.14013253035926035</v>
      </c>
      <c r="D46" s="57">
        <f>0.0274539139416063/SQRT(3)</f>
        <v>1.5850524604495219E-2</v>
      </c>
      <c r="E46" s="57">
        <v>0.18344146489239468</v>
      </c>
      <c r="F46" s="57">
        <f>0.0171229046115437/SQRT(3)</f>
        <v>9.8859135867830402E-3</v>
      </c>
      <c r="G46" s="57">
        <f t="shared" si="26"/>
        <v>0.16178699762582752</v>
      </c>
      <c r="H46" s="57">
        <f t="shared" si="27"/>
        <v>2.0270799923947841E-2</v>
      </c>
      <c r="I46" s="57"/>
      <c r="J46" s="57"/>
      <c r="K46" s="57"/>
      <c r="L46" s="57"/>
      <c r="M46" s="57">
        <v>1.6742088427524487E-2</v>
      </c>
      <c r="N46" s="57">
        <f>0.022738095692328/SQRT(3)</f>
        <v>1.3127845668825041E-2</v>
      </c>
      <c r="O46" s="57">
        <v>3.6631577211363564E-2</v>
      </c>
      <c r="P46" s="57">
        <f>0.0155214756788653/SQRT(3)</f>
        <v>8.9613281614131114E-3</v>
      </c>
      <c r="Q46" s="57">
        <f t="shared" si="28"/>
        <v>2.6686832819444027E-2</v>
      </c>
      <c r="R46" s="57">
        <f t="shared" si="29"/>
        <v>2.1920494204823417E-2</v>
      </c>
    </row>
    <row r="47" spans="2:31" x14ac:dyDescent="0.2">
      <c r="B47" s="57" t="s">
        <v>22</v>
      </c>
      <c r="C47" s="57">
        <v>7.8203678656949442</v>
      </c>
      <c r="D47" s="57">
        <f>0.187305020836601/SQRT(3)</f>
        <v>0.10814060420058005</v>
      </c>
      <c r="E47" s="57">
        <v>11.991884200776036</v>
      </c>
      <c r="F47" s="57">
        <f>2.15981905809531/SQRT(3)</f>
        <v>1.2469721145922112</v>
      </c>
      <c r="G47" s="57">
        <f t="shared" si="26"/>
        <v>9.9061260332354912</v>
      </c>
      <c r="H47" s="57">
        <f t="shared" si="27"/>
        <v>1.0391534251702474</v>
      </c>
      <c r="I47" s="57"/>
      <c r="J47" s="57"/>
      <c r="K47" s="57"/>
      <c r="L47" s="57"/>
      <c r="M47" s="57">
        <v>0.15039898632364415</v>
      </c>
      <c r="N47" s="57">
        <f>0.0692955525963071/SQRT(3)</f>
        <v>4.0007805945121773E-2</v>
      </c>
      <c r="O47" s="57">
        <v>0.39622288244047404</v>
      </c>
      <c r="P47" s="57">
        <f>0.126017491496099/SQRT(3)</f>
        <v>7.2756232637874146E-2</v>
      </c>
      <c r="Q47" s="57">
        <f t="shared" si="28"/>
        <v>0.27331093438205911</v>
      </c>
      <c r="R47" s="57">
        <f t="shared" si="29"/>
        <v>8.8343246629078456E-2</v>
      </c>
    </row>
    <row r="48" spans="2:31" x14ac:dyDescent="0.2">
      <c r="B48" s="57" t="s">
        <v>23</v>
      </c>
      <c r="C48" s="57">
        <v>0.26984726430175865</v>
      </c>
      <c r="D48" s="57">
        <f>0.0862045369924541/SQRT(3)</f>
        <v>4.9770212637960429E-2</v>
      </c>
      <c r="E48" s="57">
        <v>0.37518298429303099</v>
      </c>
      <c r="F48" s="57">
        <f>0.0347808619603592/SQRT(3)</f>
        <v>2.0080740015460598E-2</v>
      </c>
      <c r="G48" s="57">
        <f t="shared" si="26"/>
        <v>0.32251512429739482</v>
      </c>
      <c r="H48" s="57">
        <f t="shared" si="27"/>
        <v>6.193819150625355E-2</v>
      </c>
      <c r="I48" s="57"/>
      <c r="J48" s="57"/>
      <c r="K48" s="57"/>
      <c r="L48" s="57"/>
      <c r="M48" s="57">
        <v>4.1026105966865012E-2</v>
      </c>
      <c r="N48" s="57">
        <f>0.0259105518202916/SQRT(3)</f>
        <v>1.4959464068297103E-2</v>
      </c>
      <c r="O48" s="57">
        <v>0.1061994476310294</v>
      </c>
      <c r="P48" s="57">
        <f>0.072980472906062/SQRT(3)</f>
        <v>4.2135295677901086E-2</v>
      </c>
      <c r="Q48" s="57">
        <f t="shared" si="28"/>
        <v>7.3612776798947205E-2</v>
      </c>
      <c r="R48" s="57">
        <f t="shared" si="29"/>
        <v>3.9667152511895308E-2</v>
      </c>
    </row>
    <row r="49" spans="2:18" x14ac:dyDescent="0.2">
      <c r="B49" s="57" t="s">
        <v>24</v>
      </c>
      <c r="C49" s="57">
        <v>0.85655286777486894</v>
      </c>
      <c r="D49" s="57">
        <f>0.155044491221985/SQRT(3)</f>
        <v>8.9514978743381615E-2</v>
      </c>
      <c r="E49" s="57">
        <v>1.1471452796296722</v>
      </c>
      <c r="F49" s="57">
        <f>0.113017747091238/SQRT(3)</f>
        <v>6.5250826706331311E-2</v>
      </c>
      <c r="G49" s="57">
        <f t="shared" si="26"/>
        <v>1.0018490737022705</v>
      </c>
      <c r="H49" s="57">
        <f t="shared" si="27"/>
        <v>0.11920308944498008</v>
      </c>
      <c r="I49" s="57"/>
      <c r="J49" s="57"/>
      <c r="K49" s="57"/>
      <c r="L49" s="57"/>
      <c r="M49" s="57">
        <v>0.41628225310976785</v>
      </c>
      <c r="N49" s="57">
        <f>0.159568226177141/SQRT(3)</f>
        <v>9.2126758337483447E-2</v>
      </c>
      <c r="O49" s="57">
        <v>1.0399592272463358</v>
      </c>
      <c r="P49" s="57">
        <f>0.121653301076194/SQRT(3)</f>
        <v>7.0236566124147207E-2</v>
      </c>
      <c r="Q49" s="57">
        <f t="shared" si="28"/>
        <v>0.72812074017805184</v>
      </c>
      <c r="R49" s="57">
        <f t="shared" si="29"/>
        <v>0.16847581470451795</v>
      </c>
    </row>
    <row r="50" spans="2:18" x14ac:dyDescent="0.2">
      <c r="B50" s="57" t="s">
        <v>29</v>
      </c>
      <c r="C50" s="57">
        <v>0.47893163148867829</v>
      </c>
      <c r="D50" s="57">
        <f>0.369776957635379/SQRT(3)</f>
        <v>0.21349082603090691</v>
      </c>
      <c r="E50" s="57">
        <v>0.85976166110036134</v>
      </c>
      <c r="F50" s="57">
        <f>1.12519099403892/SQRT(3)</f>
        <v>0.64962932329811307</v>
      </c>
      <c r="G50" s="57">
        <f t="shared" si="26"/>
        <v>0.66934664629451979</v>
      </c>
      <c r="H50" s="57">
        <f t="shared" si="27"/>
        <v>0.58720662724252404</v>
      </c>
      <c r="I50" s="57"/>
      <c r="J50" s="57"/>
      <c r="K50" s="57"/>
      <c r="L50" s="57"/>
      <c r="M50" s="57">
        <v>5.4552503893741451E-2</v>
      </c>
      <c r="N50" s="57">
        <f>0.0944877084240592/SQRT(3)</f>
        <v>5.4552503893741451E-2</v>
      </c>
      <c r="O50" s="57">
        <v>0.10385060813620267</v>
      </c>
      <c r="P50" s="57">
        <f>0.103718339067629/SQRT(3)</f>
        <v>5.9881810980596487E-2</v>
      </c>
      <c r="Q50" s="57">
        <f t="shared" si="28"/>
        <v>7.9201556014972058E-2</v>
      </c>
      <c r="R50" s="57">
        <f t="shared" si="29"/>
        <v>9.1424973218511979E-2</v>
      </c>
    </row>
    <row r="51" spans="2:18" x14ac:dyDescent="0.2">
      <c r="B51" s="57" t="s">
        <v>25</v>
      </c>
      <c r="C51" s="57">
        <v>1.4497130197277694</v>
      </c>
      <c r="D51" s="57">
        <f>0.0792842742345314/SQRT(3)</f>
        <v>4.5774797071810813E-2</v>
      </c>
      <c r="E51" s="57">
        <v>2.2761420272942954</v>
      </c>
      <c r="F51" s="57">
        <f>0.607084208430988/SQRT(3)</f>
        <v>0.35050023115840179</v>
      </c>
      <c r="G51" s="57">
        <f t="shared" si="26"/>
        <v>1.8629275235110323</v>
      </c>
      <c r="H51" s="57">
        <f t="shared" si="27"/>
        <v>0.29283843478586613</v>
      </c>
      <c r="I51" s="57"/>
      <c r="J51" s="57"/>
      <c r="K51" s="57"/>
      <c r="L51" s="57"/>
      <c r="M51" s="57">
        <v>0.12946543633143526</v>
      </c>
      <c r="N51" s="57">
        <f>0.0254104807188459/SQRT(3)</f>
        <v>1.4670747883263476E-2</v>
      </c>
      <c r="O51" s="57">
        <v>0.24472930692989744</v>
      </c>
      <c r="P51" s="57">
        <f>0.211387297799462/SQRT(3)</f>
        <v>0.12204451328778698</v>
      </c>
      <c r="Q51" s="57">
        <f t="shared" si="28"/>
        <v>0.18709737163066636</v>
      </c>
      <c r="R51" s="57">
        <f t="shared" si="29"/>
        <v>9.5682428469298697E-2</v>
      </c>
    </row>
    <row r="52" spans="2:18" x14ac:dyDescent="0.2">
      <c r="B52" s="57"/>
      <c r="C52" s="57"/>
      <c r="D52" s="57"/>
      <c r="E52" s="57"/>
      <c r="F52" s="57"/>
      <c r="G52" s="57"/>
      <c r="H52" s="57"/>
      <c r="I52" s="57"/>
      <c r="J52" s="57"/>
      <c r="K52" s="57"/>
      <c r="L52" s="57"/>
      <c r="M52" s="57"/>
      <c r="N52" s="57"/>
      <c r="O52" s="57"/>
      <c r="P52" s="57"/>
      <c r="Q52" s="57"/>
      <c r="R52" s="57"/>
    </row>
    <row r="53" spans="2:18" x14ac:dyDescent="0.2">
      <c r="B53" s="57"/>
      <c r="C53" s="57"/>
      <c r="D53" s="57"/>
      <c r="E53" s="57"/>
      <c r="F53" s="57"/>
      <c r="G53" s="57"/>
      <c r="H53" s="57"/>
      <c r="I53" s="57"/>
      <c r="J53" s="57"/>
      <c r="K53" s="57"/>
      <c r="L53" s="57"/>
      <c r="M53" s="57"/>
      <c r="N53" s="57"/>
      <c r="O53" s="57"/>
      <c r="P53" s="57"/>
      <c r="Q53" s="57"/>
      <c r="R53" s="57"/>
    </row>
    <row r="54" spans="2:18" x14ac:dyDescent="0.2">
      <c r="B54" s="57" t="s">
        <v>33</v>
      </c>
      <c r="C54" s="57"/>
      <c r="D54" s="57"/>
      <c r="E54" s="57"/>
      <c r="F54" s="57"/>
      <c r="G54" s="57"/>
      <c r="H54" s="57"/>
      <c r="I54" s="57"/>
      <c r="J54" s="57"/>
      <c r="K54" s="57"/>
      <c r="L54" s="57"/>
      <c r="M54" s="57"/>
      <c r="N54" s="57"/>
      <c r="O54" s="57"/>
      <c r="P54" s="57"/>
      <c r="Q54" s="57"/>
      <c r="R54" s="57"/>
    </row>
    <row r="55" spans="2:18" x14ac:dyDescent="0.2">
      <c r="B55" s="57"/>
      <c r="C55" s="57" t="s">
        <v>34</v>
      </c>
      <c r="D55" s="57"/>
      <c r="E55" s="57"/>
      <c r="F55" s="57"/>
      <c r="G55" s="57"/>
      <c r="H55" s="57"/>
      <c r="I55" s="57"/>
      <c r="J55" s="57"/>
      <c r="K55" s="57"/>
      <c r="L55" s="57"/>
      <c r="M55" s="57" t="s">
        <v>35</v>
      </c>
      <c r="N55" s="57"/>
      <c r="O55" s="57"/>
      <c r="P55" s="57"/>
      <c r="Q55" s="57"/>
      <c r="R55" s="57"/>
    </row>
    <row r="56" spans="2:18" x14ac:dyDescent="0.2">
      <c r="B56" s="57"/>
      <c r="C56" s="57" t="s">
        <v>36</v>
      </c>
      <c r="D56" s="57" t="s">
        <v>41</v>
      </c>
      <c r="E56" s="57" t="s">
        <v>37</v>
      </c>
      <c r="F56" s="57" t="s">
        <v>41</v>
      </c>
      <c r="G56" s="57" t="s">
        <v>42</v>
      </c>
      <c r="H56" s="57" t="s">
        <v>43</v>
      </c>
      <c r="I56" s="57"/>
      <c r="J56" s="57"/>
      <c r="K56" s="57"/>
      <c r="L56" s="57"/>
      <c r="M56" s="57" t="s">
        <v>36</v>
      </c>
      <c r="N56" s="57" t="s">
        <v>41</v>
      </c>
      <c r="O56" s="57" t="s">
        <v>37</v>
      </c>
      <c r="P56" s="57" t="s">
        <v>41</v>
      </c>
      <c r="Q56" s="57" t="s">
        <v>42</v>
      </c>
      <c r="R56" s="57" t="s">
        <v>43</v>
      </c>
    </row>
    <row r="57" spans="2:18" x14ac:dyDescent="0.2">
      <c r="B57" s="57" t="s">
        <v>16</v>
      </c>
      <c r="C57" s="57">
        <v>1.6308932741422859E-3</v>
      </c>
      <c r="D57" s="57">
        <f>0.0028247900125368/SQRT(3)</f>
        <v>1.6308932741422879E-3</v>
      </c>
      <c r="E57" s="57">
        <v>1.5964431160167623E-2</v>
      </c>
      <c r="F57" s="57">
        <f>0.0136871444615059/SQRT(3)</f>
        <v>7.9022765392877271E-3</v>
      </c>
      <c r="G57" s="57">
        <v>8.797662217154955E-3</v>
      </c>
      <c r="H57" s="57">
        <f>SQRT((D57/C57)^2+(F57/E57)^2)*G57</f>
        <v>9.8164634806222981E-3</v>
      </c>
      <c r="I57" s="57"/>
      <c r="J57" s="57"/>
      <c r="K57" s="57"/>
      <c r="L57" s="57"/>
      <c r="M57" s="57">
        <v>2.8384103256638414E-3</v>
      </c>
      <c r="N57" s="57">
        <f>0.00385463535140839/SQRT(3)</f>
        <v>2.225474757763482E-3</v>
      </c>
      <c r="O57" s="57">
        <v>1.6028249342603777E-2</v>
      </c>
      <c r="P57" s="57">
        <f>0.015574142543587/SQRT(3)</f>
        <v>8.9917353899375569E-3</v>
      </c>
      <c r="Q57" s="57">
        <v>9.4333298341338096E-3</v>
      </c>
      <c r="R57" s="57">
        <f>SQRT((N57/M57)^2+(P57/O57)^2)*Q57</f>
        <v>9.0945230647336769E-3</v>
      </c>
    </row>
    <row r="58" spans="2:18" x14ac:dyDescent="0.2">
      <c r="B58" s="57" t="s">
        <v>17</v>
      </c>
      <c r="C58" s="57">
        <v>2.1198221388085317E-2</v>
      </c>
      <c r="D58" s="57">
        <f>0.0292977536756772/SQRT(3)</f>
        <v>1.6915065971303579E-2</v>
      </c>
      <c r="E58" s="57">
        <v>7.1547708172712762E-2</v>
      </c>
      <c r="F58" s="57">
        <f>0.060471142922769/SQRT(3)</f>
        <v>3.4913030644665013E-2</v>
      </c>
      <c r="G58" s="57">
        <v>4.637296478039904E-2</v>
      </c>
      <c r="H58" s="57">
        <f t="shared" ref="H58:H67" si="30">SQRT((D58/C58)^2+(F58/E58)^2)*G58</f>
        <v>4.3373806116895376E-2</v>
      </c>
      <c r="I58" s="57"/>
      <c r="J58" s="57"/>
      <c r="K58" s="57"/>
      <c r="L58" s="57"/>
      <c r="M58" s="57">
        <v>3.0195637282321862E-4</v>
      </c>
      <c r="N58" s="57">
        <f>0.000523003779399025/SQRT(3)</f>
        <v>3.0195637282321873E-4</v>
      </c>
      <c r="O58" s="57">
        <v>3.7222181362630218E-2</v>
      </c>
      <c r="P58" s="57">
        <f>0.0343371514804622/SQRT(3)</f>
        <v>1.9824563650449809E-2</v>
      </c>
      <c r="Q58" s="57">
        <v>1.8762068867726717E-2</v>
      </c>
      <c r="R58" s="57">
        <f t="shared" ref="R58:R67" si="31">SQRT((N58/M58)^2+(P58/O58)^2)*Q58</f>
        <v>2.1257213838102754E-2</v>
      </c>
    </row>
    <row r="59" spans="2:18" x14ac:dyDescent="0.2">
      <c r="B59" s="57" t="s">
        <v>18</v>
      </c>
      <c r="C59" s="57">
        <v>257.19114766310076</v>
      </c>
      <c r="D59" s="57">
        <f>224.127174728494/SQRT(3)</f>
        <v>129.39988466220632</v>
      </c>
      <c r="E59" s="57">
        <v>321.83419395355344</v>
      </c>
      <c r="F59" s="57">
        <f>226.389338814349/SQRT(3)</f>
        <v>130.70594570612579</v>
      </c>
      <c r="G59" s="57">
        <v>289.51267080832713</v>
      </c>
      <c r="H59" s="57">
        <f t="shared" si="30"/>
        <v>187.19567643386208</v>
      </c>
      <c r="I59" s="57"/>
      <c r="J59" s="57"/>
      <c r="K59" s="57"/>
      <c r="L59" s="57"/>
      <c r="M59" s="57">
        <v>2.8032589984585008</v>
      </c>
      <c r="N59" s="57">
        <f>1.08887266483368/SQRT(3)</f>
        <v>0.62866092615495028</v>
      </c>
      <c r="O59" s="57">
        <v>6.6993082863169287</v>
      </c>
      <c r="P59" s="57">
        <f>2.85738649023949/SQRT(3)</f>
        <v>1.6497128593185695</v>
      </c>
      <c r="Q59" s="57">
        <v>4.7512836423877145</v>
      </c>
      <c r="R59" s="57">
        <f t="shared" si="31"/>
        <v>1.5824880577507539</v>
      </c>
    </row>
    <row r="60" spans="2:18" x14ac:dyDescent="0.2">
      <c r="B60" s="57" t="s">
        <v>19</v>
      </c>
      <c r="C60" s="57">
        <v>0.27857147978586067</v>
      </c>
      <c r="D60" s="57">
        <f>0.044048857677333/SQRT(3)</f>
        <v>2.5431619837503722E-2</v>
      </c>
      <c r="E60" s="57">
        <v>0.46516456384498234</v>
      </c>
      <c r="F60" s="57">
        <f>0.0652834350225889/SQRT(3)</f>
        <v>3.7691408783915151E-2</v>
      </c>
      <c r="G60" s="57">
        <v>0.3718680218154215</v>
      </c>
      <c r="H60" s="57">
        <f t="shared" si="30"/>
        <v>4.5392221323754457E-2</v>
      </c>
      <c r="I60" s="57"/>
      <c r="J60" s="57"/>
      <c r="K60" s="57"/>
      <c r="L60" s="57"/>
      <c r="M60" s="57">
        <v>4.022491445764681E-2</v>
      </c>
      <c r="N60" s="57">
        <f>0.0356588725612027/SQRT(3)</f>
        <v>2.0587659672208939E-2</v>
      </c>
      <c r="O60" s="57">
        <v>4.975376954904439E-2</v>
      </c>
      <c r="P60" s="57">
        <f>0.0130738782337947/SQRT(3)</f>
        <v>7.548207117633759E-3</v>
      </c>
      <c r="Q60" s="57">
        <v>4.4989342003345603E-2</v>
      </c>
      <c r="R60" s="57">
        <f t="shared" si="31"/>
        <v>2.4016451200257E-2</v>
      </c>
    </row>
    <row r="61" spans="2:18" x14ac:dyDescent="0.2">
      <c r="B61" s="57" t="s">
        <v>20</v>
      </c>
      <c r="C61" s="57">
        <v>12.633503927467908</v>
      </c>
      <c r="D61" s="57">
        <f>4.3681243514494/SQRT(3)</f>
        <v>2.521937770163071</v>
      </c>
      <c r="E61" s="57">
        <v>18.312116034060523</v>
      </c>
      <c r="F61" s="57">
        <f>6.68391782375486/SQRT(3)</f>
        <v>3.8589617547862063</v>
      </c>
      <c r="G61" s="57">
        <v>15.472809980764215</v>
      </c>
      <c r="H61" s="57">
        <f t="shared" si="30"/>
        <v>4.4913175146324935</v>
      </c>
      <c r="I61" s="57"/>
      <c r="J61" s="57"/>
      <c r="K61" s="57"/>
      <c r="L61" s="57"/>
      <c r="M61" s="57">
        <v>2.5886842305390557E-2</v>
      </c>
      <c r="N61" s="57">
        <f>0.02877724637635/SQRT(3)</f>
        <v>1.6614550941921855E-2</v>
      </c>
      <c r="O61" s="57">
        <v>4.930157191552631E-2</v>
      </c>
      <c r="P61" s="57">
        <f>0.0122287943057398/SQRT(3)</f>
        <v>7.0602976842834364E-3</v>
      </c>
      <c r="Q61" s="57">
        <v>3.7594207110458432E-2</v>
      </c>
      <c r="R61" s="57">
        <f t="shared" si="31"/>
        <v>2.4721840768148082E-2</v>
      </c>
    </row>
    <row r="62" spans="2:18" x14ac:dyDescent="0.2">
      <c r="B62" s="57" t="s">
        <v>21</v>
      </c>
      <c r="C62" s="57">
        <v>0.20812923471997127</v>
      </c>
      <c r="D62" s="57">
        <f>0.124960801402631/SQRT(3)</f>
        <v>7.2146152327960372E-2</v>
      </c>
      <c r="E62" s="57">
        <v>0.36534219472332419</v>
      </c>
      <c r="F62" s="57">
        <f>0.248984501249184/SQRT(3)</f>
        <v>0.1437512688202611</v>
      </c>
      <c r="G62" s="57">
        <v>0.28673571472164772</v>
      </c>
      <c r="H62" s="57">
        <f t="shared" si="30"/>
        <v>0.15035970151648542</v>
      </c>
      <c r="I62" s="57"/>
      <c r="J62" s="57"/>
      <c r="K62" s="57"/>
      <c r="L62" s="57"/>
      <c r="M62" s="57">
        <v>5.2448381491576003E-3</v>
      </c>
      <c r="N62" s="57">
        <f>0.00908432615181648/SQRT(3)</f>
        <v>5.244838149157602E-3</v>
      </c>
      <c r="O62" s="57">
        <v>3.5103011634085618E-3</v>
      </c>
      <c r="P62" s="57">
        <f>0.00408866996684269/SQRT(3)</f>
        <v>2.3605947059841654E-3</v>
      </c>
      <c r="Q62" s="57">
        <v>4.3775696562830813E-3</v>
      </c>
      <c r="R62" s="57">
        <f t="shared" si="31"/>
        <v>5.2753338261174098E-3</v>
      </c>
    </row>
    <row r="63" spans="2:18" x14ac:dyDescent="0.2">
      <c r="B63" s="57" t="s">
        <v>22</v>
      </c>
      <c r="C63" s="57">
        <v>13.300159150513215</v>
      </c>
      <c r="D63" s="57">
        <f>1.47344201867127/SQRT(3)</f>
        <v>0.85069214611516342</v>
      </c>
      <c r="E63" s="57">
        <v>20.6208883382733</v>
      </c>
      <c r="F63" s="57">
        <f>5.0057512920838/SQRT(3)</f>
        <v>2.8900718559808989</v>
      </c>
      <c r="G63" s="57">
        <v>16.960523744393257</v>
      </c>
      <c r="H63" s="57">
        <f t="shared" si="30"/>
        <v>2.61289940899634</v>
      </c>
      <c r="I63" s="57"/>
      <c r="J63" s="57"/>
      <c r="K63" s="57"/>
      <c r="L63" s="57"/>
      <c r="M63" s="57">
        <v>0.16559528800751136</v>
      </c>
      <c r="N63" s="57">
        <f>0.0744210011058866/SQRT(3)</f>
        <v>4.2966985021845074E-2</v>
      </c>
      <c r="O63" s="57">
        <v>0.36859096035205452</v>
      </c>
      <c r="P63" s="57">
        <f>0.154722800267205/SQRT(3)</f>
        <v>8.9329250384043518E-2</v>
      </c>
      <c r="Q63" s="57">
        <v>0.26709312417978293</v>
      </c>
      <c r="R63" s="57">
        <f t="shared" si="31"/>
        <v>9.4831129209806658E-2</v>
      </c>
    </row>
    <row r="64" spans="2:18" x14ac:dyDescent="0.2">
      <c r="B64" s="57" t="s">
        <v>23</v>
      </c>
      <c r="C64" s="57">
        <v>0.15386856894173051</v>
      </c>
      <c r="D64" s="57">
        <f>0.058438784295522/SQRT(3)</f>
        <v>3.3739647844134107E-2</v>
      </c>
      <c r="E64" s="57">
        <v>0.24778919780649514</v>
      </c>
      <c r="F64" s="57">
        <f>0.109061303279629/SQRT(3)</f>
        <v>6.2966572806665219E-2</v>
      </c>
      <c r="G64" s="57">
        <v>0.20082888337411281</v>
      </c>
      <c r="H64" s="57">
        <f t="shared" si="30"/>
        <v>6.7406597159339859E-2</v>
      </c>
      <c r="I64" s="57"/>
      <c r="J64" s="57"/>
      <c r="K64" s="57"/>
      <c r="L64" s="57"/>
      <c r="M64" s="57">
        <v>5.570616263786036E-3</v>
      </c>
      <c r="N64" s="57">
        <f>0.00964859039834693/SQRT(3)</f>
        <v>5.5706162637860395E-3</v>
      </c>
      <c r="O64" s="57">
        <v>4.9215363003790036E-2</v>
      </c>
      <c r="P64" s="57">
        <f>0.0439928012344319/SQRT(3)</f>
        <v>2.5399255635104961E-2</v>
      </c>
      <c r="Q64" s="57">
        <v>2.7392989633788035E-2</v>
      </c>
      <c r="R64" s="57">
        <f t="shared" si="31"/>
        <v>3.0825848322751224E-2</v>
      </c>
    </row>
    <row r="65" spans="2:18" x14ac:dyDescent="0.2">
      <c r="B65" s="57" t="s">
        <v>24</v>
      </c>
      <c r="C65" s="57">
        <v>0.80178909750433114</v>
      </c>
      <c r="D65" s="57">
        <f>0.479144973959717/SQRT(3)</f>
        <v>0.27663447969649885</v>
      </c>
      <c r="E65" s="57">
        <v>1.1048653574207048</v>
      </c>
      <c r="F65" s="57">
        <f>0.648302289408787/SQRT(3)</f>
        <v>0.37429750130641387</v>
      </c>
      <c r="G65" s="57">
        <v>0.95332722746251797</v>
      </c>
      <c r="H65" s="57">
        <f t="shared" si="30"/>
        <v>0.46096732031805476</v>
      </c>
      <c r="I65" s="57"/>
      <c r="J65" s="57"/>
      <c r="K65" s="57"/>
      <c r="L65" s="57"/>
      <c r="M65" s="57">
        <v>0.10008587563128513</v>
      </c>
      <c r="N65" s="57">
        <f>0.0171288669297387/SQRT(3)</f>
        <v>9.8893559327979177E-3</v>
      </c>
      <c r="O65" s="57">
        <v>0.23922241812285519</v>
      </c>
      <c r="P65" s="57">
        <f>0.0551760297090413/SQRT(3)</f>
        <v>3.1855895605329781E-2</v>
      </c>
      <c r="Q65" s="57">
        <v>0.16965414687707014</v>
      </c>
      <c r="R65" s="57">
        <f t="shared" si="31"/>
        <v>2.8131861242432197E-2</v>
      </c>
    </row>
    <row r="66" spans="2:18" x14ac:dyDescent="0.2">
      <c r="B66" s="57" t="s">
        <v>29</v>
      </c>
      <c r="C66" s="57">
        <v>0.28540279824951759</v>
      </c>
      <c r="D66" s="57">
        <f>0.254203420689014/SQRT(3)</f>
        <v>0.14676441336372595</v>
      </c>
      <c r="E66" s="57">
        <v>1.0538335604343165</v>
      </c>
      <c r="F66" s="57">
        <f>0.475323034346342/SQRT(3)</f>
        <v>0.27442788183189032</v>
      </c>
      <c r="G66" s="57">
        <v>0.66961817934191703</v>
      </c>
      <c r="H66" s="57">
        <f t="shared" si="30"/>
        <v>0.38597645213493004</v>
      </c>
      <c r="I66" s="57"/>
      <c r="J66" s="57"/>
      <c r="K66" s="57"/>
      <c r="L66" s="57"/>
      <c r="M66" s="57">
        <v>2.4618190509851576E-3</v>
      </c>
      <c r="N66" s="57">
        <f>0.00426399567534729/SQRT(3)</f>
        <v>2.461819050985158E-3</v>
      </c>
      <c r="O66" s="57">
        <v>0.70728186210212041</v>
      </c>
      <c r="P66" s="57">
        <f>0.490088740237668/SQRT(3)</f>
        <v>0.28295286610302223</v>
      </c>
      <c r="Q66" s="57">
        <v>0.3548718405765528</v>
      </c>
      <c r="R66" s="57">
        <f t="shared" si="31"/>
        <v>0.38221614610371096</v>
      </c>
    </row>
    <row r="67" spans="2:18" x14ac:dyDescent="0.2">
      <c r="B67" s="57" t="s">
        <v>25</v>
      </c>
      <c r="C67" s="57">
        <v>2.2363124984457019</v>
      </c>
      <c r="D67" s="57">
        <f>1.06751233534385/SQRT(3)</f>
        <v>0.61632853417401789</v>
      </c>
      <c r="E67" s="57">
        <v>3.7150195941933135</v>
      </c>
      <c r="F67" s="57">
        <f>1.63208123683669/SQRT(3)</f>
        <v>0.9422825414270003</v>
      </c>
      <c r="G67" s="57">
        <v>2.9756660463195077</v>
      </c>
      <c r="H67" s="57">
        <f t="shared" si="30"/>
        <v>1.1145428102400359</v>
      </c>
      <c r="I67" s="57"/>
      <c r="J67" s="57"/>
      <c r="K67" s="57"/>
      <c r="L67" s="57"/>
      <c r="M67" s="57">
        <v>2.7240996352864089E-2</v>
      </c>
      <c r="N67" s="57">
        <f>0.0471827897319591/SQRT(3)</f>
        <v>2.7240996352864099E-2</v>
      </c>
      <c r="O67" s="57">
        <v>0.21451007160131463</v>
      </c>
      <c r="P67" s="57">
        <f>0.246428242677497/SQRT(3)</f>
        <v>0.14227541224577933</v>
      </c>
      <c r="Q67" s="57">
        <v>0.12087553397708936</v>
      </c>
      <c r="R67" s="57">
        <f t="shared" si="31"/>
        <v>0.14504613313301129</v>
      </c>
    </row>
  </sheetData>
  <mergeCells count="2">
    <mergeCell ref="J7:K7"/>
    <mergeCell ref="T7:U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E234"/>
  <sheetViews>
    <sheetView topLeftCell="J1" zoomScale="80" zoomScaleNormal="80" zoomScalePageLayoutView="80" workbookViewId="0">
      <selection activeCell="O4" sqref="O4:U7"/>
    </sheetView>
  </sheetViews>
  <sheetFormatPr baseColWidth="10" defaultColWidth="8.83203125" defaultRowHeight="15" x14ac:dyDescent="0.2"/>
  <cols>
    <col min="1" max="1" width="18.5" customWidth="1"/>
    <col min="2" max="2" width="15.1640625" bestFit="1" customWidth="1"/>
    <col min="12" max="12" width="14.6640625" bestFit="1" customWidth="1"/>
    <col min="13" max="13" width="11.1640625" bestFit="1" customWidth="1"/>
    <col min="62" max="64" width="23.33203125" customWidth="1"/>
  </cols>
  <sheetData>
    <row r="1" spans="1:161" x14ac:dyDescent="0.2">
      <c r="L1" t="s">
        <v>48</v>
      </c>
      <c r="M1" t="s">
        <v>41</v>
      </c>
    </row>
    <row r="2" spans="1:161" x14ac:dyDescent="0.2">
      <c r="K2" t="s">
        <v>18</v>
      </c>
      <c r="L2" s="50">
        <f>AVERAGE(M19,M81,M143)</f>
        <v>122.43936499025807</v>
      </c>
      <c r="M2" s="50">
        <f>STDEV(M19,M81,M143)</f>
        <v>56.544870997581341</v>
      </c>
      <c r="AV2" s="40"/>
      <c r="AW2" s="40"/>
      <c r="AX2" s="40"/>
      <c r="AY2" s="40"/>
      <c r="AZ2" s="40"/>
      <c r="BA2" s="40"/>
      <c r="BB2" s="40"/>
      <c r="BC2" s="40"/>
      <c r="BD2" s="40"/>
      <c r="BE2" s="40"/>
      <c r="BF2" s="40"/>
      <c r="BG2" s="40"/>
      <c r="BH2" s="40"/>
      <c r="BI2" s="40"/>
      <c r="BJ2" s="40"/>
      <c r="BK2" s="40"/>
      <c r="BL2" s="40"/>
      <c r="BM2" s="40"/>
    </row>
    <row r="3" spans="1:161" x14ac:dyDescent="0.2">
      <c r="A3" s="40"/>
      <c r="B3" s="40"/>
      <c r="G3" s="53"/>
      <c r="H3" s="53"/>
      <c r="I3" s="53"/>
      <c r="J3" s="53"/>
      <c r="K3" t="s">
        <v>22</v>
      </c>
      <c r="L3" s="50">
        <f>AVERAGE(T19,T81,T143)</f>
        <v>22.955787160405389</v>
      </c>
      <c r="M3" s="50">
        <f>STDEV(T19,T81,T143)</f>
        <v>5.3953255293613331</v>
      </c>
      <c r="O3" s="2"/>
      <c r="P3" s="43"/>
      <c r="Q3" s="2"/>
      <c r="R3" s="43"/>
      <c r="S3" s="43"/>
      <c r="T3" s="40"/>
      <c r="BP3" s="40"/>
      <c r="BS3" s="40"/>
      <c r="BV3" s="40"/>
      <c r="BY3" s="40"/>
      <c r="CB3" s="40"/>
      <c r="CE3" s="40"/>
      <c r="CH3" s="40"/>
      <c r="CK3" s="40"/>
      <c r="CN3" s="40"/>
      <c r="CQ3" s="40"/>
      <c r="CT3" s="40"/>
      <c r="CW3" s="40"/>
      <c r="CZ3" s="40"/>
      <c r="DC3" s="40"/>
      <c r="DF3" s="40"/>
      <c r="DI3" s="40"/>
      <c r="DL3" s="40"/>
      <c r="DO3" s="40"/>
      <c r="DR3" s="40"/>
      <c r="DU3" s="40"/>
      <c r="DX3" s="40"/>
      <c r="EA3" s="40"/>
      <c r="ED3" s="40"/>
      <c r="EG3" s="40"/>
      <c r="EJ3" s="40"/>
      <c r="EM3" s="40"/>
      <c r="EP3" s="40"/>
      <c r="ES3" s="40"/>
      <c r="EV3" s="40"/>
      <c r="EY3" s="40"/>
      <c r="FB3" s="40"/>
      <c r="FE3" s="40"/>
    </row>
    <row r="4" spans="1:161" ht="16" customHeight="1" x14ac:dyDescent="0.2">
      <c r="A4" t="s">
        <v>5</v>
      </c>
      <c r="B4" t="s">
        <v>49</v>
      </c>
      <c r="C4" s="40" t="s">
        <v>50</v>
      </c>
      <c r="G4" s="53"/>
      <c r="H4" s="53"/>
      <c r="I4" s="53"/>
      <c r="J4" s="53"/>
      <c r="K4" s="53" t="s">
        <v>125</v>
      </c>
      <c r="L4" s="57">
        <f>L2/L3</f>
        <v>5.3337036162037599</v>
      </c>
      <c r="M4" s="57"/>
      <c r="O4" t="s">
        <v>128</v>
      </c>
      <c r="P4" t="s">
        <v>129</v>
      </c>
      <c r="R4" t="s">
        <v>134</v>
      </c>
      <c r="T4" t="s">
        <v>130</v>
      </c>
      <c r="BP4" s="40"/>
      <c r="BS4" s="40"/>
      <c r="BV4" s="40"/>
      <c r="BY4" s="40"/>
      <c r="CB4" s="40"/>
      <c r="CE4" s="40"/>
      <c r="CH4" s="40"/>
      <c r="CK4" s="40"/>
      <c r="CN4" s="40"/>
      <c r="CQ4" s="40"/>
      <c r="CT4" s="40"/>
      <c r="CW4" s="40"/>
      <c r="CZ4" s="40"/>
      <c r="DC4" s="40"/>
      <c r="DF4" s="40"/>
      <c r="DI4" s="40"/>
      <c r="DL4" s="40"/>
      <c r="DO4" s="40"/>
      <c r="DR4" s="40"/>
      <c r="DU4" s="40"/>
      <c r="DX4" s="40"/>
      <c r="EA4" s="40"/>
      <c r="ED4" s="40"/>
      <c r="EG4" s="40"/>
      <c r="EJ4" s="40"/>
      <c r="EM4" s="40"/>
      <c r="EP4" s="40"/>
      <c r="ES4" s="40"/>
      <c r="EV4" s="40"/>
      <c r="EY4" s="40"/>
      <c r="FB4" s="40"/>
      <c r="FE4" s="40"/>
    </row>
    <row r="5" spans="1:161" x14ac:dyDescent="0.2">
      <c r="A5" t="s">
        <v>51</v>
      </c>
      <c r="B5" s="32">
        <v>4051.0637499999998</v>
      </c>
      <c r="C5" s="32">
        <v>3530.0404166666667</v>
      </c>
      <c r="O5" t="s">
        <v>131</v>
      </c>
      <c r="P5" s="50">
        <f>AVERAGE(F19,F81)</f>
        <v>1.194</v>
      </c>
      <c r="Q5" s="50">
        <f>STDEV(F19,F81)</f>
        <v>1.1172287142746848E-3</v>
      </c>
      <c r="R5" s="50">
        <f>AVERAGE(M19,M81,M143)</f>
        <v>122.43936499025807</v>
      </c>
      <c r="S5" s="50">
        <f>STDEV((M19,M81,M143))</f>
        <v>56.544870997581341</v>
      </c>
      <c r="T5" s="50">
        <f>AVERAGE(T19,T81,T143)</f>
        <v>22.955787160405389</v>
      </c>
      <c r="U5" s="50">
        <f>STDEV(T19,T81,T143)</f>
        <v>5.3953255293613331</v>
      </c>
      <c r="Z5" s="40"/>
      <c r="AV5" s="40"/>
      <c r="AW5" s="40"/>
      <c r="AX5" s="40"/>
      <c r="AY5" s="40"/>
      <c r="AZ5" s="40"/>
      <c r="BA5" s="40"/>
      <c r="BB5" s="40"/>
      <c r="BC5" s="40"/>
      <c r="BD5" s="40"/>
      <c r="BE5" s="40"/>
      <c r="BF5" s="40"/>
      <c r="BG5" s="40"/>
      <c r="BH5" s="40"/>
      <c r="BI5" s="40"/>
      <c r="BJ5" s="40"/>
      <c r="BK5" s="40"/>
      <c r="BL5" s="40"/>
      <c r="BM5" s="40"/>
      <c r="BP5" s="40"/>
      <c r="BS5" s="40"/>
      <c r="BV5" s="40"/>
      <c r="BY5" s="40"/>
      <c r="CB5" s="40"/>
      <c r="CE5" s="40"/>
      <c r="CH5" s="40"/>
      <c r="CK5" s="40"/>
      <c r="CN5" s="40"/>
      <c r="CQ5" s="40"/>
      <c r="CT5" s="40"/>
      <c r="CW5" s="40"/>
      <c r="CZ5" s="40"/>
      <c r="DC5" s="40"/>
      <c r="DF5" s="40"/>
      <c r="DI5" s="40"/>
      <c r="DL5" s="40"/>
      <c r="DO5" s="40"/>
      <c r="DR5" s="40"/>
      <c r="DU5" s="40"/>
      <c r="DX5" s="40"/>
      <c r="EA5" s="40"/>
      <c r="ED5" s="40"/>
      <c r="EG5" s="40"/>
      <c r="EJ5" s="40"/>
      <c r="EM5" s="40"/>
      <c r="EP5" s="40"/>
      <c r="ES5" s="40"/>
      <c r="EV5" s="40"/>
      <c r="EY5" s="40"/>
      <c r="FB5" s="40"/>
      <c r="FE5" s="40"/>
    </row>
    <row r="6" spans="1:161" x14ac:dyDescent="0.2">
      <c r="A6" t="s">
        <v>52</v>
      </c>
      <c r="B6" s="32">
        <v>498.44564559018102</v>
      </c>
      <c r="C6" s="32">
        <v>513.18373266235631</v>
      </c>
      <c r="G6" t="s">
        <v>53</v>
      </c>
      <c r="H6" s="40"/>
      <c r="K6" s="40"/>
      <c r="O6" t="s">
        <v>132</v>
      </c>
      <c r="P6" s="50">
        <f>AVERAGE(AVERAGE(F37:F75),AVERAGE(F96:F137))</f>
        <v>4.8214400798117826E-2</v>
      </c>
      <c r="Q6" s="50">
        <f>STDEV(AVERAGE(F37:F75),AVERAGE(F96:F137))</f>
        <v>1.4146064341244449E-2</v>
      </c>
      <c r="R6" s="50">
        <f>AVERAGE(AVERAGE(M37:M75),AVERAGE(M96:M137),AVERAGE(M158:M199))</f>
        <v>212.24806848748881</v>
      </c>
      <c r="S6" s="50">
        <f>STDEV(AVERAGE(M37:M75),AVERAGE(M96:M137),AVERAGE(M158:M199))</f>
        <v>100.37483190155443</v>
      </c>
      <c r="T6" s="50">
        <f>AVERAGE(AVERAGE(T37:T75),AVERAGE(T96:T137),AVERAGE(T158:T199))</f>
        <v>0.8742109905650971</v>
      </c>
      <c r="U6" s="50">
        <f>STDEV(AVERAGE(T37:T75),AVERAGE(T96:T137),AVERAGE(T158:T199))</f>
        <v>9.2454655781653697E-2</v>
      </c>
      <c r="Z6" s="40"/>
      <c r="BP6" s="40"/>
      <c r="BS6" s="40"/>
      <c r="BV6" s="40"/>
      <c r="BY6" s="40"/>
      <c r="CB6" s="40"/>
      <c r="CE6" s="40"/>
      <c r="CH6" s="40"/>
      <c r="CK6" s="40"/>
      <c r="CN6" s="40"/>
      <c r="CQ6" s="40"/>
      <c r="CT6" s="40"/>
      <c r="CW6" s="40"/>
      <c r="CZ6" s="40"/>
      <c r="DC6" s="40"/>
      <c r="DF6" s="40"/>
      <c r="DI6" s="40"/>
      <c r="DL6" s="40"/>
      <c r="DO6" s="40"/>
      <c r="DR6" s="40"/>
      <c r="DU6" s="40"/>
      <c r="DX6" s="40"/>
      <c r="EA6" s="40"/>
      <c r="ED6" s="40"/>
      <c r="EG6" s="40"/>
      <c r="EJ6" s="40"/>
      <c r="EM6" s="40"/>
      <c r="EP6" s="40"/>
      <c r="ES6" s="40"/>
      <c r="EV6" s="40"/>
      <c r="EY6" s="40"/>
      <c r="FB6" s="40"/>
      <c r="FE6" s="40"/>
    </row>
    <row r="7" spans="1:161" x14ac:dyDescent="0.2">
      <c r="A7" t="s">
        <v>54</v>
      </c>
      <c r="B7" s="32">
        <v>3004.3412499999999</v>
      </c>
      <c r="C7" s="32">
        <v>2756.4420833333334</v>
      </c>
      <c r="G7" s="73" t="s">
        <v>16</v>
      </c>
      <c r="H7" s="40" t="s">
        <v>55</v>
      </c>
      <c r="I7" t="s">
        <v>22</v>
      </c>
      <c r="K7" s="53"/>
      <c r="L7" s="53" t="s">
        <v>48</v>
      </c>
      <c r="M7" s="53" t="s">
        <v>56</v>
      </c>
      <c r="O7" t="s">
        <v>133</v>
      </c>
      <c r="P7">
        <f>P5/P6</f>
        <v>24.764385333740595</v>
      </c>
      <c r="R7">
        <f>R5/R6</f>
        <v>0.57686916004832989</v>
      </c>
      <c r="T7">
        <f>T5/T6</f>
        <v>26.258863601756577</v>
      </c>
      <c r="Z7" s="40"/>
      <c r="BP7" s="40"/>
      <c r="BS7" s="40"/>
      <c r="BV7" s="40"/>
      <c r="BY7" s="40"/>
      <c r="CB7" s="40"/>
      <c r="CE7" s="40"/>
      <c r="CH7" s="40"/>
      <c r="CK7" s="40"/>
      <c r="CN7" s="40"/>
      <c r="CQ7" s="40"/>
      <c r="CT7" s="40"/>
      <c r="CW7" s="40"/>
      <c r="CZ7" s="40"/>
      <c r="DC7" s="40"/>
      <c r="DF7" s="40"/>
      <c r="DI7" s="40"/>
      <c r="DL7" s="40"/>
      <c r="DO7" s="40"/>
      <c r="DR7" s="40"/>
      <c r="DU7" s="40"/>
      <c r="DX7" s="40"/>
      <c r="EA7" s="40"/>
      <c r="ED7" s="40"/>
      <c r="EG7" s="40"/>
      <c r="EJ7" s="40"/>
      <c r="EM7" s="40"/>
      <c r="EP7" s="40"/>
      <c r="ES7" s="40"/>
      <c r="EV7" s="40"/>
      <c r="EY7" s="40"/>
      <c r="FB7" s="40"/>
      <c r="FE7" s="40"/>
    </row>
    <row r="8" spans="1:161" x14ac:dyDescent="0.2">
      <c r="A8" t="s">
        <v>57</v>
      </c>
      <c r="B8" s="32">
        <v>78.818282906394899</v>
      </c>
      <c r="C8" s="32">
        <v>148.87987676906107</v>
      </c>
      <c r="F8" t="s">
        <v>58</v>
      </c>
      <c r="G8" s="71">
        <f>F19/AVERAGE(F37:F75)</f>
        <v>20.495840302920538</v>
      </c>
      <c r="H8" s="53">
        <f>M19/AVERAGE(M37:M75)</f>
        <v>0.55707084740008483</v>
      </c>
      <c r="I8" s="53">
        <f>T19/AVERAGE(T37:T75)</f>
        <v>28.199386730490243</v>
      </c>
      <c r="J8" s="53"/>
      <c r="K8" s="71" t="s">
        <v>16</v>
      </c>
      <c r="L8" s="72">
        <f>AVERAGE(G8:G9)</f>
        <v>25.881775942212016</v>
      </c>
      <c r="M8" s="72">
        <f>STDEV(G8:G10)</f>
        <v>7.6168632271546288</v>
      </c>
      <c r="O8" s="2"/>
      <c r="Z8" s="40"/>
      <c r="AV8" s="40"/>
      <c r="AW8" s="40"/>
      <c r="AX8" s="40"/>
      <c r="AY8" s="40"/>
      <c r="AZ8" s="40"/>
      <c r="BA8" s="40"/>
      <c r="BB8" s="40"/>
      <c r="BC8" s="40"/>
      <c r="BD8" s="40"/>
      <c r="BE8" s="40"/>
      <c r="BF8" s="40"/>
      <c r="BG8" s="40"/>
      <c r="BH8" s="40"/>
      <c r="BI8" s="40"/>
      <c r="BJ8" s="40"/>
      <c r="BK8" s="40"/>
      <c r="BL8" s="40"/>
      <c r="BM8" s="40"/>
      <c r="BP8" s="40"/>
      <c r="BS8" s="40"/>
      <c r="BV8" s="40"/>
      <c r="BY8" s="40"/>
      <c r="CB8" s="40"/>
      <c r="CE8" s="40"/>
      <c r="CH8" s="40"/>
      <c r="CK8" s="40"/>
      <c r="CN8" s="40"/>
      <c r="CQ8" s="40"/>
      <c r="CT8" s="40"/>
      <c r="CW8" s="40"/>
      <c r="CZ8" s="40"/>
      <c r="DC8" s="40"/>
      <c r="DF8" s="40"/>
      <c r="DI8" s="40"/>
      <c r="DL8" s="40"/>
      <c r="DO8" s="40"/>
      <c r="DR8" s="40"/>
      <c r="DU8" s="40"/>
      <c r="DX8" s="40"/>
      <c r="EA8" s="40"/>
      <c r="ED8" s="40"/>
      <c r="EG8" s="40"/>
      <c r="EJ8" s="40"/>
      <c r="EM8" s="40"/>
      <c r="EP8" s="40"/>
      <c r="ES8" s="40"/>
      <c r="EV8" s="40"/>
      <c r="EY8" s="40"/>
      <c r="FB8" s="40"/>
      <c r="FE8" s="40"/>
    </row>
    <row r="9" spans="1:161" x14ac:dyDescent="0.2">
      <c r="F9" t="s">
        <v>59</v>
      </c>
      <c r="G9" s="71">
        <f>F81/AVERAGE(F96:F137)</f>
        <v>31.267711581503498</v>
      </c>
      <c r="H9" s="53">
        <f>M81/AVERAGE(M96:M137)</f>
        <v>0.64490535509120983</v>
      </c>
      <c r="I9" s="53">
        <f>T81/AVERAGE(T96:T137)</f>
        <v>19.886659333108881</v>
      </c>
      <c r="J9" s="53"/>
      <c r="K9" s="53" t="s">
        <v>124</v>
      </c>
      <c r="L9" s="57">
        <f>AVERAGE(H8:H10)</f>
        <v>0.57757238093784913</v>
      </c>
      <c r="M9" s="57">
        <f>STDEV(H8:H10)</f>
        <v>5.9779704398187382E-2</v>
      </c>
      <c r="O9" s="2"/>
      <c r="Z9" s="40"/>
      <c r="BP9" s="40"/>
      <c r="BS9" s="40"/>
      <c r="BV9" s="40"/>
      <c r="BY9" s="40"/>
      <c r="CB9" s="40"/>
      <c r="CE9" s="40"/>
      <c r="CH9" s="40"/>
      <c r="CK9" s="40"/>
      <c r="CN9" s="40"/>
      <c r="CQ9" s="40"/>
      <c r="CT9" s="40"/>
      <c r="CW9" s="40"/>
      <c r="CZ9" s="40"/>
      <c r="DC9" s="40"/>
      <c r="DF9" s="40"/>
      <c r="DI9" s="40"/>
      <c r="DL9" s="40"/>
      <c r="DO9" s="40"/>
      <c r="DR9" s="40"/>
      <c r="DU9" s="40"/>
      <c r="DX9" s="40"/>
      <c r="EA9" s="40"/>
      <c r="ED9" s="40"/>
      <c r="EG9" s="40"/>
      <c r="EJ9" s="40"/>
      <c r="EM9" s="40"/>
      <c r="EP9" s="40"/>
      <c r="ES9" s="40"/>
      <c r="EV9" s="40"/>
      <c r="EY9" s="40"/>
      <c r="FB9" s="40"/>
      <c r="FE9" s="40"/>
    </row>
    <row r="10" spans="1:161" x14ac:dyDescent="0.2">
      <c r="F10" t="s">
        <v>60</v>
      </c>
      <c r="G10" s="71" t="s">
        <v>64</v>
      </c>
      <c r="H10" s="53">
        <f>M143/AVERAGE(M158:M199)</f>
        <v>0.53074094032225294</v>
      </c>
      <c r="I10" s="53">
        <f>T143/AVERAGE(T158:T199)</f>
        <v>30.736569066498845</v>
      </c>
      <c r="J10" s="53"/>
      <c r="K10" s="53" t="s">
        <v>22</v>
      </c>
      <c r="L10" s="57">
        <f>AVERAGE(I8:I10)</f>
        <v>26.274205043365992</v>
      </c>
      <c r="M10" s="57">
        <f>STDEV(I8:I10)</f>
        <v>5.675374763132945</v>
      </c>
      <c r="O10" s="2"/>
      <c r="Z10" s="40"/>
      <c r="BP10" s="40"/>
      <c r="BS10" s="40"/>
      <c r="BV10" s="40"/>
      <c r="BY10" s="40"/>
      <c r="CB10" s="40"/>
      <c r="CE10" s="40"/>
      <c r="CH10" s="40"/>
      <c r="CK10" s="40"/>
      <c r="CN10" s="40"/>
      <c r="CQ10" s="40"/>
      <c r="CT10" s="40"/>
      <c r="CW10" s="40"/>
      <c r="CZ10" s="40"/>
      <c r="DC10" s="40"/>
      <c r="DF10" s="40"/>
      <c r="DI10" s="40"/>
      <c r="DL10" s="40"/>
      <c r="DO10" s="40"/>
      <c r="DR10" s="40"/>
      <c r="DU10" s="40"/>
      <c r="DX10" s="40"/>
      <c r="EA10" s="40"/>
      <c r="ED10" s="40"/>
      <c r="EG10" s="40"/>
      <c r="EJ10" s="40"/>
      <c r="EM10" s="40"/>
      <c r="EP10" s="40"/>
      <c r="ES10" s="40"/>
      <c r="EV10" s="40"/>
      <c r="EY10" s="40"/>
      <c r="FB10" s="40"/>
      <c r="FE10" s="40"/>
    </row>
    <row r="11" spans="1:161" x14ac:dyDescent="0.2">
      <c r="A11" t="s">
        <v>61</v>
      </c>
      <c r="B11" s="40">
        <v>43655.458333333336</v>
      </c>
      <c r="G11" s="53"/>
      <c r="H11" s="53"/>
      <c r="I11" s="53"/>
      <c r="K11" s="40"/>
      <c r="L11" s="66"/>
      <c r="M11" s="66"/>
      <c r="O11" s="2"/>
      <c r="Z11" s="40"/>
      <c r="AV11" s="40"/>
      <c r="AW11" s="40"/>
      <c r="AX11" s="40"/>
      <c r="AY11" s="40"/>
      <c r="AZ11" s="40"/>
      <c r="BA11" s="40"/>
      <c r="BB11" s="40"/>
      <c r="BC11" s="40"/>
      <c r="BD11" s="40"/>
      <c r="BE11" s="40"/>
      <c r="BF11" s="40"/>
      <c r="BG11" s="40"/>
      <c r="BH11" s="40"/>
      <c r="BI11" s="40"/>
      <c r="BJ11" s="40"/>
      <c r="BK11" s="40"/>
      <c r="BL11" s="40"/>
      <c r="BM11" s="40"/>
      <c r="BP11" s="40"/>
      <c r="BS11" s="40"/>
      <c r="BV11" s="40"/>
      <c r="BY11" s="40"/>
      <c r="CB11" s="40"/>
      <c r="CE11" s="40"/>
      <c r="CH11" s="40"/>
      <c r="CK11" s="40"/>
      <c r="CN11" s="40"/>
      <c r="CQ11" s="40"/>
      <c r="CT11" s="40"/>
      <c r="CW11" s="40"/>
      <c r="CZ11" s="40"/>
      <c r="DC11" s="40"/>
      <c r="DF11" s="40"/>
      <c r="DI11" s="40"/>
      <c r="DL11" s="40"/>
      <c r="DO11" s="40"/>
      <c r="DR11" s="40"/>
      <c r="DU11" s="40"/>
      <c r="DX11" s="40"/>
      <c r="EA11" s="40"/>
      <c r="ED11" s="40"/>
      <c r="EG11" s="40"/>
      <c r="EJ11" s="40"/>
      <c r="EM11" s="40"/>
      <c r="EP11" s="40"/>
      <c r="ES11" s="40"/>
      <c r="EV11" s="40"/>
      <c r="EY11" s="40"/>
      <c r="FB11" s="40"/>
      <c r="FE11" s="40"/>
    </row>
    <row r="12" spans="1:161" x14ac:dyDescent="0.2">
      <c r="A12" t="s">
        <v>62</v>
      </c>
      <c r="B12" s="40">
        <v>43291.468055555553</v>
      </c>
      <c r="F12" t="s">
        <v>63</v>
      </c>
      <c r="G12" s="53" t="e">
        <f>AB19/AVERAGE(AB37:AB75)</f>
        <v>#VALUE!</v>
      </c>
      <c r="H12" s="53" t="e">
        <f>AI19/AVERAGE(AI37:AI75)</f>
        <v>#VALUE!</v>
      </c>
      <c r="I12" s="53" t="e">
        <f>AP19/AVERAGE(AP37:AP75)</f>
        <v>#VALUE!</v>
      </c>
      <c r="K12" s="40"/>
      <c r="L12" s="40"/>
      <c r="M12" s="40"/>
      <c r="O12" s="2"/>
      <c r="Z12" s="40"/>
      <c r="BP12" s="40"/>
      <c r="BS12" s="40"/>
      <c r="BV12" s="40"/>
      <c r="BY12" s="40"/>
      <c r="CB12" s="40"/>
      <c r="CE12" s="40"/>
      <c r="CH12" s="40"/>
      <c r="CK12" s="40"/>
      <c r="CN12" s="40"/>
      <c r="CQ12" s="40"/>
      <c r="CT12" s="40"/>
      <c r="CW12" s="40"/>
      <c r="CZ12" s="40"/>
      <c r="DC12" s="40"/>
      <c r="DF12" s="40"/>
      <c r="DI12" s="40"/>
      <c r="DL12" s="40"/>
      <c r="DO12" s="40"/>
      <c r="DR12" s="40"/>
      <c r="DU12" s="40"/>
      <c r="DX12" s="40"/>
      <c r="EA12" s="40"/>
      <c r="ED12" s="40"/>
      <c r="EG12" s="40"/>
      <c r="EJ12" s="40"/>
      <c r="EM12" s="40"/>
      <c r="EP12" s="40"/>
      <c r="ES12" s="40"/>
      <c r="EV12" s="40"/>
      <c r="EY12" s="40"/>
      <c r="FB12" s="40"/>
      <c r="FE12" s="40"/>
    </row>
    <row r="13" spans="1:161" x14ac:dyDescent="0.2">
      <c r="B13" s="40"/>
      <c r="F13" t="s">
        <v>65</v>
      </c>
      <c r="G13" s="53" t="e">
        <f>AB81/AVERAGE(AB96:AB137)</f>
        <v>#VALUE!</v>
      </c>
      <c r="H13" s="53" t="e">
        <f>AI81/AVERAGE(AI96:AI137)</f>
        <v>#VALUE!</v>
      </c>
      <c r="I13" s="53" t="e">
        <f>AP81/AVERAGE(AP96:AP137)</f>
        <v>#VALUE!</v>
      </c>
      <c r="K13" s="40"/>
      <c r="L13" s="40"/>
      <c r="M13" s="40"/>
      <c r="O13" s="2"/>
      <c r="P13" s="2"/>
      <c r="Q13" s="58"/>
      <c r="R13" s="2"/>
      <c r="S13" s="2"/>
      <c r="T13" s="40"/>
      <c r="W13" s="40"/>
      <c r="Z13" s="40"/>
      <c r="BP13" s="40"/>
      <c r="BS13" s="40"/>
      <c r="BV13" s="40"/>
      <c r="BY13" s="40"/>
      <c r="CB13" s="40"/>
      <c r="CE13" s="40"/>
      <c r="CH13" s="40"/>
      <c r="CK13" s="40"/>
      <c r="CN13" s="40"/>
      <c r="CQ13" s="40"/>
      <c r="CT13" s="40"/>
      <c r="CW13" s="40"/>
      <c r="CZ13" s="40"/>
      <c r="DC13" s="40"/>
      <c r="DF13" s="40"/>
      <c r="DI13" s="40"/>
      <c r="DL13" s="40"/>
      <c r="DO13" s="40"/>
      <c r="DR13" s="40"/>
      <c r="DU13" s="40"/>
      <c r="DX13" s="40"/>
      <c r="EA13" s="40"/>
      <c r="ED13" s="40"/>
      <c r="EG13" s="40"/>
      <c r="EJ13" s="40"/>
      <c r="EM13" s="40"/>
      <c r="EP13" s="40"/>
      <c r="ES13" s="40"/>
      <c r="EV13" s="40"/>
      <c r="EY13" s="40"/>
      <c r="FB13" s="40"/>
      <c r="FE13" s="40"/>
    </row>
    <row r="14" spans="1:161" x14ac:dyDescent="0.2">
      <c r="B14" s="40"/>
      <c r="F14" t="s">
        <v>66</v>
      </c>
      <c r="G14" s="53" t="e">
        <f>AB143/AVERAGE(AB158:AB199)</f>
        <v>#VALUE!</v>
      </c>
      <c r="H14" s="53" t="e">
        <f>AI143/AVERAGE(AI158:AI199)</f>
        <v>#VALUE!</v>
      </c>
      <c r="I14" s="53" t="e">
        <f>AP143/AVERAGE(AP158:AP199)</f>
        <v>#VALUE!</v>
      </c>
      <c r="K14" s="40"/>
      <c r="L14" s="40"/>
      <c r="M14" s="40"/>
      <c r="Q14" s="40"/>
      <c r="T14" s="40"/>
      <c r="W14" s="40"/>
      <c r="Z14" s="40"/>
      <c r="AV14" s="40"/>
      <c r="AW14" s="40"/>
      <c r="AX14" s="40"/>
      <c r="AY14" s="40"/>
      <c r="AZ14" s="40"/>
      <c r="BA14" s="40"/>
      <c r="BB14" s="40"/>
      <c r="BC14" s="40"/>
      <c r="BD14" s="40"/>
      <c r="BE14" s="40"/>
      <c r="BF14" s="40"/>
      <c r="BG14" s="40"/>
      <c r="BH14" s="40"/>
      <c r="BI14" s="40"/>
      <c r="BJ14" s="40"/>
      <c r="BK14" s="40"/>
      <c r="BL14" s="40"/>
      <c r="BM14" s="40"/>
      <c r="BP14" s="40"/>
      <c r="BS14" s="40"/>
      <c r="BV14" s="40"/>
      <c r="BY14" s="40"/>
      <c r="CB14" s="40"/>
      <c r="CE14" s="40"/>
      <c r="CH14" s="40"/>
      <c r="CK14" s="40"/>
      <c r="CN14" s="40"/>
      <c r="CQ14" s="40"/>
      <c r="CT14" s="40"/>
      <c r="CW14" s="40"/>
      <c r="CZ14" s="40"/>
      <c r="DC14" s="40"/>
      <c r="DF14" s="40"/>
      <c r="DI14" s="40"/>
      <c r="DL14" s="40"/>
      <c r="DO14" s="40"/>
      <c r="DR14" s="40"/>
      <c r="DU14" s="40"/>
      <c r="DX14" s="40"/>
      <c r="EA14" s="40"/>
      <c r="ED14" s="40"/>
      <c r="EG14" s="40"/>
      <c r="EJ14" s="40"/>
      <c r="EM14" s="40"/>
      <c r="EP14" s="40"/>
      <c r="ES14" s="40"/>
      <c r="EV14" s="40"/>
      <c r="EY14" s="40"/>
      <c r="FB14" s="40"/>
      <c r="FE14" s="40"/>
    </row>
    <row r="15" spans="1:161" x14ac:dyDescent="0.2">
      <c r="A15" s="59" t="s">
        <v>34</v>
      </c>
      <c r="B15" s="40"/>
      <c r="G15" s="40"/>
      <c r="K15" s="40"/>
      <c r="L15" s="40"/>
      <c r="M15" s="40"/>
      <c r="Q15" s="40"/>
      <c r="T15" s="40"/>
      <c r="W15" s="59" t="s">
        <v>35</v>
      </c>
      <c r="Z15" s="40"/>
      <c r="BP15" s="40"/>
      <c r="BS15" s="40"/>
      <c r="BV15" s="40"/>
      <c r="BY15" s="40"/>
      <c r="CB15" s="40"/>
      <c r="CE15" s="40"/>
      <c r="CH15" s="40"/>
      <c r="CK15" s="40"/>
      <c r="CN15" s="40"/>
      <c r="CQ15" s="40"/>
      <c r="CT15" s="40"/>
      <c r="CW15" s="40"/>
      <c r="CZ15" s="40"/>
      <c r="DC15" s="40"/>
      <c r="DF15" s="40"/>
      <c r="DI15" s="40"/>
      <c r="DL15" s="40"/>
      <c r="DO15" s="40"/>
      <c r="DR15" s="40"/>
      <c r="DU15" s="40"/>
      <c r="DX15" s="40"/>
      <c r="EA15" s="40"/>
      <c r="ED15" s="40"/>
      <c r="EG15" s="40"/>
      <c r="EJ15" s="40"/>
      <c r="EM15" s="40"/>
      <c r="EP15" s="40"/>
      <c r="ES15" s="40"/>
      <c r="EV15" s="40"/>
      <c r="EY15" s="40"/>
      <c r="FB15" s="40"/>
      <c r="FE15" s="40"/>
    </row>
    <row r="16" spans="1:161" x14ac:dyDescent="0.2">
      <c r="A16" s="40"/>
      <c r="B16" s="40"/>
      <c r="G16" s="40"/>
      <c r="K16" s="40"/>
      <c r="L16" s="40"/>
      <c r="M16" s="40"/>
      <c r="Q16" s="40"/>
      <c r="T16" s="40"/>
      <c r="W16" s="40"/>
      <c r="Z16" s="40"/>
      <c r="BP16" s="40"/>
      <c r="BS16" s="40"/>
      <c r="BV16" s="40"/>
      <c r="BY16" s="40"/>
      <c r="CB16" s="40"/>
      <c r="CE16" s="40"/>
      <c r="CH16" s="40"/>
      <c r="CK16" s="40"/>
      <c r="CN16" s="40"/>
      <c r="CQ16" s="40"/>
      <c r="CT16" s="40"/>
      <c r="CW16" s="40"/>
      <c r="CZ16" s="40"/>
      <c r="DC16" s="40"/>
      <c r="DF16" s="40"/>
      <c r="DI16" s="40"/>
      <c r="DL16" s="40"/>
      <c r="DO16" s="40"/>
      <c r="DR16" s="40"/>
      <c r="DU16" s="40"/>
      <c r="DX16" s="40"/>
      <c r="EA16" s="40"/>
      <c r="ED16" s="40"/>
      <c r="EG16" s="40"/>
      <c r="EJ16" s="40"/>
      <c r="EM16" s="40"/>
      <c r="EP16" s="40"/>
      <c r="ES16" s="40"/>
      <c r="EV16" s="40"/>
      <c r="EY16" s="40"/>
      <c r="FB16" s="40"/>
      <c r="FE16" s="40"/>
    </row>
    <row r="17" spans="1:65" x14ac:dyDescent="0.2">
      <c r="A17" t="s">
        <v>77</v>
      </c>
      <c r="H17" t="s">
        <v>78</v>
      </c>
      <c r="O17" t="s">
        <v>79</v>
      </c>
      <c r="W17" t="s">
        <v>85</v>
      </c>
      <c r="AD17" t="s">
        <v>86</v>
      </c>
      <c r="AK17" t="s">
        <v>87</v>
      </c>
      <c r="AV17" s="40"/>
      <c r="AW17" s="40"/>
      <c r="AX17" s="40"/>
      <c r="AY17" s="40"/>
      <c r="AZ17" s="40"/>
      <c r="BA17" s="40"/>
      <c r="BB17" s="40"/>
      <c r="BC17" s="40"/>
      <c r="BD17" s="40"/>
      <c r="BE17" s="40"/>
      <c r="BF17" s="40"/>
      <c r="BG17" s="40"/>
      <c r="BH17" s="40"/>
      <c r="BI17" s="40"/>
      <c r="BJ17" s="40"/>
      <c r="BK17" s="40"/>
      <c r="BL17" s="40"/>
      <c r="BM17" s="40"/>
    </row>
    <row r="18" spans="1:65" x14ac:dyDescent="0.2">
      <c r="A18" s="37" t="s">
        <v>16</v>
      </c>
      <c r="B18" t="s">
        <v>67</v>
      </c>
      <c r="C18">
        <f>BioD!D22</f>
        <v>0.27809999999999979</v>
      </c>
      <c r="H18" s="37" t="s">
        <v>124</v>
      </c>
      <c r="I18" t="s">
        <v>67</v>
      </c>
      <c r="J18">
        <f>BioD!D24</f>
        <v>0.18609999999999971</v>
      </c>
      <c r="O18" s="60" t="s">
        <v>68</v>
      </c>
      <c r="P18" s="61" t="s">
        <v>67</v>
      </c>
      <c r="Q18" s="61">
        <f>BioD!D30</f>
        <v>0.37650000000000006</v>
      </c>
      <c r="R18" s="61"/>
      <c r="S18" s="61"/>
      <c r="T18" s="61"/>
      <c r="W18" s="37" t="s">
        <v>16</v>
      </c>
      <c r="X18" t="s">
        <v>67</v>
      </c>
      <c r="Y18">
        <f>BioD!D76</f>
        <v>0.43469999999999986</v>
      </c>
      <c r="AD18" s="37" t="s">
        <v>20</v>
      </c>
      <c r="AE18" t="s">
        <v>67</v>
      </c>
      <c r="AF18">
        <f>BioD!D78</f>
        <v>0.11519999999999975</v>
      </c>
      <c r="AK18" s="60" t="s">
        <v>68</v>
      </c>
      <c r="AL18" s="61" t="s">
        <v>67</v>
      </c>
      <c r="AM18" s="61">
        <f>BioD!D84</f>
        <v>0.39529999999999976</v>
      </c>
      <c r="AN18" s="61"/>
      <c r="AO18" s="61"/>
      <c r="AP18" s="61"/>
    </row>
    <row r="19" spans="1:65" x14ac:dyDescent="0.2">
      <c r="A19" t="s">
        <v>69</v>
      </c>
      <c r="E19">
        <v>0.32252999999999998</v>
      </c>
      <c r="F19" s="50">
        <v>1.1932100000000001</v>
      </c>
      <c r="H19" t="s">
        <v>69</v>
      </c>
      <c r="L19" t="s">
        <v>64</v>
      </c>
      <c r="M19" s="65">
        <v>57.343020000000003</v>
      </c>
      <c r="O19" s="61" t="s">
        <v>69</v>
      </c>
      <c r="P19" s="61"/>
      <c r="Q19" s="61"/>
      <c r="R19" s="61"/>
      <c r="S19" s="61">
        <v>5.6488699999999996</v>
      </c>
      <c r="T19" s="61">
        <v>27.493849999999998</v>
      </c>
      <c r="W19" t="s">
        <v>69</v>
      </c>
      <c r="AA19" t="s">
        <v>64</v>
      </c>
      <c r="AB19" t="s">
        <v>64</v>
      </c>
      <c r="AD19" t="s">
        <v>69</v>
      </c>
      <c r="AH19" t="s">
        <v>64</v>
      </c>
      <c r="AI19" t="s">
        <v>64</v>
      </c>
      <c r="AK19" s="61" t="s">
        <v>69</v>
      </c>
      <c r="AL19" s="61"/>
      <c r="AM19" s="61"/>
      <c r="AN19" s="61"/>
      <c r="AO19" s="61" t="s">
        <v>64</v>
      </c>
      <c r="AP19" s="61" t="s">
        <v>64</v>
      </c>
    </row>
    <row r="20" spans="1:65" x14ac:dyDescent="0.2">
      <c r="A20" t="s">
        <v>70</v>
      </c>
      <c r="B20" t="s">
        <v>71</v>
      </c>
      <c r="C20" t="s">
        <v>72</v>
      </c>
      <c r="D20" s="2" t="s">
        <v>37</v>
      </c>
      <c r="E20" s="2" t="s">
        <v>38</v>
      </c>
      <c r="F20" s="2" t="s">
        <v>39</v>
      </c>
      <c r="G20" s="2"/>
      <c r="H20" s="2" t="s">
        <v>70</v>
      </c>
      <c r="I20" s="2" t="s">
        <v>71</v>
      </c>
      <c r="J20" s="2" t="s">
        <v>72</v>
      </c>
      <c r="K20" s="2" t="s">
        <v>37</v>
      </c>
      <c r="L20" s="2" t="s">
        <v>38</v>
      </c>
      <c r="M20" s="2" t="s">
        <v>39</v>
      </c>
      <c r="N20" s="2"/>
      <c r="O20" s="62" t="s">
        <v>70</v>
      </c>
      <c r="P20" s="62" t="s">
        <v>71</v>
      </c>
      <c r="Q20" s="62" t="s">
        <v>72</v>
      </c>
      <c r="R20" s="2" t="s">
        <v>37</v>
      </c>
      <c r="S20" s="62" t="s">
        <v>38</v>
      </c>
      <c r="T20" s="62" t="s">
        <v>39</v>
      </c>
      <c r="U20" s="2"/>
      <c r="W20" t="s">
        <v>70</v>
      </c>
      <c r="X20" t="s">
        <v>71</v>
      </c>
      <c r="Y20" t="s">
        <v>72</v>
      </c>
      <c r="Z20" t="s">
        <v>37</v>
      </c>
      <c r="AA20" t="s">
        <v>38</v>
      </c>
      <c r="AB20" t="s">
        <v>39</v>
      </c>
      <c r="AD20" t="s">
        <v>70</v>
      </c>
      <c r="AE20" t="s">
        <v>71</v>
      </c>
      <c r="AF20" t="s">
        <v>72</v>
      </c>
      <c r="AG20" t="s">
        <v>37</v>
      </c>
      <c r="AH20" t="s">
        <v>38</v>
      </c>
      <c r="AI20" t="s">
        <v>39</v>
      </c>
      <c r="AK20" s="61" t="s">
        <v>70</v>
      </c>
      <c r="AL20" s="61" t="s">
        <v>71</v>
      </c>
      <c r="AM20" s="61" t="s">
        <v>72</v>
      </c>
      <c r="AN20" t="s">
        <v>37</v>
      </c>
      <c r="AO20" s="61" t="s">
        <v>38</v>
      </c>
      <c r="AP20" s="61" t="s">
        <v>39</v>
      </c>
      <c r="BF20" s="40"/>
      <c r="BG20" s="40"/>
      <c r="BH20" s="40"/>
      <c r="BI20" s="40"/>
      <c r="BJ20" s="40"/>
      <c r="BK20" s="40"/>
      <c r="BL20" s="40"/>
      <c r="BM20" s="40"/>
    </row>
    <row r="21" spans="1:65" x14ac:dyDescent="0.2">
      <c r="A21" s="40">
        <v>43291.49119212963</v>
      </c>
      <c r="B21" s="50">
        <f>(A21-$B$12)*24</f>
        <v>0.55527777783572674</v>
      </c>
      <c r="C21">
        <v>205.62</v>
      </c>
      <c r="D21">
        <v>703.54</v>
      </c>
      <c r="E21" s="32">
        <f>(C21/$B$5)/$C$18</f>
        <v>0.18251362392954035</v>
      </c>
      <c r="F21" s="32">
        <f>(D21/$C$5)/$C$18</f>
        <v>0.7166516873652109</v>
      </c>
      <c r="G21" s="2"/>
      <c r="H21" s="40">
        <v>43291.492037037038</v>
      </c>
      <c r="I21" s="32">
        <f>(H21-$B$12)*24</f>
        <v>0.57555555563885719</v>
      </c>
      <c r="J21">
        <v>78544.17</v>
      </c>
      <c r="K21">
        <v>48152.43</v>
      </c>
      <c r="L21" s="32">
        <f>(J21/$B$5)/$J$18</f>
        <v>104.18339463249947</v>
      </c>
      <c r="M21" s="32">
        <f>(K21/$C$5)/$J$18</f>
        <v>73.298005559162306</v>
      </c>
      <c r="N21" s="2"/>
      <c r="O21" s="40">
        <v>43291.492893518516</v>
      </c>
      <c r="P21" s="32">
        <f>(O21-$B$12)*24</f>
        <v>0.59611111111007631</v>
      </c>
      <c r="Q21">
        <v>5679.68</v>
      </c>
      <c r="R21" s="61">
        <v>21631.91</v>
      </c>
      <c r="S21" s="32">
        <f>(Q21/$B$5)/$Q$18</f>
        <v>3.7238296848681189</v>
      </c>
      <c r="T21" s="32">
        <f>(R21/$C$5)/$Q$18</f>
        <v>16.276094736221051</v>
      </c>
      <c r="U21" s="2"/>
      <c r="W21" s="40">
        <v>43291.498865740738</v>
      </c>
      <c r="X21" s="50">
        <f>(W21-$B$12)*24</f>
        <v>0.73944444442167878</v>
      </c>
      <c r="Y21">
        <v>6.16</v>
      </c>
      <c r="Z21">
        <v>31.3</v>
      </c>
      <c r="AA21" s="32">
        <f>(Y21/$B$7)/$Y$18</f>
        <v>4.7167386299948452E-3</v>
      </c>
      <c r="AB21" s="32">
        <f>(Z21/$C$7)/$Y$18</f>
        <v>2.612196393847669E-2</v>
      </c>
      <c r="AD21" s="40">
        <v>43291.499988425923</v>
      </c>
      <c r="AE21" s="50">
        <f>(AD21-$B$12)*24</f>
        <v>0.76638888887828216</v>
      </c>
      <c r="AF21">
        <v>2141.9</v>
      </c>
      <c r="AG21">
        <v>1963.22</v>
      </c>
      <c r="AH21" s="32">
        <f>(AF21/$B$7)/$AF$18</f>
        <v>6.1886717910105871</v>
      </c>
      <c r="AI21" s="32">
        <f>(AG21/$C$7)/$AF$18</f>
        <v>6.1825497371485909</v>
      </c>
      <c r="AJ21" s="40"/>
      <c r="AK21" s="40">
        <v>43291.500844907408</v>
      </c>
      <c r="AL21" s="50">
        <f>(AK21-$B$12)*24</f>
        <v>0.78694444452412426</v>
      </c>
      <c r="AM21">
        <v>1071.96</v>
      </c>
      <c r="AN21">
        <v>1160.26</v>
      </c>
      <c r="AO21" s="32">
        <f>(AM21/$B$7)/$AM$18</f>
        <v>0.90261491360519075</v>
      </c>
      <c r="AP21" s="32">
        <f>(AN21/$C$7)/$AM$18</f>
        <v>1.0648284205640726</v>
      </c>
    </row>
    <row r="22" spans="1:65" x14ac:dyDescent="0.2">
      <c r="A22" s="40">
        <v>43291.507523148146</v>
      </c>
      <c r="B22" s="50">
        <f t="shared" ref="B22:B75" si="0">(A22-$B$12)*24</f>
        <v>0.94722222222480923</v>
      </c>
      <c r="C22">
        <v>157.12</v>
      </c>
      <c r="D22">
        <v>546.46</v>
      </c>
      <c r="E22" s="32">
        <f t="shared" ref="E22:E42" si="1">(C22/$B$5)/$C$18</f>
        <v>0.13946377099411233</v>
      </c>
      <c r="F22" s="32">
        <f t="shared" ref="F22:F42" si="2">(D22/$C$5)/$C$18</f>
        <v>0.55664422929413138</v>
      </c>
      <c r="G22" s="2"/>
      <c r="H22" s="40">
        <v>43291.508379629631</v>
      </c>
      <c r="I22" s="32">
        <f t="shared" ref="I22:I75" si="3">(H22-$B$12)*24</f>
        <v>0.96777777787065133</v>
      </c>
      <c r="J22">
        <v>79883.17</v>
      </c>
      <c r="K22">
        <v>53811.38</v>
      </c>
      <c r="L22" s="32">
        <f t="shared" ref="L22:L42" si="4">(J22/$B$5)/$J$18</f>
        <v>105.9594852756741</v>
      </c>
      <c r="M22" s="32">
        <f t="shared" ref="M22:M42" si="5">(K22/$C$5)/$J$18</f>
        <v>81.912103509338905</v>
      </c>
      <c r="N22" s="2"/>
      <c r="O22" s="40">
        <v>43291.509236111109</v>
      </c>
      <c r="P22" s="32">
        <f t="shared" ref="P22:P75" si="6">(O22-$B$12)*24</f>
        <v>0.98833333334187046</v>
      </c>
      <c r="Q22">
        <v>4301.74</v>
      </c>
      <c r="R22" s="61">
        <v>15566.57</v>
      </c>
      <c r="S22" s="32">
        <f t="shared" ref="S22:S42" si="7">(Q22/$B$5)/$Q$18</f>
        <v>2.8203960625571476</v>
      </c>
      <c r="T22" s="32">
        <f t="shared" ref="T22:T42" si="8">(R22/$C$5)/$Q$18</f>
        <v>11.712464042149609</v>
      </c>
      <c r="U22" s="2"/>
      <c r="W22" s="40">
        <v>43291.515208333331</v>
      </c>
      <c r="X22" s="50">
        <f t="shared" ref="X22:X75" si="9">(W22-$B$12)*24</f>
        <v>1.1316666666534729</v>
      </c>
      <c r="Y22">
        <v>0</v>
      </c>
      <c r="Z22">
        <v>23.19</v>
      </c>
      <c r="AA22" s="32">
        <f t="shared" ref="AA22:AA75" si="10">(Y22/$B$7)/$Y$18</f>
        <v>0</v>
      </c>
      <c r="AB22" s="32">
        <f t="shared" ref="AB22:AB75" si="11">(Z22/$C$7)/$Y$18</f>
        <v>1.9353621205535926E-2</v>
      </c>
      <c r="AD22" s="40">
        <v>43291.516597222224</v>
      </c>
      <c r="AE22" s="50">
        <f t="shared" ref="AE22:AE75" si="12">(AD22-$B$12)*24</f>
        <v>1.1650000000954606</v>
      </c>
      <c r="AF22">
        <v>2238.5300000000002</v>
      </c>
      <c r="AG22">
        <v>2078.2600000000002</v>
      </c>
      <c r="AH22" s="32">
        <f t="shared" ref="AH22:AH75" si="13">(AF22/$B$7)/$AF$18</f>
        <v>6.4678684646019571</v>
      </c>
      <c r="AI22" s="32">
        <f t="shared" ref="AI22:AI75" si="14">(AG22/$C$7)/$AF$18</f>
        <v>6.5448323757533196</v>
      </c>
      <c r="AK22" s="40">
        <v>43291.517442129632</v>
      </c>
      <c r="AL22" s="50">
        <f t="shared" ref="AL22:AL75" si="15">(AK22-$B$12)*24</f>
        <v>1.185277777898591</v>
      </c>
      <c r="AM22">
        <v>1041.95</v>
      </c>
      <c r="AN22">
        <v>1106.7</v>
      </c>
      <c r="AO22" s="32">
        <f t="shared" ref="AO22:AO42" si="16">(AM22/$B$7)/$AM$18</f>
        <v>0.87734580509620541</v>
      </c>
      <c r="AP22" s="32">
        <f t="shared" ref="AP22:AP42" si="17">(AN22/$C$7)/$AM$18</f>
        <v>1.0156737395396369</v>
      </c>
    </row>
    <row r="23" spans="1:65" x14ac:dyDescent="0.2">
      <c r="A23" s="40">
        <v>43291.523831018516</v>
      </c>
      <c r="B23" s="50">
        <f t="shared" si="0"/>
        <v>1.3386111111030914</v>
      </c>
      <c r="C23">
        <v>132.09</v>
      </c>
      <c r="D23">
        <v>339.45</v>
      </c>
      <c r="E23" s="32">
        <f t="shared" si="1"/>
        <v>0.1172464963760966</v>
      </c>
      <c r="F23" s="32">
        <f t="shared" si="2"/>
        <v>0.34577623912801098</v>
      </c>
      <c r="G23" s="2"/>
      <c r="H23" s="40">
        <v>43291.524687500001</v>
      </c>
      <c r="I23" s="32">
        <f t="shared" si="3"/>
        <v>1.3591666667489335</v>
      </c>
      <c r="J23">
        <v>80998.14</v>
      </c>
      <c r="K23">
        <v>57994.03</v>
      </c>
      <c r="L23" s="32">
        <f t="shared" si="4"/>
        <v>107.43841565985663</v>
      </c>
      <c r="M23" s="32">
        <f t="shared" si="5"/>
        <v>88.278966052974397</v>
      </c>
      <c r="N23" s="2"/>
      <c r="O23" s="40">
        <v>43291.525543981479</v>
      </c>
      <c r="P23" s="32">
        <f t="shared" si="6"/>
        <v>1.3797222222201526</v>
      </c>
      <c r="Q23">
        <v>3539.83</v>
      </c>
      <c r="R23" s="61">
        <v>11283.67</v>
      </c>
      <c r="S23" s="32">
        <f t="shared" si="7"/>
        <v>2.3208568147125739</v>
      </c>
      <c r="T23" s="32">
        <f t="shared" si="8"/>
        <v>8.489961445487495</v>
      </c>
      <c r="U23" s="2"/>
      <c r="W23" s="40">
        <v>43291.5315162037</v>
      </c>
      <c r="X23" s="50">
        <f t="shared" si="9"/>
        <v>1.5230555555317551</v>
      </c>
      <c r="Y23">
        <v>0</v>
      </c>
      <c r="Z23">
        <v>8.8699999999999992</v>
      </c>
      <c r="AA23" s="32">
        <f t="shared" si="10"/>
        <v>0</v>
      </c>
      <c r="AB23" s="32">
        <f t="shared" si="11"/>
        <v>7.4026140617983452E-3</v>
      </c>
      <c r="AD23" s="40">
        <v>43291.533043981479</v>
      </c>
      <c r="AE23" s="50">
        <f t="shared" si="12"/>
        <v>1.5597222222131677</v>
      </c>
      <c r="AF23">
        <v>2177.52</v>
      </c>
      <c r="AG23">
        <v>2079.36</v>
      </c>
      <c r="AH23" s="32">
        <f t="shared" si="13"/>
        <v>6.2915899894305864</v>
      </c>
      <c r="AI23" s="32">
        <f t="shared" si="14"/>
        <v>6.5482964830417858</v>
      </c>
      <c r="AK23" s="40">
        <v>43291.533888888887</v>
      </c>
      <c r="AL23" s="50">
        <f t="shared" si="15"/>
        <v>1.5800000000162981</v>
      </c>
      <c r="AM23">
        <v>1038.77</v>
      </c>
      <c r="AN23">
        <v>1065.75</v>
      </c>
      <c r="AO23" s="32">
        <f t="shared" si="16"/>
        <v>0.87466817213857218</v>
      </c>
      <c r="AP23" s="32">
        <f t="shared" si="17"/>
        <v>0.97809188390202217</v>
      </c>
      <c r="BF23" s="40"/>
      <c r="BG23" s="40"/>
      <c r="BH23" s="40"/>
      <c r="BI23" s="40"/>
      <c r="BJ23" s="40"/>
      <c r="BK23" s="40"/>
      <c r="BL23" s="40"/>
      <c r="BM23" s="40"/>
    </row>
    <row r="24" spans="1:65" x14ac:dyDescent="0.2">
      <c r="A24" s="40">
        <v>43291.540405092594</v>
      </c>
      <c r="B24" s="50">
        <f t="shared" si="0"/>
        <v>1.7363888889667578</v>
      </c>
      <c r="C24">
        <v>112.59</v>
      </c>
      <c r="D24">
        <v>261.56</v>
      </c>
      <c r="E24" s="32">
        <f t="shared" si="1"/>
        <v>9.9937792618553373E-2</v>
      </c>
      <c r="F24" s="32">
        <f t="shared" si="2"/>
        <v>0.26643462396913409</v>
      </c>
      <c r="G24" s="2"/>
      <c r="H24" s="40">
        <v>43291.541250000002</v>
      </c>
      <c r="I24" s="32">
        <f t="shared" si="3"/>
        <v>1.7566666667698883</v>
      </c>
      <c r="J24">
        <v>81487.8</v>
      </c>
      <c r="K24">
        <v>61117.09</v>
      </c>
      <c r="L24" s="32">
        <f t="shared" si="4"/>
        <v>108.08791569296858</v>
      </c>
      <c r="M24" s="32">
        <f t="shared" si="5"/>
        <v>93.032912411270274</v>
      </c>
      <c r="N24" s="2"/>
      <c r="O24" s="40">
        <v>43291.54210648148</v>
      </c>
      <c r="P24" s="32">
        <f t="shared" si="6"/>
        <v>1.7772222222411074</v>
      </c>
      <c r="Q24">
        <v>2990.23</v>
      </c>
      <c r="R24" s="61">
        <v>8345.2999999999993</v>
      </c>
      <c r="S24" s="32">
        <f t="shared" si="7"/>
        <v>1.9605166556184845</v>
      </c>
      <c r="T24" s="32">
        <f t="shared" si="8"/>
        <v>6.2790984893236672</v>
      </c>
      <c r="U24" s="2"/>
      <c r="W24" s="40">
        <v>43291.548090277778</v>
      </c>
      <c r="X24" s="50">
        <f t="shared" si="9"/>
        <v>1.9208333333954215</v>
      </c>
      <c r="Y24">
        <v>23.17</v>
      </c>
      <c r="Z24">
        <v>16.03</v>
      </c>
      <c r="AA24" s="32">
        <f t="shared" si="10"/>
        <v>1.7741369165094251E-2</v>
      </c>
      <c r="AB24" s="32">
        <f t="shared" si="11"/>
        <v>1.3378117633667138E-2</v>
      </c>
      <c r="AD24" s="40">
        <v>43291.549456018518</v>
      </c>
      <c r="AE24" s="50">
        <f t="shared" si="12"/>
        <v>1.9536111111519858</v>
      </c>
      <c r="AF24">
        <v>2124.04</v>
      </c>
      <c r="AG24">
        <v>2138.81</v>
      </c>
      <c r="AH24" s="32">
        <f t="shared" si="13"/>
        <v>6.1370682249302613</v>
      </c>
      <c r="AI24" s="32">
        <f t="shared" si="14"/>
        <v>6.7355157360411866</v>
      </c>
      <c r="AK24" s="40">
        <v>43291.550312500003</v>
      </c>
      <c r="AL24" s="50">
        <f t="shared" si="15"/>
        <v>1.9741666667978279</v>
      </c>
      <c r="AM24">
        <v>1081.49</v>
      </c>
      <c r="AN24">
        <v>1067.82</v>
      </c>
      <c r="AO24" s="32">
        <f t="shared" si="16"/>
        <v>0.91063939224866375</v>
      </c>
      <c r="AP24" s="32">
        <f t="shared" si="17"/>
        <v>0.97999162605513235</v>
      </c>
    </row>
    <row r="25" spans="1:65" x14ac:dyDescent="0.2">
      <c r="A25" s="40">
        <v>43291.55672453704</v>
      </c>
      <c r="B25" s="50">
        <f t="shared" si="0"/>
        <v>2.1280555556877516</v>
      </c>
      <c r="C25">
        <v>115.07</v>
      </c>
      <c r="D25">
        <v>245.04</v>
      </c>
      <c r="E25" s="32">
        <f t="shared" si="1"/>
        <v>0.10213910468617937</v>
      </c>
      <c r="F25" s="32">
        <f t="shared" si="2"/>
        <v>0.24960674513456416</v>
      </c>
      <c r="G25" s="2"/>
      <c r="H25" s="40">
        <v>43291.557581018518</v>
      </c>
      <c r="I25" s="32">
        <f t="shared" si="3"/>
        <v>2.1486111111589707</v>
      </c>
      <c r="J25">
        <v>82249.16</v>
      </c>
      <c r="K25">
        <v>62148.86</v>
      </c>
      <c r="L25" s="32">
        <f t="shared" si="4"/>
        <v>109.09780693425867</v>
      </c>
      <c r="M25" s="32">
        <f t="shared" si="5"/>
        <v>94.603480775022163</v>
      </c>
      <c r="N25" s="2"/>
      <c r="O25" s="40">
        <v>43291.558425925927</v>
      </c>
      <c r="P25" s="32">
        <f t="shared" si="6"/>
        <v>2.1688888889621012</v>
      </c>
      <c r="Q25">
        <v>2510.61</v>
      </c>
      <c r="R25" s="61">
        <v>6216.37</v>
      </c>
      <c r="S25" s="32">
        <f t="shared" si="7"/>
        <v>1.6460582365778966</v>
      </c>
      <c r="T25" s="32">
        <f t="shared" si="8"/>
        <v>4.6772673811698766</v>
      </c>
      <c r="U25" s="2"/>
      <c r="W25" s="40">
        <v>43291.564409722225</v>
      </c>
      <c r="X25" s="50">
        <f t="shared" si="9"/>
        <v>2.3125000001164153</v>
      </c>
      <c r="Y25">
        <v>16.190000000000001</v>
      </c>
      <c r="Z25">
        <v>2.46</v>
      </c>
      <c r="AA25" s="32">
        <f t="shared" si="10"/>
        <v>1.2396752990197492E-2</v>
      </c>
      <c r="AB25" s="32">
        <f t="shared" si="11"/>
        <v>2.0530361434074333E-3</v>
      </c>
      <c r="AD25" s="40">
        <v>43291.56554398148</v>
      </c>
      <c r="AE25" s="50">
        <f t="shared" si="12"/>
        <v>2.3397222222411074</v>
      </c>
      <c r="AF25">
        <v>2077.46</v>
      </c>
      <c r="AG25">
        <v>2189.9499999999998</v>
      </c>
      <c r="AH25" s="32">
        <f t="shared" si="13"/>
        <v>6.0024828885348773</v>
      </c>
      <c r="AI25" s="32">
        <f t="shared" si="14"/>
        <v>6.8965652330704437</v>
      </c>
      <c r="AK25" s="40">
        <v>43291.566400462965</v>
      </c>
      <c r="AL25" s="50">
        <f t="shared" si="15"/>
        <v>2.3602777778869495</v>
      </c>
      <c r="AM25">
        <v>1037.67</v>
      </c>
      <c r="AN25">
        <v>1058.3</v>
      </c>
      <c r="AO25" s="32">
        <f t="shared" si="16"/>
        <v>0.87374194690165508</v>
      </c>
      <c r="AP25" s="32">
        <f t="shared" si="17"/>
        <v>0.9712546476504903</v>
      </c>
    </row>
    <row r="26" spans="1:65" x14ac:dyDescent="0.2">
      <c r="A26" s="40">
        <v>43291.572662037041</v>
      </c>
      <c r="B26" s="50">
        <f t="shared" si="0"/>
        <v>2.5105555556947365</v>
      </c>
      <c r="C26">
        <v>79.16</v>
      </c>
      <c r="D26">
        <v>154.66999999999999</v>
      </c>
      <c r="E26" s="32">
        <f t="shared" si="1"/>
        <v>7.0264460997288267E-2</v>
      </c>
      <c r="F26" s="32">
        <f t="shared" si="2"/>
        <v>0.15755254354376036</v>
      </c>
      <c r="G26" s="2"/>
      <c r="H26" s="40">
        <v>43291.573518518519</v>
      </c>
      <c r="I26" s="32">
        <f t="shared" si="3"/>
        <v>2.5311111111659557</v>
      </c>
      <c r="J26">
        <v>83117.02</v>
      </c>
      <c r="K26">
        <v>64651.28</v>
      </c>
      <c r="L26" s="32">
        <f t="shared" si="4"/>
        <v>110.24896303999842</v>
      </c>
      <c r="M26" s="32">
        <f t="shared" si="5"/>
        <v>98.412684071124943</v>
      </c>
      <c r="N26" s="2"/>
      <c r="O26" s="40">
        <v>43291.574374999997</v>
      </c>
      <c r="P26" s="32">
        <f t="shared" si="6"/>
        <v>2.5516666666371748</v>
      </c>
      <c r="Q26">
        <v>2309.54</v>
      </c>
      <c r="R26" s="61">
        <v>4860.55</v>
      </c>
      <c r="S26" s="32">
        <f t="shared" si="7"/>
        <v>1.5142285499165999</v>
      </c>
      <c r="T26" s="32">
        <f t="shared" si="8"/>
        <v>3.6571330164622187</v>
      </c>
      <c r="U26" s="2"/>
      <c r="W26" s="40">
        <v>43291.580347222225</v>
      </c>
      <c r="X26" s="50">
        <f t="shared" si="9"/>
        <v>2.6950000001234002</v>
      </c>
      <c r="Y26">
        <v>3.2</v>
      </c>
      <c r="Z26">
        <v>12.46</v>
      </c>
      <c r="AA26" s="32">
        <f t="shared" si="10"/>
        <v>2.4502538337635559E-3</v>
      </c>
      <c r="AB26" s="32">
        <f t="shared" si="11"/>
        <v>1.0398711523112447E-2</v>
      </c>
      <c r="AD26" s="40">
        <v>43291.581863425927</v>
      </c>
      <c r="AE26" s="50">
        <f t="shared" si="12"/>
        <v>2.7313888889621012</v>
      </c>
      <c r="AF26">
        <v>2242.54</v>
      </c>
      <c r="AG26">
        <v>2076.83</v>
      </c>
      <c r="AH26" s="32">
        <f t="shared" si="13"/>
        <v>6.4794547076020743</v>
      </c>
      <c r="AI26" s="32">
        <f t="shared" si="14"/>
        <v>6.5403290362783117</v>
      </c>
      <c r="AK26" s="40">
        <v>43291.582719907405</v>
      </c>
      <c r="AL26" s="50">
        <f t="shared" si="15"/>
        <v>2.7519444444333203</v>
      </c>
      <c r="AM26">
        <v>1070.53</v>
      </c>
      <c r="AN26">
        <v>1098.8499999999999</v>
      </c>
      <c r="AO26" s="32">
        <f t="shared" si="16"/>
        <v>0.90141082079719836</v>
      </c>
      <c r="AP26" s="32">
        <f t="shared" si="17"/>
        <v>1.0084694033551367</v>
      </c>
      <c r="BF26" s="40"/>
      <c r="BG26" s="40"/>
      <c r="BH26" s="40"/>
      <c r="BI26" s="40"/>
      <c r="BJ26" s="40"/>
      <c r="BK26" s="40"/>
      <c r="BL26" s="40"/>
      <c r="BM26" s="40"/>
    </row>
    <row r="27" spans="1:65" x14ac:dyDescent="0.2">
      <c r="A27" s="40">
        <v>43291.589120370372</v>
      </c>
      <c r="B27" s="50">
        <f t="shared" si="0"/>
        <v>2.9055555556551553</v>
      </c>
      <c r="C27">
        <v>71.13</v>
      </c>
      <c r="D27">
        <v>127.61</v>
      </c>
      <c r="E27" s="32">
        <f t="shared" si="1"/>
        <v>6.3136825552515333E-2</v>
      </c>
      <c r="F27" s="32">
        <f t="shared" si="2"/>
        <v>0.12998823353991892</v>
      </c>
      <c r="G27" s="2"/>
      <c r="H27" s="40">
        <v>43291.58997685185</v>
      </c>
      <c r="I27" s="32">
        <f t="shared" si="3"/>
        <v>2.9261111111263745</v>
      </c>
      <c r="J27">
        <v>82874.05</v>
      </c>
      <c r="K27">
        <v>65697.58</v>
      </c>
      <c r="L27" s="32">
        <f t="shared" si="4"/>
        <v>109.92668018445538</v>
      </c>
      <c r="M27" s="32">
        <f t="shared" si="5"/>
        <v>100.00537011451989</v>
      </c>
      <c r="N27" s="2"/>
      <c r="O27" s="40">
        <v>43291.590833333335</v>
      </c>
      <c r="P27" s="32">
        <f t="shared" si="6"/>
        <v>2.9466666667722166</v>
      </c>
      <c r="Q27">
        <v>2100.89</v>
      </c>
      <c r="R27" s="61">
        <v>3777.32</v>
      </c>
      <c r="S27" s="32">
        <f t="shared" si="7"/>
        <v>1.3774291063303885</v>
      </c>
      <c r="T27" s="32">
        <f t="shared" si="8"/>
        <v>2.8420984632897652</v>
      </c>
      <c r="U27" s="2"/>
      <c r="W27" s="40">
        <v>43291.596805555557</v>
      </c>
      <c r="X27" s="50">
        <f t="shared" si="9"/>
        <v>3.090000000083819</v>
      </c>
      <c r="Y27">
        <v>0.17</v>
      </c>
      <c r="Z27">
        <v>6.28</v>
      </c>
      <c r="AA27" s="32">
        <f t="shared" si="10"/>
        <v>1.3016973491868891E-4</v>
      </c>
      <c r="AB27" s="32">
        <f t="shared" si="11"/>
        <v>5.2410841384547477E-3</v>
      </c>
      <c r="AD27" s="40">
        <v>43291.598229166666</v>
      </c>
      <c r="AE27" s="50">
        <f t="shared" si="12"/>
        <v>3.1241666667046957</v>
      </c>
      <c r="AF27">
        <v>2145.66</v>
      </c>
      <c r="AG27">
        <v>2299.02</v>
      </c>
      <c r="AH27" s="32">
        <f t="shared" si="13"/>
        <v>6.1995356996590756</v>
      </c>
      <c r="AI27" s="32">
        <f t="shared" si="14"/>
        <v>7.2400472166641308</v>
      </c>
      <c r="AK27" s="40">
        <v>43291.599085648151</v>
      </c>
      <c r="AL27" s="50">
        <f t="shared" si="15"/>
        <v>3.1447222223505378</v>
      </c>
      <c r="AM27">
        <v>1088.53</v>
      </c>
      <c r="AN27">
        <v>1095.8</v>
      </c>
      <c r="AO27" s="32">
        <f t="shared" si="16"/>
        <v>0.91656723376493354</v>
      </c>
      <c r="AP27" s="32">
        <f t="shared" si="17"/>
        <v>1.0056702663662547</v>
      </c>
    </row>
    <row r="28" spans="1:65" x14ac:dyDescent="0.2">
      <c r="A28" s="40">
        <v>43291.605636574073</v>
      </c>
      <c r="B28" s="50">
        <f t="shared" si="0"/>
        <v>3.3019444444798864</v>
      </c>
      <c r="C28">
        <v>88.61</v>
      </c>
      <c r="D28">
        <v>101.37</v>
      </c>
      <c r="E28" s="32">
        <f t="shared" si="1"/>
        <v>7.8652525125943826E-2</v>
      </c>
      <c r="F28" s="32">
        <f t="shared" si="2"/>
        <v>0.10325920565740603</v>
      </c>
      <c r="G28" s="2"/>
      <c r="H28" s="40">
        <v>43291.606481481482</v>
      </c>
      <c r="I28" s="32">
        <f t="shared" si="3"/>
        <v>3.3222222222830169</v>
      </c>
      <c r="J28">
        <v>83018.67</v>
      </c>
      <c r="K28">
        <v>66539.5</v>
      </c>
      <c r="L28" s="32">
        <f t="shared" si="4"/>
        <v>110.11850858536343</v>
      </c>
      <c r="M28" s="32">
        <f t="shared" si="5"/>
        <v>101.28694732340364</v>
      </c>
      <c r="N28" s="2"/>
      <c r="O28" s="40">
        <v>43291.60733796296</v>
      </c>
      <c r="P28" s="32">
        <f t="shared" si="6"/>
        <v>3.342777777754236</v>
      </c>
      <c r="Q28">
        <v>1911.33</v>
      </c>
      <c r="R28" s="61">
        <v>3056.48</v>
      </c>
      <c r="S28" s="32">
        <f t="shared" si="7"/>
        <v>1.2531458447622017</v>
      </c>
      <c r="T28" s="32">
        <f t="shared" si="8"/>
        <v>2.2997302614223578</v>
      </c>
      <c r="U28" s="2"/>
      <c r="W28" s="40">
        <v>43291.613310185188</v>
      </c>
      <c r="X28" s="50">
        <f t="shared" si="9"/>
        <v>3.4861111112404615</v>
      </c>
      <c r="Y28">
        <v>38.17</v>
      </c>
      <c r="Z28">
        <v>6.04</v>
      </c>
      <c r="AA28" s="32">
        <f t="shared" si="10"/>
        <v>2.9226934010860919E-2</v>
      </c>
      <c r="AB28" s="32">
        <f t="shared" si="11"/>
        <v>5.040787929341828E-3</v>
      </c>
      <c r="AD28" s="40">
        <v>43291.614722222221</v>
      </c>
      <c r="AE28" s="50">
        <f t="shared" si="12"/>
        <v>3.5200000000186265</v>
      </c>
      <c r="AF28">
        <v>2209.77</v>
      </c>
      <c r="AG28">
        <v>2154.85</v>
      </c>
      <c r="AH28" s="32">
        <f t="shared" si="13"/>
        <v>6.3847711207906359</v>
      </c>
      <c r="AI28" s="32">
        <f t="shared" si="14"/>
        <v>6.7860287186839177</v>
      </c>
      <c r="AK28" s="40">
        <v>43291.615578703706</v>
      </c>
      <c r="AL28" s="50">
        <f t="shared" si="15"/>
        <v>3.5405555556644686</v>
      </c>
      <c r="AM28">
        <v>1010.97</v>
      </c>
      <c r="AN28">
        <v>1065.1400000000001</v>
      </c>
      <c r="AO28" s="32">
        <f t="shared" si="16"/>
        <v>0.85125993433284786</v>
      </c>
      <c r="AP28" s="32">
        <f t="shared" si="17"/>
        <v>0.97753205650424579</v>
      </c>
    </row>
    <row r="29" spans="1:65" x14ac:dyDescent="0.2">
      <c r="A29" s="40">
        <v>43291.622129629628</v>
      </c>
      <c r="B29" s="50">
        <f t="shared" si="0"/>
        <v>3.6977777777938172</v>
      </c>
      <c r="C29">
        <v>87.64</v>
      </c>
      <c r="D29">
        <v>107.42</v>
      </c>
      <c r="E29" s="32">
        <f t="shared" si="1"/>
        <v>7.7791528067235272E-2</v>
      </c>
      <c r="F29" s="32">
        <f t="shared" si="2"/>
        <v>0.10942195789403723</v>
      </c>
      <c r="G29" s="2"/>
      <c r="H29" s="40">
        <v>43291.622974537036</v>
      </c>
      <c r="I29" s="32">
        <f t="shared" si="3"/>
        <v>3.7180555555969477</v>
      </c>
      <c r="J29">
        <v>83114.320000000007</v>
      </c>
      <c r="K29">
        <v>66509.42</v>
      </c>
      <c r="L29" s="32">
        <f t="shared" si="4"/>
        <v>110.24538167723773</v>
      </c>
      <c r="M29" s="32">
        <f t="shared" si="5"/>
        <v>101.24115931213983</v>
      </c>
      <c r="N29" s="2"/>
      <c r="O29" s="40">
        <v>43291.623831018522</v>
      </c>
      <c r="P29" s="32">
        <f t="shared" si="6"/>
        <v>3.7386111112427898</v>
      </c>
      <c r="Q29">
        <v>1895.19</v>
      </c>
      <c r="R29" s="61">
        <v>2573.96</v>
      </c>
      <c r="S29" s="32">
        <f t="shared" si="7"/>
        <v>1.2425638029722115</v>
      </c>
      <c r="T29" s="32">
        <f t="shared" si="8"/>
        <v>1.9366767339196371</v>
      </c>
      <c r="U29" s="2"/>
      <c r="W29" s="40">
        <v>43291.629803240743</v>
      </c>
      <c r="X29" s="50">
        <f t="shared" si="9"/>
        <v>3.8819444445543922</v>
      </c>
      <c r="Y29">
        <v>3.17</v>
      </c>
      <c r="Z29">
        <v>0</v>
      </c>
      <c r="AA29" s="32">
        <f t="shared" si="10"/>
        <v>2.4272827040720231E-3</v>
      </c>
      <c r="AB29" s="32">
        <f t="shared" si="11"/>
        <v>0</v>
      </c>
      <c r="AD29" s="40">
        <v>43291.631215277775</v>
      </c>
      <c r="AE29" s="50">
        <f t="shared" si="12"/>
        <v>3.9158333333325572</v>
      </c>
      <c r="AF29">
        <v>2098.13</v>
      </c>
      <c r="AG29">
        <v>2172.34</v>
      </c>
      <c r="AH29" s="32">
        <f t="shared" si="13"/>
        <v>6.0622054927275055</v>
      </c>
      <c r="AI29" s="32">
        <f t="shared" si="14"/>
        <v>6.8411080245705378</v>
      </c>
      <c r="AK29" s="40">
        <v>43291.632071759261</v>
      </c>
      <c r="AL29" s="50">
        <f t="shared" si="15"/>
        <v>3.9363888889783993</v>
      </c>
      <c r="AM29">
        <v>1036.52</v>
      </c>
      <c r="AN29">
        <v>1061.44</v>
      </c>
      <c r="AO29" s="32">
        <f t="shared" si="16"/>
        <v>0.87277362051760521</v>
      </c>
      <c r="AP29" s="32">
        <f t="shared" si="17"/>
        <v>0.97413638212429032</v>
      </c>
      <c r="BF29" s="40"/>
      <c r="BG29" s="40"/>
      <c r="BH29" s="40"/>
      <c r="BI29" s="40"/>
      <c r="BJ29" s="40"/>
      <c r="BK29" s="40"/>
      <c r="BL29" s="40"/>
      <c r="BM29" s="40"/>
    </row>
    <row r="30" spans="1:65" x14ac:dyDescent="0.2">
      <c r="A30" s="40">
        <v>43291.638611111113</v>
      </c>
      <c r="B30" s="50">
        <f t="shared" si="0"/>
        <v>4.0933333334396593</v>
      </c>
      <c r="C30">
        <v>83.09</v>
      </c>
      <c r="D30">
        <v>102.35</v>
      </c>
      <c r="E30" s="32">
        <f t="shared" si="1"/>
        <v>7.3752830523808516E-2</v>
      </c>
      <c r="F30" s="32">
        <f t="shared" si="2"/>
        <v>0.10425746965606693</v>
      </c>
      <c r="G30" s="2"/>
      <c r="H30" s="40">
        <v>43291.639467592591</v>
      </c>
      <c r="I30" s="32">
        <f t="shared" si="3"/>
        <v>4.1138888889108784</v>
      </c>
      <c r="J30">
        <v>83214.42</v>
      </c>
      <c r="K30">
        <v>67069.210000000006</v>
      </c>
      <c r="L30" s="32">
        <f t="shared" si="4"/>
        <v>110.37815738551387</v>
      </c>
      <c r="M30" s="32">
        <f t="shared" si="5"/>
        <v>102.09327602840865</v>
      </c>
      <c r="N30" s="2"/>
      <c r="O30" s="40">
        <v>43291.640324074076</v>
      </c>
      <c r="P30" s="32">
        <f t="shared" si="6"/>
        <v>4.1344444445567206</v>
      </c>
      <c r="Q30">
        <v>1680.77</v>
      </c>
      <c r="R30" s="61">
        <v>2135.58</v>
      </c>
      <c r="S30" s="32">
        <f t="shared" si="7"/>
        <v>1.1019813122281163</v>
      </c>
      <c r="T30" s="32">
        <f t="shared" si="8"/>
        <v>1.6068346436712686</v>
      </c>
      <c r="U30" s="2"/>
      <c r="W30" s="40">
        <v>43291.646296296298</v>
      </c>
      <c r="X30" s="50">
        <f t="shared" si="9"/>
        <v>4.277777777868323</v>
      </c>
      <c r="Y30">
        <v>40.18</v>
      </c>
      <c r="Z30">
        <v>6.5</v>
      </c>
      <c r="AA30" s="32">
        <f t="shared" si="10"/>
        <v>3.0765999700193648E-2</v>
      </c>
      <c r="AB30" s="32">
        <f t="shared" si="11"/>
        <v>5.4246889968082579E-3</v>
      </c>
      <c r="AD30" s="40">
        <v>43291.64770833333</v>
      </c>
      <c r="AE30" s="50">
        <f t="shared" si="12"/>
        <v>4.311666666646488</v>
      </c>
      <c r="AF30">
        <v>2267.11</v>
      </c>
      <c r="AG30">
        <v>2217.56</v>
      </c>
      <c r="AH30" s="32">
        <f t="shared" si="13"/>
        <v>6.5504457276801027</v>
      </c>
      <c r="AI30" s="32">
        <f t="shared" si="14"/>
        <v>6.9835143260109556</v>
      </c>
      <c r="AK30" s="40">
        <v>43291.648564814815</v>
      </c>
      <c r="AL30" s="50">
        <f t="shared" si="15"/>
        <v>4.3322222222923301</v>
      </c>
      <c r="AM30">
        <v>1024.7</v>
      </c>
      <c r="AN30">
        <v>1026.6199999999999</v>
      </c>
      <c r="AO30" s="32">
        <f t="shared" si="16"/>
        <v>0.8628209093354593</v>
      </c>
      <c r="AP30" s="32">
        <f t="shared" si="17"/>
        <v>0.9421803329594125</v>
      </c>
    </row>
    <row r="31" spans="1:65" x14ac:dyDescent="0.2">
      <c r="A31" s="40">
        <v>43291.655115740738</v>
      </c>
      <c r="B31" s="50">
        <f t="shared" si="0"/>
        <v>4.4894444444216788</v>
      </c>
      <c r="C31">
        <v>119.61</v>
      </c>
      <c r="D31">
        <v>72.11</v>
      </c>
      <c r="E31" s="32">
        <f t="shared" si="1"/>
        <v>0.10616892597126894</v>
      </c>
      <c r="F31" s="32">
        <f t="shared" si="2"/>
        <v>7.3453894840244144E-2</v>
      </c>
      <c r="G31" s="2"/>
      <c r="H31" s="40">
        <v>43291.655972222223</v>
      </c>
      <c r="I31" s="32">
        <f t="shared" si="3"/>
        <v>4.5100000000675209</v>
      </c>
      <c r="J31">
        <v>83023.490000000005</v>
      </c>
      <c r="K31">
        <v>66883.98</v>
      </c>
      <c r="L31" s="32">
        <f t="shared" si="4"/>
        <v>110.12490198110662</v>
      </c>
      <c r="M31" s="32">
        <f t="shared" si="5"/>
        <v>101.81131747367476</v>
      </c>
      <c r="N31" s="2"/>
      <c r="O31" s="40">
        <v>43291.656828703701</v>
      </c>
      <c r="P31" s="32">
        <f t="shared" si="6"/>
        <v>4.53055555553874</v>
      </c>
      <c r="Q31">
        <v>1725.43</v>
      </c>
      <c r="R31" s="61">
        <v>1869.11</v>
      </c>
      <c r="S31" s="32">
        <f t="shared" si="7"/>
        <v>1.1312622283582874</v>
      </c>
      <c r="T31" s="32">
        <f t="shared" si="8"/>
        <v>1.4063395896348554</v>
      </c>
      <c r="U31" s="2"/>
      <c r="W31" s="40">
        <v>43291.662800925929</v>
      </c>
      <c r="X31" s="50">
        <f t="shared" si="9"/>
        <v>4.6738888890249655</v>
      </c>
      <c r="Y31">
        <v>37.67</v>
      </c>
      <c r="Z31">
        <v>0.53</v>
      </c>
      <c r="AA31" s="32">
        <f t="shared" si="10"/>
        <v>2.8844081849335363E-2</v>
      </c>
      <c r="AB31" s="32">
        <f t="shared" si="11"/>
        <v>4.4232079512436572E-4</v>
      </c>
      <c r="AD31" s="40">
        <v>43291.664201388892</v>
      </c>
      <c r="AE31" s="50">
        <f t="shared" si="12"/>
        <v>4.7075000001350418</v>
      </c>
      <c r="AF31">
        <v>2159.66</v>
      </c>
      <c r="AG31">
        <v>2181.5</v>
      </c>
      <c r="AH31" s="32">
        <f t="shared" si="13"/>
        <v>6.2399864233502607</v>
      </c>
      <c r="AI31" s="32">
        <f t="shared" si="14"/>
        <v>6.869954590718133</v>
      </c>
      <c r="AK31" s="40">
        <v>43291.66505787037</v>
      </c>
      <c r="AL31" s="50">
        <f t="shared" si="15"/>
        <v>4.7280555556062609</v>
      </c>
      <c r="AM31">
        <v>1015.99</v>
      </c>
      <c r="AN31">
        <v>1073.6600000000001</v>
      </c>
      <c r="AO31" s="32">
        <f t="shared" si="16"/>
        <v>0.85548688950496066</v>
      </c>
      <c r="AP31" s="32">
        <f t="shared" si="17"/>
        <v>0.98535128507646752</v>
      </c>
    </row>
    <row r="32" spans="1:65" x14ac:dyDescent="0.2">
      <c r="A32" s="40">
        <v>43291.6716087963</v>
      </c>
      <c r="B32" s="50">
        <f t="shared" si="0"/>
        <v>4.8852777779102325</v>
      </c>
      <c r="C32">
        <v>83.64</v>
      </c>
      <c r="D32">
        <v>90.89</v>
      </c>
      <c r="E32" s="32">
        <f t="shared" si="1"/>
        <v>7.4241024732354596E-2</v>
      </c>
      <c r="F32" s="32">
        <f t="shared" si="2"/>
        <v>9.2583892692134087E-2</v>
      </c>
      <c r="G32" s="2"/>
      <c r="H32" s="40">
        <v>43291.672465277778</v>
      </c>
      <c r="I32" s="32">
        <f t="shared" si="3"/>
        <v>4.9058333333814517</v>
      </c>
      <c r="J32">
        <v>83168.31</v>
      </c>
      <c r="K32">
        <v>67365.350000000006</v>
      </c>
      <c r="L32" s="32">
        <f t="shared" si="4"/>
        <v>110.31699566814511</v>
      </c>
      <c r="M32" s="32">
        <f t="shared" si="5"/>
        <v>102.54406265259958</v>
      </c>
      <c r="N32" s="2"/>
      <c r="O32" s="40">
        <v>43291.673321759263</v>
      </c>
      <c r="P32" s="32">
        <f t="shared" si="6"/>
        <v>4.9263888890272938</v>
      </c>
      <c r="Q32">
        <v>1680.62</v>
      </c>
      <c r="R32" s="61">
        <v>1732.08</v>
      </c>
      <c r="S32" s="32">
        <f t="shared" si="7"/>
        <v>1.1018829661148264</v>
      </c>
      <c r="T32" s="32">
        <f t="shared" si="8"/>
        <v>1.303236661520585</v>
      </c>
      <c r="U32" s="2"/>
      <c r="W32" s="40">
        <v>43291.679293981484</v>
      </c>
      <c r="X32" s="50">
        <f t="shared" si="9"/>
        <v>5.0697222223388962</v>
      </c>
      <c r="Y32">
        <v>0</v>
      </c>
      <c r="Z32">
        <v>13.65</v>
      </c>
      <c r="AA32" s="32">
        <f t="shared" si="10"/>
        <v>0</v>
      </c>
      <c r="AB32" s="32">
        <f t="shared" si="11"/>
        <v>1.1391846893297343E-2</v>
      </c>
      <c r="AD32" s="40">
        <v>43291.680706018517</v>
      </c>
      <c r="AE32" s="50">
        <f t="shared" si="12"/>
        <v>5.1036111111170612</v>
      </c>
      <c r="AF32">
        <v>2218.6</v>
      </c>
      <c r="AG32">
        <v>2266.33</v>
      </c>
      <c r="AH32" s="32">
        <f t="shared" si="13"/>
        <v>6.4102839700901484</v>
      </c>
      <c r="AI32" s="32">
        <f t="shared" si="14"/>
        <v>7.1371002464277895</v>
      </c>
      <c r="AK32" s="40">
        <v>43291.681562500002</v>
      </c>
      <c r="AL32" s="50">
        <f t="shared" si="15"/>
        <v>5.1241666667629033</v>
      </c>
      <c r="AM32">
        <v>973.47</v>
      </c>
      <c r="AN32">
        <v>972.23</v>
      </c>
      <c r="AO32" s="32">
        <f t="shared" si="16"/>
        <v>0.81968407398339949</v>
      </c>
      <c r="AP32" s="32">
        <f t="shared" si="17"/>
        <v>0.89226391957406814</v>
      </c>
      <c r="BF32" s="40"/>
      <c r="BG32" s="40"/>
      <c r="BH32" s="40"/>
      <c r="BI32" s="40"/>
      <c r="BJ32" s="40"/>
      <c r="BK32" s="40"/>
      <c r="BL32" s="40"/>
      <c r="BM32" s="40"/>
    </row>
    <row r="33" spans="1:65" x14ac:dyDescent="0.2">
      <c r="A33" s="40">
        <v>43291.688113425924</v>
      </c>
      <c r="B33" s="50">
        <f t="shared" si="0"/>
        <v>5.281388888892252</v>
      </c>
      <c r="C33">
        <v>72.16</v>
      </c>
      <c r="D33">
        <v>63.02</v>
      </c>
      <c r="E33" s="32">
        <f t="shared" si="1"/>
        <v>6.4051080161247095E-2</v>
      </c>
      <c r="F33" s="32">
        <f t="shared" si="2"/>
        <v>6.4194486934297398E-2</v>
      </c>
      <c r="G33" s="2"/>
      <c r="H33" s="40">
        <v>43291.688969907409</v>
      </c>
      <c r="I33" s="32">
        <f t="shared" si="3"/>
        <v>5.3019444445380941</v>
      </c>
      <c r="J33">
        <v>83103.149999999994</v>
      </c>
      <c r="K33">
        <v>67353.45</v>
      </c>
      <c r="L33" s="32">
        <f t="shared" si="4"/>
        <v>110.23056544685365</v>
      </c>
      <c r="M33" s="32">
        <f t="shared" si="5"/>
        <v>102.52594837952645</v>
      </c>
      <c r="N33" s="2"/>
      <c r="O33" s="40">
        <v>43291.689826388887</v>
      </c>
      <c r="P33" s="32">
        <f t="shared" si="6"/>
        <v>5.3225000000093132</v>
      </c>
      <c r="Q33">
        <v>1613.42</v>
      </c>
      <c r="R33" s="61">
        <v>1591.25</v>
      </c>
      <c r="S33" s="32">
        <f t="shared" si="7"/>
        <v>1.0578239073609641</v>
      </c>
      <c r="T33" s="32">
        <f t="shared" si="8"/>
        <v>1.1972745702534704</v>
      </c>
      <c r="U33" s="2"/>
      <c r="W33" s="40">
        <v>43291.695798611108</v>
      </c>
      <c r="X33" s="50">
        <f t="shared" si="9"/>
        <v>5.4658333333209157</v>
      </c>
      <c r="Y33">
        <v>4.2</v>
      </c>
      <c r="Z33">
        <v>10.58</v>
      </c>
      <c r="AA33" s="32">
        <f t="shared" si="10"/>
        <v>3.2159581568146673E-3</v>
      </c>
      <c r="AB33" s="32">
        <f t="shared" si="11"/>
        <v>8.8297245517279035E-3</v>
      </c>
      <c r="AD33" s="40">
        <v>43291.697291666664</v>
      </c>
      <c r="AE33" s="50">
        <f t="shared" si="12"/>
        <v>5.5016666666488163</v>
      </c>
      <c r="AF33">
        <v>2161.0500000000002</v>
      </c>
      <c r="AG33">
        <v>2202.77</v>
      </c>
      <c r="AH33" s="32">
        <f t="shared" si="13"/>
        <v>6.2440026023453141</v>
      </c>
      <c r="AI33" s="32">
        <f t="shared" si="14"/>
        <v>6.936937828923301</v>
      </c>
      <c r="AK33" s="40">
        <v>43291.698148148149</v>
      </c>
      <c r="AL33" s="50">
        <f t="shared" si="15"/>
        <v>5.5222222222946584</v>
      </c>
      <c r="AM33">
        <v>1002.01</v>
      </c>
      <c r="AN33">
        <v>1046.96</v>
      </c>
      <c r="AO33" s="32">
        <f t="shared" si="16"/>
        <v>0.84371540876668627</v>
      </c>
      <c r="AP33" s="32">
        <f t="shared" si="17"/>
        <v>0.96084736455084319</v>
      </c>
    </row>
    <row r="34" spans="1:65" x14ac:dyDescent="0.2">
      <c r="A34" s="40">
        <v>43291.704560185186</v>
      </c>
      <c r="B34" s="50">
        <f t="shared" si="0"/>
        <v>5.6761111111845821</v>
      </c>
      <c r="C34">
        <v>52.14</v>
      </c>
      <c r="D34">
        <v>68.06</v>
      </c>
      <c r="E34" s="32">
        <f t="shared" si="1"/>
        <v>4.6280810970169402E-2</v>
      </c>
      <c r="F34" s="32">
        <f t="shared" si="2"/>
        <v>6.9328416070267865E-2</v>
      </c>
      <c r="G34" s="2"/>
      <c r="H34" s="40">
        <v>43291.705416666664</v>
      </c>
      <c r="I34" s="32">
        <f t="shared" si="3"/>
        <v>5.6966666666558012</v>
      </c>
      <c r="J34">
        <v>82778.570000000007</v>
      </c>
      <c r="K34">
        <v>67974.649999999994</v>
      </c>
      <c r="L34" s="32">
        <f t="shared" si="4"/>
        <v>109.80003258579195</v>
      </c>
      <c r="M34" s="32">
        <f t="shared" si="5"/>
        <v>103.47154387809944</v>
      </c>
      <c r="N34" s="2"/>
      <c r="O34" s="40">
        <v>43291.706273148149</v>
      </c>
      <c r="P34" s="32">
        <f t="shared" si="6"/>
        <v>5.7172222223016433</v>
      </c>
      <c r="Q34">
        <v>1575.52</v>
      </c>
      <c r="R34" s="61">
        <v>1471.48</v>
      </c>
      <c r="S34" s="32">
        <f t="shared" si="7"/>
        <v>1.0329751227363899</v>
      </c>
      <c r="T34" s="32">
        <f t="shared" si="8"/>
        <v>1.1071582621439602</v>
      </c>
      <c r="U34" s="2"/>
      <c r="W34" s="40">
        <v>43291.712245370371</v>
      </c>
      <c r="X34" s="50">
        <f t="shared" si="9"/>
        <v>5.8605555556132458</v>
      </c>
      <c r="Y34">
        <v>0</v>
      </c>
      <c r="Z34">
        <v>0</v>
      </c>
      <c r="AA34" s="32">
        <f t="shared" si="10"/>
        <v>0</v>
      </c>
      <c r="AB34" s="32">
        <f t="shared" si="11"/>
        <v>0</v>
      </c>
      <c r="AD34" s="40">
        <v>43291.71365740741</v>
      </c>
      <c r="AE34" s="50">
        <f t="shared" si="12"/>
        <v>5.8944444445660338</v>
      </c>
      <c r="AF34">
        <v>2132.0300000000002</v>
      </c>
      <c r="AG34">
        <v>2152.1</v>
      </c>
      <c r="AH34" s="32">
        <f t="shared" si="13"/>
        <v>6.160154030808302</v>
      </c>
      <c r="AI34" s="32">
        <f t="shared" si="14"/>
        <v>6.7773684504627516</v>
      </c>
      <c r="AK34" s="40">
        <v>43291.714513888888</v>
      </c>
      <c r="AL34" s="50">
        <f t="shared" si="15"/>
        <v>5.9150000000372529</v>
      </c>
      <c r="AM34">
        <v>988.97</v>
      </c>
      <c r="AN34">
        <v>1032.6300000000001</v>
      </c>
      <c r="AO34" s="32">
        <f t="shared" si="16"/>
        <v>0.83273542959450486</v>
      </c>
      <c r="AP34" s="32">
        <f t="shared" si="17"/>
        <v>0.94769600945225929</v>
      </c>
    </row>
    <row r="35" spans="1:65" x14ac:dyDescent="0.2">
      <c r="A35" s="40">
        <v>43291.721053240741</v>
      </c>
      <c r="B35" s="50">
        <f t="shared" si="0"/>
        <v>6.0719444444985129</v>
      </c>
      <c r="C35">
        <v>49.15</v>
      </c>
      <c r="D35">
        <v>61.83</v>
      </c>
      <c r="E35" s="32">
        <f t="shared" si="1"/>
        <v>4.3626809727346109E-2</v>
      </c>
      <c r="F35" s="32">
        <f t="shared" si="2"/>
        <v>6.2982309221637708E-2</v>
      </c>
      <c r="G35" s="2"/>
      <c r="H35" s="40">
        <v>43291.721909722219</v>
      </c>
      <c r="I35" s="32">
        <f t="shared" si="3"/>
        <v>6.092499999969732</v>
      </c>
      <c r="J35">
        <v>83188.460000000006</v>
      </c>
      <c r="K35">
        <v>68586.14</v>
      </c>
      <c r="L35" s="32">
        <f t="shared" si="4"/>
        <v>110.34372324578513</v>
      </c>
      <c r="M35" s="32">
        <f t="shared" si="5"/>
        <v>104.40235873872793</v>
      </c>
      <c r="N35" s="2"/>
      <c r="O35" s="40">
        <v>43291.722766203704</v>
      </c>
      <c r="P35" s="32">
        <f t="shared" si="6"/>
        <v>6.1130555556155741</v>
      </c>
      <c r="Q35">
        <v>1591.03</v>
      </c>
      <c r="R35" s="61">
        <v>1477.4</v>
      </c>
      <c r="S35" s="32">
        <f t="shared" si="7"/>
        <v>1.0431441108505626</v>
      </c>
      <c r="T35" s="32">
        <f t="shared" si="8"/>
        <v>1.1116125373715489</v>
      </c>
      <c r="U35" s="2"/>
      <c r="W35" s="40">
        <v>43291.728738425925</v>
      </c>
      <c r="X35" s="50">
        <f t="shared" si="9"/>
        <v>6.2563888889271766</v>
      </c>
      <c r="Y35">
        <v>0</v>
      </c>
      <c r="Z35">
        <v>4.8499999999999996</v>
      </c>
      <c r="AA35" s="32">
        <f t="shared" si="10"/>
        <v>0</v>
      </c>
      <c r="AB35" s="32">
        <f t="shared" si="11"/>
        <v>4.0476525591569305E-3</v>
      </c>
      <c r="AD35" s="40">
        <v>43291.730150462965</v>
      </c>
      <c r="AE35" s="50">
        <f t="shared" si="12"/>
        <v>6.2902777778799646</v>
      </c>
      <c r="AF35">
        <v>2140.06</v>
      </c>
      <c r="AG35">
        <v>2209.86</v>
      </c>
      <c r="AH35" s="32">
        <f t="shared" si="13"/>
        <v>6.1833554101826023</v>
      </c>
      <c r="AI35" s="32">
        <f t="shared" si="14"/>
        <v>6.959265574991691</v>
      </c>
      <c r="AK35" s="40">
        <v>43291.731006944443</v>
      </c>
      <c r="AL35" s="50">
        <f t="shared" si="15"/>
        <v>6.3108333333511837</v>
      </c>
      <c r="AM35">
        <v>1021.93</v>
      </c>
      <c r="AN35">
        <v>997.65</v>
      </c>
      <c r="AO35" s="32">
        <f t="shared" si="16"/>
        <v>0.86048850578431324</v>
      </c>
      <c r="AP35" s="32">
        <f t="shared" si="17"/>
        <v>0.91559312031419415</v>
      </c>
      <c r="BF35" s="40"/>
      <c r="BG35" s="40"/>
      <c r="BH35" s="40"/>
      <c r="BI35" s="40"/>
      <c r="BJ35" s="40"/>
      <c r="BK35" s="40"/>
      <c r="BL35" s="40"/>
      <c r="BM35" s="40"/>
    </row>
    <row r="36" spans="1:65" x14ac:dyDescent="0.2">
      <c r="A36" s="40">
        <v>43291.737557870372</v>
      </c>
      <c r="B36" s="50">
        <f t="shared" si="0"/>
        <v>6.4680555556551553</v>
      </c>
      <c r="C36">
        <v>62.63</v>
      </c>
      <c r="D36">
        <v>49.89</v>
      </c>
      <c r="E36" s="32">
        <f t="shared" si="1"/>
        <v>5.5592005965893941E-2</v>
      </c>
      <c r="F36" s="32">
        <f t="shared" si="2"/>
        <v>5.0819786625707665E-2</v>
      </c>
      <c r="G36" s="2"/>
      <c r="H36" s="40">
        <v>43291.738402777781</v>
      </c>
      <c r="I36" s="32">
        <f t="shared" si="3"/>
        <v>6.4883333334582858</v>
      </c>
      <c r="J36">
        <v>82991.78</v>
      </c>
      <c r="K36">
        <v>68308.38</v>
      </c>
      <c r="L36" s="32">
        <f t="shared" si="4"/>
        <v>110.08284086512822</v>
      </c>
      <c r="M36" s="32">
        <f t="shared" si="5"/>
        <v>103.97955029429194</v>
      </c>
      <c r="N36" s="2"/>
      <c r="O36" s="40">
        <v>43291.739259259259</v>
      </c>
      <c r="P36" s="32">
        <f t="shared" si="6"/>
        <v>6.5088888889295049</v>
      </c>
      <c r="Q36">
        <v>1565.94</v>
      </c>
      <c r="R36" s="61">
        <v>1367.98</v>
      </c>
      <c r="S36" s="32">
        <f t="shared" si="7"/>
        <v>1.0266940843009433</v>
      </c>
      <c r="T36" s="32">
        <f t="shared" si="8"/>
        <v>1.0292836867967587</v>
      </c>
      <c r="U36" s="2"/>
      <c r="W36" s="40">
        <v>43291.74523148148</v>
      </c>
      <c r="X36" s="50">
        <f t="shared" si="9"/>
        <v>6.6522222222411074</v>
      </c>
      <c r="Y36">
        <v>1.69</v>
      </c>
      <c r="Z36">
        <v>1.73</v>
      </c>
      <c r="AA36" s="32">
        <f t="shared" si="10"/>
        <v>1.2940403059563781E-3</v>
      </c>
      <c r="AB36" s="32">
        <f t="shared" si="11"/>
        <v>1.4438018406889674E-3</v>
      </c>
      <c r="AD36" s="40">
        <v>43291.746655092589</v>
      </c>
      <c r="AE36" s="50">
        <f t="shared" si="12"/>
        <v>6.686388888861984</v>
      </c>
      <c r="AF36">
        <v>2032.48</v>
      </c>
      <c r="AG36">
        <v>2262.9899999999998</v>
      </c>
      <c r="AH36" s="32">
        <f t="shared" si="13"/>
        <v>5.8725204919899143</v>
      </c>
      <c r="AI36" s="32">
        <f t="shared" si="14"/>
        <v>7.1265819570246274</v>
      </c>
      <c r="AK36" s="40">
        <v>43291.747499999998</v>
      </c>
      <c r="AL36" s="50">
        <f t="shared" si="15"/>
        <v>6.7066666666651145</v>
      </c>
      <c r="AM36">
        <v>1035.5</v>
      </c>
      <c r="AN36">
        <v>988.93</v>
      </c>
      <c r="AO36" s="32">
        <f t="shared" si="16"/>
        <v>0.87191475711610034</v>
      </c>
      <c r="AP36" s="32">
        <f t="shared" si="17"/>
        <v>0.90759034177548836</v>
      </c>
    </row>
    <row r="37" spans="1:65" x14ac:dyDescent="0.2">
      <c r="A37" s="40">
        <v>43291.754050925927</v>
      </c>
      <c r="B37" s="50">
        <f t="shared" si="0"/>
        <v>6.8638888889690861</v>
      </c>
      <c r="C37">
        <v>53.14</v>
      </c>
      <c r="D37">
        <v>48.89</v>
      </c>
      <c r="E37" s="32">
        <f t="shared" si="1"/>
        <v>4.7168436803889567E-2</v>
      </c>
      <c r="F37" s="32">
        <f t="shared" si="2"/>
        <v>4.9801149892380193E-2</v>
      </c>
      <c r="G37" s="2"/>
      <c r="H37" s="40">
        <v>43291.754907407405</v>
      </c>
      <c r="I37" s="32">
        <f t="shared" si="3"/>
        <v>6.8844444444403052</v>
      </c>
      <c r="J37">
        <v>82995.31</v>
      </c>
      <c r="K37">
        <v>68329.83</v>
      </c>
      <c r="L37" s="32">
        <f t="shared" si="4"/>
        <v>110.08752316533017</v>
      </c>
      <c r="M37" s="32">
        <f t="shared" si="5"/>
        <v>104.01220165205818</v>
      </c>
      <c r="N37" s="2"/>
      <c r="O37" s="40">
        <v>43291.755752314813</v>
      </c>
      <c r="P37" s="32">
        <f t="shared" si="6"/>
        <v>6.9047222222434357</v>
      </c>
      <c r="Q37">
        <v>1572.84</v>
      </c>
      <c r="R37" s="61">
        <v>1339.02</v>
      </c>
      <c r="S37" s="32">
        <f t="shared" si="7"/>
        <v>1.0312180055122775</v>
      </c>
      <c r="T37" s="32">
        <f t="shared" si="8"/>
        <v>1.0074938539266627</v>
      </c>
      <c r="U37" s="2"/>
      <c r="W37" s="40">
        <v>43291.761736111112</v>
      </c>
      <c r="X37" s="50">
        <f t="shared" si="9"/>
        <v>7.0483333333977498</v>
      </c>
      <c r="Y37">
        <v>0</v>
      </c>
      <c r="Z37">
        <v>5.3</v>
      </c>
      <c r="AA37" s="32">
        <f t="shared" si="10"/>
        <v>0</v>
      </c>
      <c r="AB37" s="32">
        <f t="shared" si="11"/>
        <v>4.4232079512436569E-3</v>
      </c>
      <c r="AD37" s="40">
        <v>43291.763148148151</v>
      </c>
      <c r="AE37" s="50">
        <f t="shared" si="12"/>
        <v>7.0822222223505378</v>
      </c>
      <c r="AF37">
        <v>2163.0100000000002</v>
      </c>
      <c r="AG37">
        <v>2267.35</v>
      </c>
      <c r="AH37" s="32">
        <f t="shared" si="13"/>
        <v>6.2496657036620817</v>
      </c>
      <c r="AI37" s="32">
        <f t="shared" si="14"/>
        <v>7.1403124186407316</v>
      </c>
      <c r="AK37" s="40">
        <v>43291.764004629629</v>
      </c>
      <c r="AL37" s="50">
        <f t="shared" si="15"/>
        <v>7.1027777778217569</v>
      </c>
      <c r="AM37">
        <v>990.47</v>
      </c>
      <c r="AN37">
        <v>1035.92</v>
      </c>
      <c r="AO37" s="32">
        <f t="shared" si="16"/>
        <v>0.83399846400848276</v>
      </c>
      <c r="AP37" s="32">
        <f t="shared" si="17"/>
        <v>0.95071540640092222</v>
      </c>
    </row>
    <row r="38" spans="1:65" x14ac:dyDescent="0.2">
      <c r="A38" s="40">
        <v>43291.770543981482</v>
      </c>
      <c r="B38" s="50">
        <f t="shared" si="0"/>
        <v>7.2597222222830169</v>
      </c>
      <c r="C38">
        <v>56.66</v>
      </c>
      <c r="D38">
        <v>65.86</v>
      </c>
      <c r="E38" s="32">
        <f t="shared" si="1"/>
        <v>5.0292879738584546E-2</v>
      </c>
      <c r="F38" s="32">
        <f t="shared" si="2"/>
        <v>6.7087415256947419E-2</v>
      </c>
      <c r="G38" s="2"/>
      <c r="H38" s="40">
        <v>43291.77140046296</v>
      </c>
      <c r="I38" s="32">
        <f t="shared" si="3"/>
        <v>7.280277777754236</v>
      </c>
      <c r="J38">
        <v>82965.03</v>
      </c>
      <c r="K38">
        <v>68489.03</v>
      </c>
      <c r="L38" s="32">
        <f t="shared" si="4"/>
        <v>110.04735884518429</v>
      </c>
      <c r="M38" s="32">
        <f t="shared" si="5"/>
        <v>104.25453713720438</v>
      </c>
      <c r="N38" s="2"/>
      <c r="O38" s="40">
        <v>43291.772256944445</v>
      </c>
      <c r="P38" s="32">
        <f t="shared" si="6"/>
        <v>7.3008333334000781</v>
      </c>
      <c r="Q38">
        <v>1535.89</v>
      </c>
      <c r="R38" s="61">
        <v>1371.27</v>
      </c>
      <c r="S38" s="32">
        <f t="shared" si="7"/>
        <v>1.0069920796052059</v>
      </c>
      <c r="T38" s="32">
        <f t="shared" si="8"/>
        <v>1.0317591201580369</v>
      </c>
      <c r="U38" s="2"/>
      <c r="W38" s="40">
        <v>43291.778229166666</v>
      </c>
      <c r="X38" s="50">
        <f t="shared" si="9"/>
        <v>7.4441666667116806</v>
      </c>
      <c r="Y38">
        <v>0</v>
      </c>
      <c r="Z38">
        <v>0</v>
      </c>
      <c r="AA38" s="32">
        <f t="shared" si="10"/>
        <v>0</v>
      </c>
      <c r="AB38" s="32">
        <f t="shared" si="11"/>
        <v>0</v>
      </c>
      <c r="AD38" s="40">
        <v>43291.779664351852</v>
      </c>
      <c r="AE38" s="50">
        <f t="shared" si="12"/>
        <v>7.4786111111752689</v>
      </c>
      <c r="AF38">
        <v>2191.09</v>
      </c>
      <c r="AG38">
        <v>2112.61</v>
      </c>
      <c r="AH38" s="32">
        <f t="shared" si="13"/>
        <v>6.3307982980369708</v>
      </c>
      <c r="AI38" s="32">
        <f t="shared" si="14"/>
        <v>6.6530069988067995</v>
      </c>
      <c r="AK38" s="40">
        <v>43291.780509259261</v>
      </c>
      <c r="AL38" s="50">
        <f t="shared" si="15"/>
        <v>7.4988888889783993</v>
      </c>
      <c r="AM38">
        <v>1002.19</v>
      </c>
      <c r="AN38">
        <v>975.14</v>
      </c>
      <c r="AO38" s="32">
        <f t="shared" si="16"/>
        <v>0.84386697289636381</v>
      </c>
      <c r="AP38" s="32">
        <f t="shared" si="17"/>
        <v>0.89493457158641132</v>
      </c>
      <c r="BF38" s="40"/>
      <c r="BG38" s="40"/>
      <c r="BH38" s="40"/>
      <c r="BI38" s="40"/>
      <c r="BJ38" s="40"/>
      <c r="BK38" s="40"/>
      <c r="BL38" s="40"/>
      <c r="BM38" s="40"/>
    </row>
    <row r="39" spans="1:65" x14ac:dyDescent="0.2">
      <c r="A39" s="40">
        <v>43291.78707175926</v>
      </c>
      <c r="B39" s="50">
        <f t="shared" si="0"/>
        <v>7.6563888889504597</v>
      </c>
      <c r="C39">
        <v>70.14</v>
      </c>
      <c r="D39">
        <v>56.96</v>
      </c>
      <c r="E39" s="32">
        <f t="shared" si="1"/>
        <v>6.2258075977132371E-2</v>
      </c>
      <c r="F39" s="32">
        <f t="shared" si="2"/>
        <v>5.8021548330332899E-2</v>
      </c>
      <c r="G39" s="2"/>
      <c r="H39" s="40">
        <v>43291.787916666668</v>
      </c>
      <c r="I39" s="32">
        <f t="shared" si="3"/>
        <v>7.6766666667535901</v>
      </c>
      <c r="J39">
        <v>83382.710000000006</v>
      </c>
      <c r="K39">
        <v>68855.86</v>
      </c>
      <c r="L39" s="32">
        <f t="shared" si="4"/>
        <v>110.60138239995739</v>
      </c>
      <c r="M39" s="32">
        <f t="shared" si="5"/>
        <v>104.81292863228092</v>
      </c>
      <c r="N39" s="2"/>
      <c r="O39" s="40">
        <v>43291.788773148146</v>
      </c>
      <c r="P39" s="32">
        <f t="shared" si="6"/>
        <v>7.6972222222248092</v>
      </c>
      <c r="Q39">
        <v>1525.38</v>
      </c>
      <c r="R39" s="61">
        <v>1326.58</v>
      </c>
      <c r="S39" s="32">
        <f t="shared" si="7"/>
        <v>1.0001012952673622</v>
      </c>
      <c r="T39" s="32">
        <f t="shared" si="8"/>
        <v>0.99813385665787813</v>
      </c>
      <c r="U39" s="2"/>
      <c r="W39" s="40">
        <v>43291.794756944444</v>
      </c>
      <c r="X39" s="50">
        <f t="shared" si="9"/>
        <v>7.8408333333791234</v>
      </c>
      <c r="Y39">
        <v>0</v>
      </c>
      <c r="Z39">
        <v>0.53</v>
      </c>
      <c r="AA39" s="32">
        <f t="shared" si="10"/>
        <v>0</v>
      </c>
      <c r="AB39" s="32">
        <f t="shared" si="11"/>
        <v>4.4232079512436572E-4</v>
      </c>
      <c r="AD39" s="40">
        <v>43291.796168981484</v>
      </c>
      <c r="AE39" s="50">
        <f t="shared" si="12"/>
        <v>7.8747222223319113</v>
      </c>
      <c r="AF39">
        <v>2099.5500000000002</v>
      </c>
      <c r="AG39">
        <v>2137.4</v>
      </c>
      <c r="AH39" s="32">
        <f t="shared" si="13"/>
        <v>6.0663083518447545</v>
      </c>
      <c r="AI39" s="32">
        <f t="shared" si="14"/>
        <v>6.7310753803350609</v>
      </c>
      <c r="AK39" s="40">
        <v>43291.797013888892</v>
      </c>
      <c r="AL39" s="50">
        <f t="shared" si="15"/>
        <v>7.8950000001350418</v>
      </c>
      <c r="AM39">
        <v>987.69</v>
      </c>
      <c r="AN39">
        <v>973.52</v>
      </c>
      <c r="AO39" s="32">
        <f t="shared" si="16"/>
        <v>0.83165764022791033</v>
      </c>
      <c r="AP39" s="32">
        <f t="shared" si="17"/>
        <v>0.89344781685789032</v>
      </c>
    </row>
    <row r="40" spans="1:65" x14ac:dyDescent="0.2">
      <c r="A40" s="40">
        <v>43291.803657407407</v>
      </c>
      <c r="B40" s="50">
        <f t="shared" si="0"/>
        <v>8.0544444444822147</v>
      </c>
      <c r="C40">
        <v>62.11</v>
      </c>
      <c r="D40">
        <v>57.95</v>
      </c>
      <c r="E40" s="32">
        <f t="shared" si="1"/>
        <v>5.5130440532359444E-2</v>
      </c>
      <c r="F40" s="32">
        <f t="shared" si="2"/>
        <v>5.9029998696327107E-2</v>
      </c>
      <c r="G40" s="2"/>
      <c r="H40" s="40">
        <v>43291.804513888892</v>
      </c>
      <c r="I40" s="32">
        <f t="shared" si="3"/>
        <v>8.0750000001280569</v>
      </c>
      <c r="J40">
        <v>83240.929999999993</v>
      </c>
      <c r="K40">
        <v>68987.73</v>
      </c>
      <c r="L40" s="32">
        <f t="shared" si="4"/>
        <v>110.41332106210129</v>
      </c>
      <c r="M40" s="32">
        <f t="shared" si="5"/>
        <v>105.01366217767179</v>
      </c>
      <c r="N40" s="2"/>
      <c r="O40" s="40">
        <v>43291.805358796293</v>
      </c>
      <c r="P40" s="32">
        <f t="shared" si="6"/>
        <v>8.0952777777565643</v>
      </c>
      <c r="Q40">
        <v>1528.42</v>
      </c>
      <c r="R40" s="61">
        <v>1377.79</v>
      </c>
      <c r="S40" s="32">
        <f t="shared" si="7"/>
        <v>1.00209444316337</v>
      </c>
      <c r="T40" s="32">
        <f t="shared" si="8"/>
        <v>1.0366648421992326</v>
      </c>
      <c r="U40" s="2"/>
      <c r="W40" s="40">
        <v>43291.811342592591</v>
      </c>
      <c r="X40" s="50">
        <f t="shared" si="9"/>
        <v>8.2388888889108784</v>
      </c>
      <c r="Y40">
        <v>4.17</v>
      </c>
      <c r="Z40">
        <v>1.27</v>
      </c>
      <c r="AA40" s="32">
        <f t="shared" si="10"/>
        <v>3.192987027123134E-3</v>
      </c>
      <c r="AB40" s="32">
        <f t="shared" si="11"/>
        <v>1.0599007732225367E-3</v>
      </c>
      <c r="AD40" s="40">
        <v>43291.812615740739</v>
      </c>
      <c r="AE40" s="50">
        <f t="shared" si="12"/>
        <v>8.2694444444496185</v>
      </c>
      <c r="AF40">
        <v>2030.43</v>
      </c>
      <c r="AG40">
        <v>2130.94</v>
      </c>
      <c r="AH40" s="32">
        <f t="shared" si="13"/>
        <v>5.866597350306562</v>
      </c>
      <c r="AI40" s="32">
        <f t="shared" si="14"/>
        <v>6.7107316229864304</v>
      </c>
      <c r="AK40" s="40">
        <v>43291.813472222224</v>
      </c>
      <c r="AL40" s="50">
        <f t="shared" si="15"/>
        <v>8.2900000000954606</v>
      </c>
      <c r="AM40">
        <v>978.96</v>
      </c>
      <c r="AN40">
        <v>918.36</v>
      </c>
      <c r="AO40" s="32">
        <f t="shared" si="16"/>
        <v>0.82430677993855872</v>
      </c>
      <c r="AP40" s="32">
        <f t="shared" si="17"/>
        <v>0.84282473610158204</v>
      </c>
    </row>
    <row r="41" spans="1:65" x14ac:dyDescent="0.2">
      <c r="A41" s="40">
        <v>43291.820011574076</v>
      </c>
      <c r="B41" s="50">
        <f t="shared" si="0"/>
        <v>8.4469444445567206</v>
      </c>
      <c r="C41">
        <v>64.13</v>
      </c>
      <c r="D41">
        <v>64.03</v>
      </c>
      <c r="E41" s="32">
        <f t="shared" si="1"/>
        <v>5.6923444716474175E-2</v>
      </c>
      <c r="F41" s="32">
        <f t="shared" si="2"/>
        <v>6.5223310034958154E-2</v>
      </c>
      <c r="G41" s="2"/>
      <c r="H41" s="40">
        <v>43291.820868055554</v>
      </c>
      <c r="I41" s="32">
        <f t="shared" si="3"/>
        <v>8.4675000000279397</v>
      </c>
      <c r="J41">
        <v>83162.149999999994</v>
      </c>
      <c r="K41">
        <v>68630.37</v>
      </c>
      <c r="L41" s="32">
        <f t="shared" si="4"/>
        <v>110.30882485532811</v>
      </c>
      <c r="M41" s="32">
        <f t="shared" si="5"/>
        <v>104.46968599066271</v>
      </c>
      <c r="N41" s="2"/>
      <c r="O41" s="40">
        <v>43291.821712962963</v>
      </c>
      <c r="P41" s="32">
        <f t="shared" si="6"/>
        <v>8.4877777778310701</v>
      </c>
      <c r="Q41">
        <v>1571.38</v>
      </c>
      <c r="R41" s="61">
        <v>1338.52</v>
      </c>
      <c r="S41" s="32">
        <f t="shared" si="7"/>
        <v>1.0302607700095894</v>
      </c>
      <c r="T41" s="32">
        <f t="shared" si="8"/>
        <v>1.0071176482486568</v>
      </c>
      <c r="U41" s="2"/>
      <c r="W41" s="40">
        <v>43291.827696759261</v>
      </c>
      <c r="X41" s="50">
        <f t="shared" si="9"/>
        <v>8.6313888889853843</v>
      </c>
      <c r="Y41">
        <v>0</v>
      </c>
      <c r="Z41">
        <v>5.3</v>
      </c>
      <c r="AA41" s="32">
        <f t="shared" si="10"/>
        <v>0</v>
      </c>
      <c r="AB41" s="32">
        <f t="shared" si="11"/>
        <v>4.4232079512436569E-3</v>
      </c>
      <c r="AD41" s="40">
        <v>43291.829108796293</v>
      </c>
      <c r="AE41" s="50">
        <f t="shared" si="12"/>
        <v>8.6652777777635492</v>
      </c>
      <c r="AF41">
        <v>2210.63</v>
      </c>
      <c r="AG41">
        <v>2271.58</v>
      </c>
      <c r="AH41" s="32">
        <f t="shared" si="13"/>
        <v>6.3872559509602382</v>
      </c>
      <c r="AI41" s="32">
        <f t="shared" si="14"/>
        <v>7.1536334857591086</v>
      </c>
      <c r="AK41" s="40">
        <v>43291.829965277779</v>
      </c>
      <c r="AL41" s="50">
        <f t="shared" si="15"/>
        <v>8.6858333334093913</v>
      </c>
      <c r="AM41">
        <v>1004.02</v>
      </c>
      <c r="AN41">
        <v>967.93</v>
      </c>
      <c r="AO41" s="32">
        <f t="shared" si="16"/>
        <v>0.84540787488141667</v>
      </c>
      <c r="AP41" s="32">
        <f t="shared" si="17"/>
        <v>0.88831759529466037</v>
      </c>
      <c r="BF41" s="40"/>
      <c r="BG41" s="40"/>
      <c r="BH41" s="40"/>
      <c r="BI41" s="40"/>
      <c r="BJ41" s="40"/>
      <c r="BK41" s="40"/>
      <c r="BL41" s="40"/>
      <c r="BM41" s="40"/>
    </row>
    <row r="42" spans="1:65" x14ac:dyDescent="0.2">
      <c r="A42" s="40">
        <v>43291.836504629631</v>
      </c>
      <c r="B42" s="50">
        <f t="shared" si="0"/>
        <v>8.8427777778706513</v>
      </c>
      <c r="C42">
        <v>68.63</v>
      </c>
      <c r="D42">
        <v>50.91</v>
      </c>
      <c r="E42" s="32">
        <f t="shared" si="1"/>
        <v>6.0917760968214919E-2</v>
      </c>
      <c r="F42" s="32">
        <f t="shared" si="2"/>
        <v>5.1858796093701691E-2</v>
      </c>
      <c r="G42" s="2"/>
      <c r="H42" s="40">
        <v>43291.837361111109</v>
      </c>
      <c r="I42" s="32">
        <f t="shared" si="3"/>
        <v>8.8633333333418705</v>
      </c>
      <c r="J42">
        <v>83026.710000000006</v>
      </c>
      <c r="K42">
        <v>68622.350000000006</v>
      </c>
      <c r="L42" s="32">
        <f t="shared" si="4"/>
        <v>110.12917308780642</v>
      </c>
      <c r="M42" s="32">
        <f t="shared" si="5"/>
        <v>104.45747788393612</v>
      </c>
      <c r="N42" s="2"/>
      <c r="O42" s="40">
        <v>43291.838217592594</v>
      </c>
      <c r="P42" s="32">
        <f t="shared" si="6"/>
        <v>8.8838888889877126</v>
      </c>
      <c r="Q42">
        <v>1521.97</v>
      </c>
      <c r="R42" s="61">
        <v>1254.77</v>
      </c>
      <c r="S42" s="32">
        <f t="shared" si="7"/>
        <v>0.99786556029190565</v>
      </c>
      <c r="T42" s="32">
        <f t="shared" si="8"/>
        <v>0.94410319718268465</v>
      </c>
      <c r="U42" s="2"/>
      <c r="W42" s="40">
        <v>43291.844189814816</v>
      </c>
      <c r="X42" s="50">
        <f t="shared" si="9"/>
        <v>9.027222222299315</v>
      </c>
      <c r="Y42">
        <v>0</v>
      </c>
      <c r="Z42">
        <v>1.5</v>
      </c>
      <c r="AA42" s="32">
        <f t="shared" si="10"/>
        <v>0</v>
      </c>
      <c r="AB42" s="32">
        <f t="shared" si="11"/>
        <v>1.2518513069557518E-3</v>
      </c>
      <c r="AD42" s="40">
        <v>43291.845613425925</v>
      </c>
      <c r="AE42" s="50">
        <f t="shared" si="12"/>
        <v>9.0613888889201917</v>
      </c>
      <c r="AF42">
        <v>2104.14</v>
      </c>
      <c r="AG42">
        <v>2272.04</v>
      </c>
      <c r="AH42" s="32">
        <f t="shared" si="13"/>
        <v>6.079570410540649</v>
      </c>
      <c r="AI42" s="32">
        <f t="shared" si="14"/>
        <v>7.1550821124433766</v>
      </c>
      <c r="AK42" s="40">
        <v>43291.84646990741</v>
      </c>
      <c r="AL42" s="50">
        <f t="shared" si="15"/>
        <v>9.0819444445660338</v>
      </c>
      <c r="AM42">
        <v>1021.54</v>
      </c>
      <c r="AN42">
        <v>986.56</v>
      </c>
      <c r="AO42" s="32">
        <f t="shared" si="16"/>
        <v>0.86016011683667903</v>
      </c>
      <c r="AP42" s="32">
        <f t="shared" si="17"/>
        <v>0.90541527467265204</v>
      </c>
    </row>
    <row r="43" spans="1:65" x14ac:dyDescent="0.2">
      <c r="A43" s="40">
        <v>43291.853009259263</v>
      </c>
      <c r="B43" s="50">
        <f t="shared" si="0"/>
        <v>9.2388888890272938</v>
      </c>
      <c r="C43">
        <v>55.17</v>
      </c>
      <c r="D43">
        <v>55.96</v>
      </c>
      <c r="E43" s="32">
        <f t="shared" ref="E43:E58" si="18">(C43/$B$5)/$C$18</f>
        <v>4.8970317246341502E-2</v>
      </c>
      <c r="F43" s="32">
        <f t="shared" ref="F43:F58" si="19">(D43/$C$5)/$C$18</f>
        <v>5.7002911597005428E-2</v>
      </c>
      <c r="G43" s="2"/>
      <c r="H43" s="40">
        <v>43291.853865740741</v>
      </c>
      <c r="I43" s="32">
        <f t="shared" si="3"/>
        <v>9.2594444444985129</v>
      </c>
      <c r="J43">
        <v>82721.63</v>
      </c>
      <c r="K43">
        <v>68340.62</v>
      </c>
      <c r="L43" s="32">
        <f t="shared" ref="L43:L75" si="20">(J43/$B$5)/$J$18</f>
        <v>109.72450562446085</v>
      </c>
      <c r="M43" s="32">
        <f t="shared" ref="M43:M75" si="21">(K43/$C$5)/$J$18</f>
        <v>104.02862627444968</v>
      </c>
      <c r="N43" s="2"/>
      <c r="O43" s="40">
        <v>43291.854722222219</v>
      </c>
      <c r="P43" s="32">
        <f t="shared" si="6"/>
        <v>9.279999999969732</v>
      </c>
      <c r="Q43">
        <v>1572.45</v>
      </c>
      <c r="R43" s="61">
        <v>1360.78</v>
      </c>
      <c r="S43" s="32">
        <f t="shared" ref="S43:S75" si="22">(Q43/$B$5)/$Q$18</f>
        <v>1.0309623056177237</v>
      </c>
      <c r="T43" s="32">
        <f t="shared" ref="T43:T75" si="23">(R43/$C$5)/$Q$18</f>
        <v>1.0238663250334752</v>
      </c>
      <c r="U43" s="2"/>
      <c r="W43" s="40">
        <v>43291.860694444447</v>
      </c>
      <c r="X43" s="50">
        <f t="shared" si="9"/>
        <v>9.4233333334559575</v>
      </c>
      <c r="Y43">
        <v>0</v>
      </c>
      <c r="Z43">
        <v>5.3</v>
      </c>
      <c r="AA43" s="32">
        <f t="shared" si="10"/>
        <v>0</v>
      </c>
      <c r="AB43" s="32">
        <f t="shared" si="11"/>
        <v>4.4232079512436569E-3</v>
      </c>
      <c r="AD43" s="40">
        <v>43291.86210648148</v>
      </c>
      <c r="AE43" s="50">
        <f t="shared" si="12"/>
        <v>9.4572222222341225</v>
      </c>
      <c r="AF43">
        <v>2151.08</v>
      </c>
      <c r="AG43">
        <v>2140.11</v>
      </c>
      <c r="AH43" s="32">
        <f t="shared" si="13"/>
        <v>6.2151959084023769</v>
      </c>
      <c r="AI43" s="32">
        <f t="shared" si="14"/>
        <v>6.7396096810184654</v>
      </c>
      <c r="AJ43" s="40"/>
      <c r="AK43" s="40">
        <v>43291.862962962965</v>
      </c>
      <c r="AL43" s="50">
        <f t="shared" si="15"/>
        <v>9.4777777778799646</v>
      </c>
      <c r="AM43">
        <v>1070.8900000000001</v>
      </c>
      <c r="AN43">
        <v>969.31</v>
      </c>
      <c r="AO43" s="32">
        <f t="shared" ref="AO43:AO75" si="24">(AM43/$B$7)/$AM$18</f>
        <v>0.90171394905655322</v>
      </c>
      <c r="AP43" s="32">
        <f t="shared" ref="AP43:AP75" si="25">(AN43/$C$7)/$AM$18</f>
        <v>0.88958409006340056</v>
      </c>
    </row>
    <row r="44" spans="1:65" x14ac:dyDescent="0.2">
      <c r="A44" s="40">
        <v>43291.869502314818</v>
      </c>
      <c r="B44" s="50">
        <f t="shared" si="0"/>
        <v>9.6347222223412246</v>
      </c>
      <c r="C44">
        <v>45.15</v>
      </c>
      <c r="D44">
        <v>65.47</v>
      </c>
      <c r="E44" s="32">
        <f t="shared" si="18"/>
        <v>4.0076306392465448E-2</v>
      </c>
      <c r="F44" s="32">
        <f t="shared" si="19"/>
        <v>6.6690146930949698E-2</v>
      </c>
      <c r="G44" s="2"/>
      <c r="H44" s="40">
        <v>43291.870358796295</v>
      </c>
      <c r="I44" s="32">
        <f t="shared" si="3"/>
        <v>9.6552777778124437</v>
      </c>
      <c r="J44">
        <v>82661.08</v>
      </c>
      <c r="K44">
        <v>68637.25</v>
      </c>
      <c r="L44" s="32">
        <f t="shared" si="20"/>
        <v>109.64419024847561</v>
      </c>
      <c r="M44" s="32">
        <f t="shared" si="21"/>
        <v>104.48015878047305</v>
      </c>
      <c r="N44" s="2"/>
      <c r="O44" s="40">
        <v>43291.871215277781</v>
      </c>
      <c r="P44" s="32">
        <f t="shared" si="6"/>
        <v>9.6758333334582858</v>
      </c>
      <c r="Q44">
        <v>1579.94</v>
      </c>
      <c r="R44" s="61">
        <v>1347.17</v>
      </c>
      <c r="S44" s="32">
        <f t="shared" si="22"/>
        <v>1.0358730548746646</v>
      </c>
      <c r="T44" s="32">
        <f t="shared" si="23"/>
        <v>1.0136260064781573</v>
      </c>
      <c r="U44" s="2"/>
      <c r="W44" s="40">
        <v>43291.877187500002</v>
      </c>
      <c r="X44" s="50">
        <f t="shared" si="9"/>
        <v>9.8191666667698883</v>
      </c>
      <c r="Y44">
        <v>0</v>
      </c>
      <c r="Z44">
        <v>5.3</v>
      </c>
      <c r="AA44" s="32">
        <f t="shared" si="10"/>
        <v>0</v>
      </c>
      <c r="AB44" s="32">
        <f t="shared" si="11"/>
        <v>4.4232079512436569E-3</v>
      </c>
      <c r="AD44" s="40">
        <v>43291.878599537034</v>
      </c>
      <c r="AE44" s="50">
        <f t="shared" si="12"/>
        <v>9.8530555555480532</v>
      </c>
      <c r="AF44">
        <v>2164.4699999999998</v>
      </c>
      <c r="AG44">
        <v>2017.78</v>
      </c>
      <c r="AH44" s="32">
        <f t="shared" si="13"/>
        <v>6.2538841362755893</v>
      </c>
      <c r="AI44" s="32">
        <f t="shared" si="14"/>
        <v>6.354369458656536</v>
      </c>
      <c r="AK44" s="40">
        <v>43291.87945601852</v>
      </c>
      <c r="AL44" s="50">
        <f t="shared" si="15"/>
        <v>9.8736111111938953</v>
      </c>
      <c r="AM44">
        <v>981.37</v>
      </c>
      <c r="AN44">
        <v>944.94</v>
      </c>
      <c r="AO44" s="32">
        <f t="shared" si="24"/>
        <v>0.82633605523035003</v>
      </c>
      <c r="AP44" s="32">
        <f t="shared" si="25"/>
        <v>0.8672185266473158</v>
      </c>
      <c r="AV44" s="40"/>
      <c r="AW44" s="40"/>
      <c r="AX44" s="40"/>
      <c r="AY44" s="40"/>
      <c r="AZ44" s="40"/>
      <c r="BA44" s="40"/>
      <c r="BB44" s="40"/>
      <c r="BC44" s="40"/>
      <c r="BD44" s="40"/>
      <c r="BE44" s="40"/>
      <c r="BF44" s="40"/>
      <c r="BG44" s="40"/>
      <c r="BH44" s="40"/>
      <c r="BI44" s="40"/>
      <c r="BJ44" s="40"/>
      <c r="BK44" s="40"/>
      <c r="BL44" s="40"/>
      <c r="BM44" s="40"/>
    </row>
    <row r="45" spans="1:65" x14ac:dyDescent="0.2">
      <c r="A45" s="40">
        <v>43291.885995370372</v>
      </c>
      <c r="B45" s="50">
        <f t="shared" si="0"/>
        <v>10.030555555655155</v>
      </c>
      <c r="C45">
        <v>89.09</v>
      </c>
      <c r="D45">
        <v>70.06</v>
      </c>
      <c r="E45" s="32">
        <f t="shared" si="18"/>
        <v>7.9078585526129494E-2</v>
      </c>
      <c r="F45" s="32">
        <f t="shared" si="19"/>
        <v>7.1365689536922822E-2</v>
      </c>
      <c r="G45" s="2"/>
      <c r="H45" s="40">
        <v>43291.88685185185</v>
      </c>
      <c r="I45" s="32">
        <f t="shared" si="3"/>
        <v>10.051111111126374</v>
      </c>
      <c r="J45">
        <v>82435.44</v>
      </c>
      <c r="K45">
        <v>68294.850000000006</v>
      </c>
      <c r="L45" s="32">
        <f t="shared" si="20"/>
        <v>109.34489443613361</v>
      </c>
      <c r="M45" s="32">
        <f t="shared" si="21"/>
        <v>103.95895482247016</v>
      </c>
      <c r="N45" s="2"/>
      <c r="O45" s="40">
        <v>43291.887708333335</v>
      </c>
      <c r="P45" s="32">
        <f t="shared" si="6"/>
        <v>10.071666666772217</v>
      </c>
      <c r="Q45">
        <v>1540.4</v>
      </c>
      <c r="R45" s="61">
        <v>1258.3399999999999</v>
      </c>
      <c r="S45" s="32">
        <f t="shared" si="22"/>
        <v>1.0099490194114547</v>
      </c>
      <c r="T45" s="32">
        <f t="shared" si="23"/>
        <v>0.94678930572364606</v>
      </c>
      <c r="U45" s="2"/>
      <c r="W45" s="40">
        <v>43291.893680555557</v>
      </c>
      <c r="X45" s="50">
        <f t="shared" si="9"/>
        <v>10.215000000083819</v>
      </c>
      <c r="Y45">
        <v>0.17</v>
      </c>
      <c r="Z45">
        <v>0</v>
      </c>
      <c r="AA45" s="32">
        <f t="shared" si="10"/>
        <v>1.3016973491868891E-4</v>
      </c>
      <c r="AB45" s="32">
        <f t="shared" si="11"/>
        <v>0</v>
      </c>
      <c r="AD45" s="40">
        <v>43291.895092592589</v>
      </c>
      <c r="AE45" s="50">
        <f t="shared" si="12"/>
        <v>10.248888888861984</v>
      </c>
      <c r="AF45">
        <v>2138.4299999999998</v>
      </c>
      <c r="AG45">
        <v>2146.9</v>
      </c>
      <c r="AH45" s="32">
        <f t="shared" si="13"/>
        <v>6.1786457902099858</v>
      </c>
      <c r="AI45" s="32">
        <f t="shared" si="14"/>
        <v>6.7609926705536374</v>
      </c>
      <c r="AK45" s="40">
        <v>43291.895949074074</v>
      </c>
      <c r="AL45" s="50">
        <f t="shared" si="15"/>
        <v>10.269444444507826</v>
      </c>
      <c r="AM45">
        <v>1006.16</v>
      </c>
      <c r="AN45">
        <v>982.03</v>
      </c>
      <c r="AO45" s="32">
        <f t="shared" si="24"/>
        <v>0.84720980397869183</v>
      </c>
      <c r="AP45" s="32">
        <f t="shared" si="25"/>
        <v>0.90125786793178786</v>
      </c>
    </row>
    <row r="46" spans="1:65" x14ac:dyDescent="0.2">
      <c r="A46" s="40">
        <v>43291.902499999997</v>
      </c>
      <c r="B46" s="50">
        <f t="shared" si="0"/>
        <v>10.426666666637175</v>
      </c>
      <c r="C46">
        <v>69.650000000000006</v>
      </c>
      <c r="D46">
        <v>58.8</v>
      </c>
      <c r="E46" s="32">
        <f t="shared" si="18"/>
        <v>6.1823139318609492E-2</v>
      </c>
      <c r="F46" s="32">
        <f t="shared" si="19"/>
        <v>5.9895839919655455E-2</v>
      </c>
      <c r="G46" s="2"/>
      <c r="H46" s="40">
        <v>43291.903356481482</v>
      </c>
      <c r="I46" s="32">
        <f t="shared" si="3"/>
        <v>10.447222222283017</v>
      </c>
      <c r="J46">
        <v>82518.66</v>
      </c>
      <c r="K46">
        <v>68511.259999999995</v>
      </c>
      <c r="L46" s="32">
        <f t="shared" si="20"/>
        <v>109.45527999500217</v>
      </c>
      <c r="M46" s="32">
        <f t="shared" si="21"/>
        <v>104.28837581707121</v>
      </c>
      <c r="N46" s="2"/>
      <c r="O46" s="40">
        <v>43291.90421296296</v>
      </c>
      <c r="P46" s="32">
        <f t="shared" si="6"/>
        <v>10.467777777754236</v>
      </c>
      <c r="Q46">
        <v>1621.41</v>
      </c>
      <c r="R46" s="61">
        <v>1266.7</v>
      </c>
      <c r="S46" s="32">
        <f t="shared" si="22"/>
        <v>1.0630624769955379</v>
      </c>
      <c r="T46" s="32">
        <f t="shared" si="23"/>
        <v>0.95307946465990323</v>
      </c>
      <c r="U46" s="2"/>
      <c r="W46" s="40">
        <v>43291.910185185188</v>
      </c>
      <c r="X46" s="50">
        <f t="shared" si="9"/>
        <v>10.611111111240461</v>
      </c>
      <c r="Y46">
        <v>0</v>
      </c>
      <c r="Z46">
        <v>1.73</v>
      </c>
      <c r="AA46" s="32">
        <f t="shared" si="10"/>
        <v>0</v>
      </c>
      <c r="AB46" s="32">
        <f t="shared" si="11"/>
        <v>1.4438018406889674E-3</v>
      </c>
      <c r="AD46" s="40">
        <v>43291.911597222221</v>
      </c>
      <c r="AE46" s="50">
        <f t="shared" si="12"/>
        <v>10.645000000018626</v>
      </c>
      <c r="AF46">
        <v>2157.08</v>
      </c>
      <c r="AG46">
        <v>2172.14</v>
      </c>
      <c r="AH46" s="32">
        <f t="shared" si="13"/>
        <v>6.2325319328414563</v>
      </c>
      <c r="AI46" s="32">
        <f t="shared" si="14"/>
        <v>6.8404781868817253</v>
      </c>
      <c r="AK46" s="40">
        <v>43291.912453703706</v>
      </c>
      <c r="AL46" s="50">
        <f t="shared" si="15"/>
        <v>10.665555555664469</v>
      </c>
      <c r="AM46">
        <v>979.56</v>
      </c>
      <c r="AN46">
        <v>993.36</v>
      </c>
      <c r="AO46" s="32">
        <f t="shared" si="24"/>
        <v>0.82481199370414982</v>
      </c>
      <c r="AP46" s="32">
        <f t="shared" si="25"/>
        <v>0.91165597353311068</v>
      </c>
    </row>
    <row r="47" spans="1:65" x14ac:dyDescent="0.2">
      <c r="A47" s="40">
        <v>43291.919004629628</v>
      </c>
      <c r="B47" s="50">
        <f t="shared" si="0"/>
        <v>10.822777777793817</v>
      </c>
      <c r="C47">
        <v>62.63</v>
      </c>
      <c r="D47">
        <v>68.069999999999993</v>
      </c>
      <c r="E47" s="32">
        <f t="shared" si="18"/>
        <v>5.5592005965893941E-2</v>
      </c>
      <c r="F47" s="32">
        <f t="shared" si="19"/>
        <v>6.9338602437601135E-2</v>
      </c>
      <c r="G47" s="2"/>
      <c r="H47" s="40">
        <v>43291.919849537036</v>
      </c>
      <c r="I47" s="32">
        <f t="shared" si="3"/>
        <v>10.843055555596948</v>
      </c>
      <c r="J47">
        <v>82436.11</v>
      </c>
      <c r="K47">
        <v>68446.42</v>
      </c>
      <c r="L47" s="32">
        <f t="shared" si="20"/>
        <v>109.34578314467052</v>
      </c>
      <c r="M47" s="32">
        <f t="shared" si="21"/>
        <v>104.18967586194007</v>
      </c>
      <c r="N47" s="2"/>
      <c r="O47" s="40">
        <v>43291.920706018522</v>
      </c>
      <c r="P47" s="32">
        <f t="shared" si="6"/>
        <v>10.86361111124279</v>
      </c>
      <c r="Q47">
        <v>1492.49</v>
      </c>
      <c r="R47" s="61">
        <v>1357.24</v>
      </c>
      <c r="S47" s="32">
        <f t="shared" si="22"/>
        <v>0.97853727082666953</v>
      </c>
      <c r="T47" s="32">
        <f t="shared" si="23"/>
        <v>1.021202788833194</v>
      </c>
      <c r="U47" s="2"/>
      <c r="W47" s="40">
        <v>43291.926678240743</v>
      </c>
      <c r="X47" s="50">
        <f t="shared" si="9"/>
        <v>11.006944444554392</v>
      </c>
      <c r="Y47">
        <v>0</v>
      </c>
      <c r="Z47">
        <v>0.53</v>
      </c>
      <c r="AA47" s="32">
        <f t="shared" si="10"/>
        <v>0</v>
      </c>
      <c r="AB47" s="32">
        <f t="shared" si="11"/>
        <v>4.4232079512436572E-4</v>
      </c>
      <c r="AD47" s="40">
        <v>43291.928101851852</v>
      </c>
      <c r="AE47" s="50">
        <f t="shared" si="12"/>
        <v>11.041111111175269</v>
      </c>
      <c r="AF47">
        <v>2024.67</v>
      </c>
      <c r="AG47">
        <v>2161.0300000000002</v>
      </c>
      <c r="AH47" s="32">
        <f t="shared" si="13"/>
        <v>5.8499547668450464</v>
      </c>
      <c r="AI47" s="32">
        <f t="shared" si="14"/>
        <v>6.8054907032682133</v>
      </c>
      <c r="AK47" s="40">
        <v>43291.92895833333</v>
      </c>
      <c r="AL47" s="50">
        <f t="shared" si="15"/>
        <v>11.061666666646488</v>
      </c>
      <c r="AM47">
        <v>993.42</v>
      </c>
      <c r="AN47">
        <v>935.88</v>
      </c>
      <c r="AO47" s="32">
        <f t="shared" si="24"/>
        <v>0.83648243168930592</v>
      </c>
      <c r="AP47" s="32">
        <f t="shared" si="25"/>
        <v>0.85890371316558711</v>
      </c>
      <c r="AV47" s="40"/>
      <c r="AW47" s="40"/>
      <c r="AX47" s="40"/>
      <c r="AY47" s="40"/>
      <c r="AZ47" s="40"/>
      <c r="BA47" s="40"/>
      <c r="BB47" s="40"/>
      <c r="BC47" s="40"/>
      <c r="BD47" s="40"/>
      <c r="BE47" s="40"/>
      <c r="BF47" s="40"/>
      <c r="BG47" s="40"/>
      <c r="BH47" s="40"/>
      <c r="BI47" s="40"/>
      <c r="BJ47" s="40"/>
      <c r="BK47" s="40"/>
      <c r="BL47" s="40"/>
      <c r="BM47" s="40"/>
    </row>
    <row r="48" spans="1:65" x14ac:dyDescent="0.2">
      <c r="A48" s="40">
        <v>43291.935497685183</v>
      </c>
      <c r="B48" s="50">
        <f t="shared" si="0"/>
        <v>11.218611111107748</v>
      </c>
      <c r="C48">
        <v>67.13</v>
      </c>
      <c r="D48">
        <v>59.99</v>
      </c>
      <c r="E48" s="32">
        <f t="shared" si="18"/>
        <v>5.9586322217634664E-2</v>
      </c>
      <c r="F48" s="32">
        <f t="shared" si="19"/>
        <v>6.1108017632315152E-2</v>
      </c>
      <c r="G48" s="2"/>
      <c r="H48" s="40">
        <v>43291.936354166668</v>
      </c>
      <c r="I48" s="32">
        <f t="shared" si="3"/>
        <v>11.23916666675359</v>
      </c>
      <c r="J48">
        <v>82098.11</v>
      </c>
      <c r="K48">
        <v>67995.98</v>
      </c>
      <c r="L48" s="32">
        <f t="shared" si="20"/>
        <v>108.89744958425752</v>
      </c>
      <c r="M48" s="32">
        <f t="shared" si="21"/>
        <v>103.50401257092715</v>
      </c>
      <c r="N48" s="2"/>
      <c r="O48" s="40">
        <v>43291.937210648146</v>
      </c>
      <c r="P48" s="32">
        <f t="shared" si="6"/>
        <v>11.259722222224809</v>
      </c>
      <c r="Q48">
        <v>1542.37</v>
      </c>
      <c r="R48" s="61">
        <v>1342.91</v>
      </c>
      <c r="S48" s="32">
        <f t="shared" si="22"/>
        <v>1.0112406316993281</v>
      </c>
      <c r="T48" s="32">
        <f t="shared" si="23"/>
        <v>1.0104207341015479</v>
      </c>
      <c r="U48" s="2"/>
      <c r="W48" s="40">
        <v>43291.943182870367</v>
      </c>
      <c r="X48" s="50">
        <f t="shared" si="9"/>
        <v>11.403055555536412</v>
      </c>
      <c r="Y48">
        <v>0</v>
      </c>
      <c r="Z48">
        <v>5.3</v>
      </c>
      <c r="AA48" s="32">
        <f t="shared" si="10"/>
        <v>0</v>
      </c>
      <c r="AB48" s="32">
        <f t="shared" si="11"/>
        <v>4.4232079512436569E-3</v>
      </c>
      <c r="AD48" s="40">
        <v>43291.944594907407</v>
      </c>
      <c r="AE48" s="50">
        <f t="shared" si="12"/>
        <v>11.4369444444892</v>
      </c>
      <c r="AF48">
        <v>2088.04</v>
      </c>
      <c r="AG48">
        <v>2186.9899999999998</v>
      </c>
      <c r="AH48" s="32">
        <f t="shared" si="13"/>
        <v>6.0330520782957873</v>
      </c>
      <c r="AI48" s="32">
        <f t="shared" si="14"/>
        <v>6.8872436352760245</v>
      </c>
      <c r="AK48" s="40">
        <v>43291.945451388892</v>
      </c>
      <c r="AL48" s="50">
        <f t="shared" si="15"/>
        <v>11.457500000135042</v>
      </c>
      <c r="AM48">
        <v>1058.42</v>
      </c>
      <c r="AN48">
        <v>990.89</v>
      </c>
      <c r="AO48" s="32">
        <f t="shared" si="24"/>
        <v>0.89121392296168322</v>
      </c>
      <c r="AP48" s="32">
        <f t="shared" si="25"/>
        <v>0.90938913144703237</v>
      </c>
    </row>
    <row r="49" spans="1:65" x14ac:dyDescent="0.2">
      <c r="A49" s="40">
        <v>43291.951990740738</v>
      </c>
      <c r="B49" s="50">
        <f t="shared" si="0"/>
        <v>11.614444444421679</v>
      </c>
      <c r="C49">
        <v>57.63</v>
      </c>
      <c r="D49">
        <v>49.88</v>
      </c>
      <c r="E49" s="32">
        <f t="shared" si="18"/>
        <v>5.1153876797293107E-2</v>
      </c>
      <c r="F49" s="32">
        <f t="shared" si="19"/>
        <v>5.0809600258374395E-2</v>
      </c>
      <c r="G49" s="2"/>
      <c r="H49" s="40">
        <v>43291.952847222223</v>
      </c>
      <c r="I49" s="32">
        <f t="shared" si="3"/>
        <v>11.635000000067521</v>
      </c>
      <c r="J49">
        <v>82242.179999999993</v>
      </c>
      <c r="K49">
        <v>68196.240000000005</v>
      </c>
      <c r="L49" s="32">
        <f t="shared" si="20"/>
        <v>109.08854844830694</v>
      </c>
      <c r="M49" s="32">
        <f t="shared" si="21"/>
        <v>103.80884990921473</v>
      </c>
      <c r="N49" s="2"/>
      <c r="O49" s="40">
        <v>43291.953703703701</v>
      </c>
      <c r="P49" s="32">
        <f t="shared" si="6"/>
        <v>11.65555555553874</v>
      </c>
      <c r="Q49">
        <v>1545.88</v>
      </c>
      <c r="R49" s="61">
        <v>1293.03</v>
      </c>
      <c r="S49" s="32">
        <f t="shared" si="22"/>
        <v>1.0135419307503113</v>
      </c>
      <c r="T49" s="32">
        <f t="shared" si="23"/>
        <v>0.97289045566368881</v>
      </c>
      <c r="U49" s="2"/>
      <c r="W49" s="40">
        <v>43291.959675925929</v>
      </c>
      <c r="X49" s="50">
        <f t="shared" si="9"/>
        <v>11.798888889024965</v>
      </c>
      <c r="Y49">
        <v>0</v>
      </c>
      <c r="Z49">
        <v>1.51</v>
      </c>
      <c r="AA49" s="32">
        <f t="shared" si="10"/>
        <v>0</v>
      </c>
      <c r="AB49" s="32">
        <f t="shared" si="11"/>
        <v>1.260196982335457E-3</v>
      </c>
      <c r="AD49" s="40">
        <v>43291.961087962962</v>
      </c>
      <c r="AE49" s="50">
        <f t="shared" si="12"/>
        <v>11.83277777780313</v>
      </c>
      <c r="AF49">
        <v>2148.6799999999998</v>
      </c>
      <c r="AG49">
        <v>2210.2800000000002</v>
      </c>
      <c r="AH49" s="32">
        <f t="shared" si="13"/>
        <v>6.2082614986267464</v>
      </c>
      <c r="AI49" s="32">
        <f t="shared" si="14"/>
        <v>6.9605882341381964</v>
      </c>
      <c r="AK49" s="40">
        <v>43291.961944444447</v>
      </c>
      <c r="AL49" s="50">
        <f t="shared" si="15"/>
        <v>11.853333333448973</v>
      </c>
      <c r="AM49">
        <v>985.47</v>
      </c>
      <c r="AN49">
        <v>960.7</v>
      </c>
      <c r="AO49" s="32">
        <f t="shared" si="24"/>
        <v>0.82978834929522305</v>
      </c>
      <c r="AP49" s="32">
        <f t="shared" si="25"/>
        <v>0.88168226400626104</v>
      </c>
    </row>
    <row r="50" spans="1:65" x14ac:dyDescent="0.2">
      <c r="A50" s="40">
        <v>43291.9684837963</v>
      </c>
      <c r="B50" s="50">
        <f t="shared" si="0"/>
        <v>12.010277777910233</v>
      </c>
      <c r="C50">
        <v>66.14</v>
      </c>
      <c r="D50">
        <v>52.93</v>
      </c>
      <c r="E50" s="32">
        <f t="shared" si="18"/>
        <v>5.870757264225171E-2</v>
      </c>
      <c r="F50" s="32">
        <f t="shared" si="19"/>
        <v>5.3916442295023188E-2</v>
      </c>
      <c r="G50" s="2"/>
      <c r="H50" s="40">
        <v>43291.969340277778</v>
      </c>
      <c r="I50" s="32">
        <f t="shared" si="3"/>
        <v>12.030833333381452</v>
      </c>
      <c r="J50">
        <v>82532.320000000007</v>
      </c>
      <c r="K50">
        <v>68336.11</v>
      </c>
      <c r="L50" s="32">
        <f t="shared" si="20"/>
        <v>109.47339903771</v>
      </c>
      <c r="M50" s="32">
        <f t="shared" si="21"/>
        <v>104.02176111717577</v>
      </c>
      <c r="N50" s="2"/>
      <c r="O50" s="40">
        <v>43291.970185185186</v>
      </c>
      <c r="P50" s="32">
        <f t="shared" si="6"/>
        <v>12.051111111184582</v>
      </c>
      <c r="Q50">
        <v>1550.39</v>
      </c>
      <c r="R50" s="61">
        <v>1283.46</v>
      </c>
      <c r="S50" s="32">
        <f t="shared" si="22"/>
        <v>1.0164988705565601</v>
      </c>
      <c r="T50" s="32">
        <f t="shared" si="23"/>
        <v>0.9656898789866577</v>
      </c>
      <c r="U50" s="2"/>
      <c r="W50" s="40">
        <v>43291.976168981484</v>
      </c>
      <c r="X50" s="50">
        <f t="shared" si="9"/>
        <v>12.194722222338896</v>
      </c>
      <c r="Y50">
        <v>0</v>
      </c>
      <c r="Z50">
        <v>5.3</v>
      </c>
      <c r="AA50" s="32">
        <f t="shared" si="10"/>
        <v>0</v>
      </c>
      <c r="AB50" s="32">
        <f t="shared" si="11"/>
        <v>4.4232079512436569E-3</v>
      </c>
      <c r="AD50" s="40">
        <v>43291.977581018517</v>
      </c>
      <c r="AE50" s="50">
        <f t="shared" si="12"/>
        <v>12.228611111117061</v>
      </c>
      <c r="AF50">
        <v>2131</v>
      </c>
      <c r="AG50">
        <v>2230.85</v>
      </c>
      <c r="AH50" s="32">
        <f t="shared" si="13"/>
        <v>6.1571780132795935</v>
      </c>
      <c r="AI50" s="32">
        <f t="shared" si="14"/>
        <v>7.0253670404325206</v>
      </c>
      <c r="AK50" s="40">
        <v>43291.978425925925</v>
      </c>
      <c r="AL50" s="50">
        <f t="shared" si="15"/>
        <v>12.248888888920192</v>
      </c>
      <c r="AM50">
        <v>972.57</v>
      </c>
      <c r="AN50">
        <v>984.97</v>
      </c>
      <c r="AO50" s="32">
        <f t="shared" si="24"/>
        <v>0.81892625333501279</v>
      </c>
      <c r="AP50" s="32">
        <f t="shared" si="25"/>
        <v>0.90395605243910371</v>
      </c>
      <c r="AV50" s="40"/>
      <c r="AW50" s="40"/>
      <c r="AX50" s="40"/>
      <c r="AY50" s="40"/>
      <c r="AZ50" s="40"/>
      <c r="BA50" s="40"/>
      <c r="BB50" s="40"/>
      <c r="BC50" s="40"/>
      <c r="BD50" s="40"/>
      <c r="BE50" s="40"/>
      <c r="BF50" s="40"/>
      <c r="BG50" s="40"/>
      <c r="BH50" s="40"/>
      <c r="BI50" s="40"/>
      <c r="BJ50" s="40"/>
      <c r="BK50" s="40"/>
      <c r="BL50" s="40"/>
      <c r="BM50" s="40"/>
    </row>
    <row r="51" spans="1:65" x14ac:dyDescent="0.2">
      <c r="A51" s="40">
        <v>43291.984976851854</v>
      </c>
      <c r="B51" s="50">
        <f t="shared" si="0"/>
        <v>12.406111111224163</v>
      </c>
      <c r="C51">
        <v>50.66</v>
      </c>
      <c r="D51">
        <v>52.93</v>
      </c>
      <c r="E51" s="32">
        <f t="shared" si="18"/>
        <v>4.4967124736263554E-2</v>
      </c>
      <c r="F51" s="32">
        <f t="shared" si="19"/>
        <v>5.3916442295023188E-2</v>
      </c>
      <c r="G51" s="2"/>
      <c r="H51" s="40">
        <v>43291.985821759263</v>
      </c>
      <c r="I51" s="32">
        <f t="shared" si="3"/>
        <v>12.426388889027294</v>
      </c>
      <c r="J51">
        <v>81932.160000000003</v>
      </c>
      <c r="K51">
        <v>68049.94</v>
      </c>
      <c r="L51" s="32">
        <f t="shared" si="20"/>
        <v>108.67732841753995</v>
      </c>
      <c r="M51" s="32">
        <f t="shared" si="21"/>
        <v>103.58615090496289</v>
      </c>
      <c r="N51" s="2"/>
      <c r="O51" s="40">
        <v>43291.986678240741</v>
      </c>
      <c r="P51" s="32">
        <f t="shared" si="6"/>
        <v>12.446944444498513</v>
      </c>
      <c r="Q51">
        <v>1515.46</v>
      </c>
      <c r="R51" s="61">
        <v>1264.22</v>
      </c>
      <c r="S51" s="32">
        <f t="shared" si="22"/>
        <v>0.99359733897512525</v>
      </c>
      <c r="T51" s="32">
        <f t="shared" si="23"/>
        <v>0.95121348449699439</v>
      </c>
      <c r="U51" s="2"/>
      <c r="W51" s="40">
        <v>43291.992650462962</v>
      </c>
      <c r="X51" s="50">
        <f t="shared" si="9"/>
        <v>12.590277777810115</v>
      </c>
      <c r="Y51">
        <v>0</v>
      </c>
      <c r="Z51">
        <v>0.32</v>
      </c>
      <c r="AA51" s="32">
        <f t="shared" si="10"/>
        <v>0</v>
      </c>
      <c r="AB51" s="32">
        <f t="shared" si="11"/>
        <v>2.6706161215056041E-4</v>
      </c>
      <c r="AD51" s="40">
        <v>43291.994074074071</v>
      </c>
      <c r="AE51" s="50">
        <f t="shared" si="12"/>
        <v>12.624444444430992</v>
      </c>
      <c r="AF51">
        <v>2237.17</v>
      </c>
      <c r="AG51">
        <v>2160.31</v>
      </c>
      <c r="AH51" s="32">
        <f t="shared" si="13"/>
        <v>6.4639389657290982</v>
      </c>
      <c r="AI51" s="32">
        <f t="shared" si="14"/>
        <v>6.803223287588489</v>
      </c>
      <c r="AK51" s="40">
        <v>43291.99491898148</v>
      </c>
      <c r="AL51" s="50">
        <f t="shared" si="15"/>
        <v>12.644722222234122</v>
      </c>
      <c r="AM51">
        <v>1000.98</v>
      </c>
      <c r="AN51">
        <v>919.86</v>
      </c>
      <c r="AO51" s="32">
        <f t="shared" si="24"/>
        <v>0.8428481251357548</v>
      </c>
      <c r="AP51" s="32">
        <f t="shared" si="25"/>
        <v>0.84420136085021269</v>
      </c>
    </row>
    <row r="52" spans="1:65" x14ac:dyDescent="0.2">
      <c r="A52" s="40">
        <v>43292.001469907409</v>
      </c>
      <c r="B52" s="50">
        <f t="shared" si="0"/>
        <v>12.801944444538094</v>
      </c>
      <c r="C52">
        <v>57.63</v>
      </c>
      <c r="D52">
        <v>67.680000000000007</v>
      </c>
      <c r="E52" s="32">
        <f t="shared" si="18"/>
        <v>5.1153876797293107E-2</v>
      </c>
      <c r="F52" s="32">
        <f t="shared" si="19"/>
        <v>6.8941334111603428E-2</v>
      </c>
      <c r="G52" s="2"/>
      <c r="H52" s="40">
        <v>43292.002314814818</v>
      </c>
      <c r="I52" s="32">
        <f t="shared" si="3"/>
        <v>12.822222222341225</v>
      </c>
      <c r="J52">
        <v>81876.710000000006</v>
      </c>
      <c r="K52">
        <v>67883.55</v>
      </c>
      <c r="L52" s="32">
        <f t="shared" si="20"/>
        <v>108.60377783788049</v>
      </c>
      <c r="M52" s="32">
        <f t="shared" si="21"/>
        <v>103.33287074558176</v>
      </c>
      <c r="N52" s="2"/>
      <c r="O52" s="40">
        <v>43292.003171296295</v>
      </c>
      <c r="P52" s="32">
        <f t="shared" si="6"/>
        <v>12.842777777812444</v>
      </c>
      <c r="Q52">
        <v>1530.82</v>
      </c>
      <c r="R52" s="61">
        <v>1266.48</v>
      </c>
      <c r="S52" s="32">
        <f t="shared" si="22"/>
        <v>1.0036679809760081</v>
      </c>
      <c r="T52" s="32">
        <f t="shared" si="23"/>
        <v>0.95291393416158054</v>
      </c>
      <c r="U52" s="2"/>
      <c r="W52" s="40">
        <v>43292.009143518517</v>
      </c>
      <c r="X52" s="50">
        <f t="shared" si="9"/>
        <v>12.986111111124046</v>
      </c>
      <c r="Y52">
        <v>0</v>
      </c>
      <c r="Z52">
        <v>0</v>
      </c>
      <c r="AA52" s="32">
        <f t="shared" si="10"/>
        <v>0</v>
      </c>
      <c r="AB52" s="32">
        <f t="shared" si="11"/>
        <v>0</v>
      </c>
      <c r="AD52" s="40">
        <v>43292.010555555556</v>
      </c>
      <c r="AE52" s="50">
        <f t="shared" si="12"/>
        <v>13.020000000076834</v>
      </c>
      <c r="AF52">
        <v>2113.0300000000002</v>
      </c>
      <c r="AG52">
        <v>2133.13</v>
      </c>
      <c r="AH52" s="32">
        <f t="shared" si="13"/>
        <v>6.1052566200845515</v>
      </c>
      <c r="AI52" s="32">
        <f t="shared" si="14"/>
        <v>6.7176283456789232</v>
      </c>
      <c r="AK52" s="40">
        <v>43292.011412037034</v>
      </c>
      <c r="AL52" s="50">
        <f t="shared" si="15"/>
        <v>13.040555555548053</v>
      </c>
      <c r="AM52">
        <v>977.49</v>
      </c>
      <c r="AN52">
        <v>995.55</v>
      </c>
      <c r="AO52" s="32">
        <f t="shared" si="24"/>
        <v>0.82306900621286039</v>
      </c>
      <c r="AP52" s="32">
        <f t="shared" si="25"/>
        <v>0.91366584566611142</v>
      </c>
    </row>
    <row r="53" spans="1:65" x14ac:dyDescent="0.2">
      <c r="A53" s="40">
        <v>43292.017962962964</v>
      </c>
      <c r="B53" s="50">
        <f t="shared" si="0"/>
        <v>13.197777777852025</v>
      </c>
      <c r="C53">
        <v>57.65</v>
      </c>
      <c r="D53">
        <v>51.92</v>
      </c>
      <c r="E53" s="32">
        <f t="shared" si="18"/>
        <v>5.1171629313967508E-2</v>
      </c>
      <c r="F53" s="32">
        <f t="shared" si="19"/>
        <v>5.288761919436244E-2</v>
      </c>
      <c r="G53" s="2"/>
      <c r="H53" s="40">
        <v>43292.018807870372</v>
      </c>
      <c r="I53" s="32">
        <f t="shared" si="3"/>
        <v>13.218055555655155</v>
      </c>
      <c r="J53">
        <v>81368.41</v>
      </c>
      <c r="K53">
        <v>68399.27</v>
      </c>
      <c r="L53" s="32">
        <f t="shared" si="20"/>
        <v>107.92955313741322</v>
      </c>
      <c r="M53" s="32">
        <f t="shared" si="21"/>
        <v>104.11790376316718</v>
      </c>
      <c r="N53" s="2"/>
      <c r="O53" s="40">
        <v>43292.01966435185</v>
      </c>
      <c r="P53" s="32">
        <f t="shared" si="6"/>
        <v>13.238611111126374</v>
      </c>
      <c r="Q53">
        <v>1521.93</v>
      </c>
      <c r="R53" s="61">
        <v>1311.51</v>
      </c>
      <c r="S53" s="32">
        <f t="shared" si="22"/>
        <v>0.99783933466169494</v>
      </c>
      <c r="T53" s="32">
        <f t="shared" si="23"/>
        <v>0.9867950175227832</v>
      </c>
      <c r="U53" s="2"/>
      <c r="W53" s="40">
        <v>43292.025636574072</v>
      </c>
      <c r="X53" s="50">
        <f t="shared" si="9"/>
        <v>13.381944444437977</v>
      </c>
      <c r="Y53">
        <v>1.17</v>
      </c>
      <c r="Z53">
        <v>5.3</v>
      </c>
      <c r="AA53" s="32">
        <f t="shared" si="10"/>
        <v>8.9587405796980014E-4</v>
      </c>
      <c r="AB53" s="32">
        <f t="shared" si="11"/>
        <v>4.4232079512436569E-3</v>
      </c>
      <c r="AD53" s="40">
        <v>43292.027048611111</v>
      </c>
      <c r="AE53" s="50">
        <f t="shared" si="12"/>
        <v>13.415833333390765</v>
      </c>
      <c r="AF53">
        <v>2101.13</v>
      </c>
      <c r="AG53">
        <v>2063.8200000000002</v>
      </c>
      <c r="AH53" s="32">
        <f t="shared" si="13"/>
        <v>6.0708735049470448</v>
      </c>
      <c r="AI53" s="32">
        <f t="shared" si="14"/>
        <v>6.4993580946210843</v>
      </c>
      <c r="AK53" s="40">
        <v>43292.027905092589</v>
      </c>
      <c r="AL53" s="50">
        <f t="shared" si="15"/>
        <v>13.436388888861984</v>
      </c>
      <c r="AM53">
        <v>1024.44</v>
      </c>
      <c r="AN53">
        <v>1014.51</v>
      </c>
      <c r="AO53" s="32">
        <f t="shared" si="24"/>
        <v>0.86260198337036975</v>
      </c>
      <c r="AP53" s="32">
        <f t="shared" si="25"/>
        <v>0.9310663824888018</v>
      </c>
      <c r="AV53" s="40"/>
      <c r="AW53" s="40"/>
      <c r="AX53" s="40"/>
      <c r="AY53" s="40"/>
      <c r="AZ53" s="40"/>
      <c r="BA53" s="40"/>
      <c r="BB53" s="40"/>
      <c r="BC53" s="40"/>
      <c r="BD53" s="40"/>
      <c r="BE53" s="40"/>
      <c r="BF53" s="40"/>
      <c r="BG53" s="40"/>
      <c r="BH53" s="40"/>
      <c r="BI53" s="40"/>
      <c r="BJ53" s="40"/>
      <c r="BK53" s="40"/>
      <c r="BL53" s="40"/>
      <c r="BM53" s="40"/>
    </row>
    <row r="54" spans="1:65" x14ac:dyDescent="0.2">
      <c r="A54" s="40">
        <v>43292.034444444442</v>
      </c>
      <c r="B54" s="50">
        <f t="shared" si="0"/>
        <v>13.593333333323244</v>
      </c>
      <c r="C54">
        <v>58.65</v>
      </c>
      <c r="D54">
        <v>51.92</v>
      </c>
      <c r="E54" s="32">
        <f t="shared" si="18"/>
        <v>5.205925514768768E-2</v>
      </c>
      <c r="F54" s="32">
        <f t="shared" si="19"/>
        <v>5.288761919436244E-2</v>
      </c>
      <c r="G54" s="2"/>
      <c r="H54" s="40">
        <v>43292.035300925927</v>
      </c>
      <c r="I54" s="32">
        <f t="shared" si="3"/>
        <v>13.613888888969086</v>
      </c>
      <c r="J54">
        <v>81585.86</v>
      </c>
      <c r="K54">
        <v>67943.320000000007</v>
      </c>
      <c r="L54" s="32">
        <f t="shared" si="20"/>
        <v>108.21798548271444</v>
      </c>
      <c r="M54" s="32">
        <f t="shared" si="21"/>
        <v>103.42385310705909</v>
      </c>
      <c r="N54" s="2"/>
      <c r="O54" s="40">
        <v>43292.036157407405</v>
      </c>
      <c r="P54" s="32">
        <f t="shared" si="6"/>
        <v>13.634444444440305</v>
      </c>
      <c r="Q54">
        <v>1431.48</v>
      </c>
      <c r="R54" s="61">
        <v>1267.1300000000001</v>
      </c>
      <c r="S54" s="32">
        <f t="shared" si="22"/>
        <v>0.93853662834790252</v>
      </c>
      <c r="T54" s="32">
        <f t="shared" si="23"/>
        <v>0.95340300154298829</v>
      </c>
      <c r="U54" s="2"/>
      <c r="W54" s="40">
        <v>43292.042129629626</v>
      </c>
      <c r="X54" s="50">
        <f t="shared" si="9"/>
        <v>13.777777777751908</v>
      </c>
      <c r="Y54">
        <v>0</v>
      </c>
      <c r="Z54">
        <v>21.99</v>
      </c>
      <c r="AA54" s="32">
        <f t="shared" si="10"/>
        <v>0</v>
      </c>
      <c r="AB54" s="32">
        <f t="shared" si="11"/>
        <v>1.8352140159971324E-2</v>
      </c>
      <c r="AD54" s="40">
        <v>43292.043541666666</v>
      </c>
      <c r="AE54" s="50">
        <f t="shared" si="12"/>
        <v>13.811666666704696</v>
      </c>
      <c r="AF54">
        <v>2083.0100000000002</v>
      </c>
      <c r="AG54">
        <v>2120.79</v>
      </c>
      <c r="AH54" s="32">
        <f t="shared" si="13"/>
        <v>6.0185187111410263</v>
      </c>
      <c r="AI54" s="32">
        <f t="shared" si="14"/>
        <v>6.678767360279215</v>
      </c>
      <c r="AK54" s="40">
        <v>43292.044398148151</v>
      </c>
      <c r="AL54" s="50">
        <f t="shared" si="15"/>
        <v>13.832222222350538</v>
      </c>
      <c r="AM54">
        <v>1002.98</v>
      </c>
      <c r="AN54">
        <v>987.5</v>
      </c>
      <c r="AO54" s="32">
        <f t="shared" si="24"/>
        <v>0.84453217102105871</v>
      </c>
      <c r="AP54" s="32">
        <f t="shared" si="25"/>
        <v>0.90627795951512724</v>
      </c>
    </row>
    <row r="55" spans="1:65" x14ac:dyDescent="0.2">
      <c r="A55" s="40">
        <v>43292.050937499997</v>
      </c>
      <c r="B55" s="50">
        <f t="shared" si="0"/>
        <v>13.989166666637175</v>
      </c>
      <c r="C55">
        <v>81.12</v>
      </c>
      <c r="D55">
        <v>66.849999999999994</v>
      </c>
      <c r="E55" s="32">
        <f t="shared" si="18"/>
        <v>7.2004207631379782E-2</v>
      </c>
      <c r="F55" s="32">
        <f t="shared" si="19"/>
        <v>6.809586562294162E-2</v>
      </c>
      <c r="G55" s="2"/>
      <c r="H55" s="40">
        <v>43292.051793981482</v>
      </c>
      <c r="I55" s="32">
        <f t="shared" si="3"/>
        <v>14.009722222283017</v>
      </c>
      <c r="J55">
        <v>81411.649999999994</v>
      </c>
      <c r="K55">
        <v>67711.34</v>
      </c>
      <c r="L55" s="32">
        <f t="shared" si="20"/>
        <v>107.98690799881042</v>
      </c>
      <c r="M55" s="32">
        <f t="shared" si="21"/>
        <v>103.07073133668081</v>
      </c>
      <c r="N55" s="2"/>
      <c r="O55" s="40">
        <v>43292.05265046296</v>
      </c>
      <c r="P55" s="32">
        <f t="shared" si="6"/>
        <v>14.030277777754236</v>
      </c>
      <c r="Q55">
        <v>1554.44</v>
      </c>
      <c r="R55" s="61">
        <v>1351.59</v>
      </c>
      <c r="S55" s="32">
        <f t="shared" si="22"/>
        <v>1.0191542156153865</v>
      </c>
      <c r="T55" s="32">
        <f t="shared" si="23"/>
        <v>1.0169516646717285</v>
      </c>
      <c r="U55" s="2"/>
      <c r="W55" s="40">
        <v>43292.058622685188</v>
      </c>
      <c r="X55" s="50">
        <f t="shared" si="9"/>
        <v>14.173611111240461</v>
      </c>
      <c r="Y55">
        <v>0</v>
      </c>
      <c r="Z55">
        <v>0</v>
      </c>
      <c r="AA55" s="32">
        <f t="shared" si="10"/>
        <v>0</v>
      </c>
      <c r="AB55" s="32">
        <f t="shared" si="11"/>
        <v>0</v>
      </c>
      <c r="AD55" s="40">
        <v>43292.060034722221</v>
      </c>
      <c r="AE55" s="50">
        <f t="shared" si="12"/>
        <v>14.207500000018626</v>
      </c>
      <c r="AF55">
        <v>2165.56</v>
      </c>
      <c r="AG55">
        <v>2189.4699999999998</v>
      </c>
      <c r="AH55" s="32">
        <f t="shared" si="13"/>
        <v>6.2570335140486888</v>
      </c>
      <c r="AI55" s="32">
        <f t="shared" si="14"/>
        <v>6.8950536226172945</v>
      </c>
      <c r="AK55" s="40">
        <v>43292.060891203706</v>
      </c>
      <c r="AL55" s="50">
        <f t="shared" si="15"/>
        <v>14.228055555664469</v>
      </c>
      <c r="AM55">
        <v>943.71</v>
      </c>
      <c r="AN55">
        <v>1021.65</v>
      </c>
      <c r="AO55" s="32">
        <f t="shared" si="24"/>
        <v>0.79462547121007732</v>
      </c>
      <c r="AP55" s="32">
        <f t="shared" si="25"/>
        <v>0.93761911629228334</v>
      </c>
    </row>
    <row r="56" spans="1:65" x14ac:dyDescent="0.2">
      <c r="A56" s="40">
        <v>43292.067430555559</v>
      </c>
      <c r="B56" s="50">
        <f t="shared" si="0"/>
        <v>14.385000000125729</v>
      </c>
      <c r="C56">
        <v>53.15</v>
      </c>
      <c r="D56">
        <v>52.93</v>
      </c>
      <c r="E56" s="32">
        <f t="shared" si="18"/>
        <v>4.7177313062226771E-2</v>
      </c>
      <c r="F56" s="32">
        <f t="shared" si="19"/>
        <v>5.3916442295023188E-2</v>
      </c>
      <c r="G56" s="2"/>
      <c r="H56" s="40">
        <v>43292.068287037036</v>
      </c>
      <c r="I56" s="32">
        <f t="shared" si="3"/>
        <v>14.405555555596948</v>
      </c>
      <c r="J56">
        <v>81494.820000000007</v>
      </c>
      <c r="K56">
        <v>67789.759999999995</v>
      </c>
      <c r="L56" s="32">
        <f t="shared" si="20"/>
        <v>108.0972272361464</v>
      </c>
      <c r="M56" s="32">
        <f t="shared" si="21"/>
        <v>103.19010287402482</v>
      </c>
      <c r="N56" s="2"/>
      <c r="O56" s="40">
        <v>43292.069131944445</v>
      </c>
      <c r="P56" s="32">
        <f t="shared" si="6"/>
        <v>14.425833333400078</v>
      </c>
      <c r="Q56">
        <v>1451.95</v>
      </c>
      <c r="R56" s="61">
        <v>1271.8699999999999</v>
      </c>
      <c r="S56" s="32">
        <f t="shared" si="22"/>
        <v>0.95195759460819351</v>
      </c>
      <c r="T56" s="32">
        <f t="shared" si="23"/>
        <v>0.95696943137048307</v>
      </c>
      <c r="U56" s="2"/>
      <c r="W56" s="40">
        <v>43292.075115740743</v>
      </c>
      <c r="X56" s="50">
        <f t="shared" si="9"/>
        <v>14.569444444554392</v>
      </c>
      <c r="Y56">
        <v>5.68</v>
      </c>
      <c r="Z56">
        <v>0</v>
      </c>
      <c r="AA56" s="32">
        <f t="shared" si="10"/>
        <v>4.3492005549303119E-3</v>
      </c>
      <c r="AB56" s="32">
        <f t="shared" si="11"/>
        <v>0</v>
      </c>
      <c r="AD56" s="40">
        <v>43292.076539351852</v>
      </c>
      <c r="AE56" s="50">
        <f t="shared" si="12"/>
        <v>14.603611111175269</v>
      </c>
      <c r="AF56">
        <v>2108.44</v>
      </c>
      <c r="AG56">
        <v>2117.37</v>
      </c>
      <c r="AH56" s="32">
        <f t="shared" si="13"/>
        <v>6.0919945613886552</v>
      </c>
      <c r="AI56" s="32">
        <f t="shared" si="14"/>
        <v>6.667997135800527</v>
      </c>
      <c r="AK56" s="40">
        <v>43292.077384259261</v>
      </c>
      <c r="AL56" s="50">
        <f t="shared" si="15"/>
        <v>14.623888888978399</v>
      </c>
      <c r="AM56">
        <v>967.94</v>
      </c>
      <c r="AN56">
        <v>1012.53</v>
      </c>
      <c r="AO56" s="32">
        <f t="shared" si="24"/>
        <v>0.8150276871105343</v>
      </c>
      <c r="AP56" s="32">
        <f t="shared" si="25"/>
        <v>0.92924923782060942</v>
      </c>
      <c r="AV56" s="40"/>
      <c r="AW56" s="40"/>
      <c r="AX56" s="40"/>
      <c r="AY56" s="40"/>
      <c r="AZ56" s="40"/>
      <c r="BA56" s="40"/>
      <c r="BB56" s="40"/>
      <c r="BC56" s="40"/>
      <c r="BD56" s="40"/>
      <c r="BE56" s="40"/>
      <c r="BF56" s="40"/>
      <c r="BG56" s="40"/>
      <c r="BH56" s="40"/>
      <c r="BI56" s="40"/>
      <c r="BJ56" s="40"/>
      <c r="BK56" s="40"/>
      <c r="BL56" s="40"/>
      <c r="BM56" s="40"/>
    </row>
    <row r="57" spans="1:65" x14ac:dyDescent="0.2">
      <c r="A57" s="40">
        <v>43292.083935185183</v>
      </c>
      <c r="B57" s="50">
        <f t="shared" si="0"/>
        <v>14.781111111107748</v>
      </c>
      <c r="C57">
        <v>60.14</v>
      </c>
      <c r="D57">
        <v>44.86</v>
      </c>
      <c r="E57" s="32">
        <f t="shared" si="18"/>
        <v>5.3381817639930725E-2</v>
      </c>
      <c r="F57" s="32">
        <f t="shared" si="19"/>
        <v>4.5696043857070476E-2</v>
      </c>
      <c r="G57" s="2"/>
      <c r="H57" s="40">
        <v>43292.084791666668</v>
      </c>
      <c r="I57" s="32">
        <f t="shared" si="3"/>
        <v>14.80166666675359</v>
      </c>
      <c r="J57">
        <v>81303.149999999994</v>
      </c>
      <c r="K57">
        <v>67575.64</v>
      </c>
      <c r="L57" s="32">
        <f t="shared" si="20"/>
        <v>107.84299027305654</v>
      </c>
      <c r="M57" s="32">
        <f t="shared" si="21"/>
        <v>102.86416773533446</v>
      </c>
      <c r="N57" s="2"/>
      <c r="O57" s="40">
        <v>43292.085636574076</v>
      </c>
      <c r="P57" s="32">
        <f t="shared" si="6"/>
        <v>14.821944444556721</v>
      </c>
      <c r="Q57">
        <v>1469.94</v>
      </c>
      <c r="R57" s="61">
        <v>1388.84</v>
      </c>
      <c r="S57" s="32">
        <f t="shared" si="22"/>
        <v>0.96375257179542551</v>
      </c>
      <c r="T57" s="32">
        <f t="shared" si="23"/>
        <v>1.0449789876831608</v>
      </c>
      <c r="U57" s="2"/>
      <c r="W57" s="40">
        <v>43292.091620370367</v>
      </c>
      <c r="X57" s="50">
        <f t="shared" si="9"/>
        <v>14.965555555536412</v>
      </c>
      <c r="Y57">
        <v>0</v>
      </c>
      <c r="Z57">
        <v>4.1100000000000003</v>
      </c>
      <c r="AA57" s="32">
        <f t="shared" si="10"/>
        <v>0</v>
      </c>
      <c r="AB57" s="32">
        <f t="shared" si="11"/>
        <v>3.4300725810587607E-3</v>
      </c>
      <c r="AD57" s="40">
        <v>43292.093032407407</v>
      </c>
      <c r="AE57" s="50">
        <f t="shared" si="12"/>
        <v>14.9994444444892</v>
      </c>
      <c r="AF57">
        <v>2143.13</v>
      </c>
      <c r="AG57">
        <v>2051.87</v>
      </c>
      <c r="AH57" s="32">
        <f t="shared" si="13"/>
        <v>6.1922256760205991</v>
      </c>
      <c r="AI57" s="32">
        <f t="shared" si="14"/>
        <v>6.4617252927145605</v>
      </c>
      <c r="AK57" s="40">
        <v>43292.093877314815</v>
      </c>
      <c r="AL57" s="50">
        <f t="shared" si="15"/>
        <v>15.01972222229233</v>
      </c>
      <c r="AM57">
        <v>993.01</v>
      </c>
      <c r="AN57">
        <v>992.82</v>
      </c>
      <c r="AO57" s="32">
        <f t="shared" si="24"/>
        <v>0.83613720228281863</v>
      </c>
      <c r="AP57" s="32">
        <f t="shared" si="25"/>
        <v>0.91116038862360382</v>
      </c>
    </row>
    <row r="58" spans="1:65" x14ac:dyDescent="0.2">
      <c r="A58" s="40">
        <v>43292.100428240738</v>
      </c>
      <c r="B58" s="50">
        <f t="shared" si="0"/>
        <v>15.176944444421679</v>
      </c>
      <c r="C58">
        <v>71.12</v>
      </c>
      <c r="D58">
        <v>58.8</v>
      </c>
      <c r="E58" s="32">
        <f t="shared" si="18"/>
        <v>6.3127949294178143E-2</v>
      </c>
      <c r="F58" s="32">
        <f t="shared" si="19"/>
        <v>5.9895839919655455E-2</v>
      </c>
      <c r="G58" s="2"/>
      <c r="H58" s="40">
        <v>43292.101284722223</v>
      </c>
      <c r="I58" s="32">
        <f t="shared" si="3"/>
        <v>15.197500000067521</v>
      </c>
      <c r="J58">
        <v>81220.39</v>
      </c>
      <c r="K58">
        <v>67808.460000000006</v>
      </c>
      <c r="L58" s="32">
        <f t="shared" si="20"/>
        <v>107.73321487228796</v>
      </c>
      <c r="M58" s="32">
        <f t="shared" si="21"/>
        <v>103.21856816028259</v>
      </c>
      <c r="N58" s="2"/>
      <c r="O58" s="40">
        <v>43292.102129629631</v>
      </c>
      <c r="P58" s="32">
        <f t="shared" si="6"/>
        <v>15.217777777870651</v>
      </c>
      <c r="Q58">
        <v>1463.47</v>
      </c>
      <c r="R58" s="61">
        <v>1315.51</v>
      </c>
      <c r="S58" s="32">
        <f t="shared" si="22"/>
        <v>0.95951057610885571</v>
      </c>
      <c r="T58" s="32">
        <f t="shared" si="23"/>
        <v>0.98980466294682967</v>
      </c>
      <c r="U58" s="2"/>
      <c r="W58" s="40">
        <v>43292.108113425929</v>
      </c>
      <c r="X58" s="50">
        <f t="shared" si="9"/>
        <v>15.361388889024965</v>
      </c>
      <c r="Y58">
        <v>0</v>
      </c>
      <c r="Z58">
        <v>6.5</v>
      </c>
      <c r="AA58" s="32">
        <f t="shared" si="10"/>
        <v>0</v>
      </c>
      <c r="AB58" s="32">
        <f t="shared" si="11"/>
        <v>5.4246889968082579E-3</v>
      </c>
      <c r="AD58" s="40">
        <v>43292.109537037039</v>
      </c>
      <c r="AE58" s="50">
        <f t="shared" si="12"/>
        <v>15.395555555645842</v>
      </c>
      <c r="AF58">
        <v>2081.66</v>
      </c>
      <c r="AG58">
        <v>2133.9899999999998</v>
      </c>
      <c r="AH58" s="32">
        <f t="shared" si="13"/>
        <v>6.0146181056422323</v>
      </c>
      <c r="AI58" s="32">
        <f t="shared" si="14"/>
        <v>6.7203366477408144</v>
      </c>
      <c r="AK58" s="40">
        <v>43292.110381944447</v>
      </c>
      <c r="AL58" s="50">
        <f t="shared" si="15"/>
        <v>15.415833333448973</v>
      </c>
      <c r="AM58">
        <v>973.98</v>
      </c>
      <c r="AN58">
        <v>989.03</v>
      </c>
      <c r="AO58" s="32">
        <f t="shared" si="24"/>
        <v>0.82011350568415198</v>
      </c>
      <c r="AP58" s="32">
        <f t="shared" si="25"/>
        <v>0.90768211675873034</v>
      </c>
    </row>
    <row r="59" spans="1:65" x14ac:dyDescent="0.2">
      <c r="A59" s="40">
        <v>43292.116932870369</v>
      </c>
      <c r="B59" s="50">
        <f t="shared" si="0"/>
        <v>15.573055555578321</v>
      </c>
      <c r="C59">
        <v>77.12</v>
      </c>
      <c r="D59">
        <v>55.96</v>
      </c>
      <c r="E59" s="32">
        <f t="shared" ref="E59:E75" si="26">(C59/$B$5)/$C$18</f>
        <v>6.8453704296499135E-2</v>
      </c>
      <c r="F59" s="32">
        <f t="shared" ref="F59:F75" si="27">(D59/$C$5)/$C$18</f>
        <v>5.7002911597005428E-2</v>
      </c>
      <c r="G59" s="2"/>
      <c r="H59" s="40">
        <v>43292.117777777778</v>
      </c>
      <c r="I59" s="32">
        <f t="shared" si="3"/>
        <v>15.593333333381452</v>
      </c>
      <c r="J59">
        <v>81233.22</v>
      </c>
      <c r="K59">
        <v>67192.88</v>
      </c>
      <c r="L59" s="32">
        <f t="shared" si="20"/>
        <v>107.75023297755453</v>
      </c>
      <c r="M59" s="32">
        <f t="shared" si="21"/>
        <v>102.28152746966512</v>
      </c>
      <c r="N59" s="2"/>
      <c r="O59" s="40">
        <v>43292.118634259263</v>
      </c>
      <c r="P59" s="32">
        <f t="shared" si="6"/>
        <v>15.613888889027294</v>
      </c>
      <c r="Q59">
        <v>1447.9</v>
      </c>
      <c r="R59" s="61">
        <v>1310.45</v>
      </c>
      <c r="S59" s="32">
        <f t="shared" si="22"/>
        <v>0.94930224954936715</v>
      </c>
      <c r="T59" s="32">
        <f t="shared" si="23"/>
        <v>0.98599746148541101</v>
      </c>
      <c r="U59" s="2"/>
      <c r="W59" s="40">
        <v>43292.124606481484</v>
      </c>
      <c r="X59" s="50">
        <f t="shared" si="9"/>
        <v>15.757222222338896</v>
      </c>
      <c r="Y59">
        <v>3.17</v>
      </c>
      <c r="Z59">
        <v>0</v>
      </c>
      <c r="AA59" s="32">
        <f t="shared" si="10"/>
        <v>2.4272827040720231E-3</v>
      </c>
      <c r="AB59" s="32">
        <f t="shared" si="11"/>
        <v>0</v>
      </c>
      <c r="AD59" s="40">
        <v>43292.126030092593</v>
      </c>
      <c r="AE59" s="50">
        <f t="shared" si="12"/>
        <v>15.791388888959773</v>
      </c>
      <c r="AF59">
        <v>2088.48</v>
      </c>
      <c r="AG59">
        <v>2138.21</v>
      </c>
      <c r="AH59" s="32">
        <f t="shared" si="13"/>
        <v>6.0343233867546529</v>
      </c>
      <c r="AI59" s="32">
        <f t="shared" si="14"/>
        <v>6.7336262229747508</v>
      </c>
      <c r="AK59" s="40">
        <v>43292.126886574071</v>
      </c>
      <c r="AL59" s="50">
        <f t="shared" si="15"/>
        <v>15.811944444430992</v>
      </c>
      <c r="AM59">
        <v>994.7</v>
      </c>
      <c r="AN59">
        <v>964.51</v>
      </c>
      <c r="AO59" s="32">
        <f t="shared" si="24"/>
        <v>0.83756022105590056</v>
      </c>
      <c r="AP59" s="32">
        <f t="shared" si="25"/>
        <v>0.88517889086778268</v>
      </c>
      <c r="AV59" s="40"/>
      <c r="AW59" s="40"/>
      <c r="AX59" s="40"/>
      <c r="AY59" s="40"/>
      <c r="AZ59" s="40"/>
      <c r="BA59" s="40"/>
      <c r="BB59" s="40"/>
      <c r="BC59" s="40"/>
      <c r="BD59" s="40"/>
      <c r="BE59" s="40"/>
      <c r="BF59" s="40"/>
      <c r="BG59" s="40"/>
      <c r="BH59" s="40"/>
      <c r="BI59" s="40"/>
      <c r="BJ59" s="40"/>
      <c r="BK59" s="40"/>
      <c r="BL59" s="40"/>
      <c r="BM59" s="40"/>
    </row>
    <row r="60" spans="1:65" x14ac:dyDescent="0.2">
      <c r="A60" s="40">
        <v>43292.132754629631</v>
      </c>
      <c r="B60" s="50">
        <f t="shared" si="0"/>
        <v>15.952777777856681</v>
      </c>
      <c r="C60">
        <v>61.11</v>
      </c>
      <c r="D60">
        <v>55.94</v>
      </c>
      <c r="E60" s="32">
        <f t="shared" si="26"/>
        <v>5.4242814698639286E-2</v>
      </c>
      <c r="F60" s="32">
        <f t="shared" si="27"/>
        <v>5.698253886233888E-2</v>
      </c>
      <c r="G60" s="2"/>
      <c r="H60" s="40">
        <v>43292.133611111109</v>
      </c>
      <c r="I60" s="32">
        <f t="shared" si="3"/>
        <v>15.973333333327901</v>
      </c>
      <c r="J60">
        <v>81381.61</v>
      </c>
      <c r="K60">
        <v>67565.48</v>
      </c>
      <c r="L60" s="32">
        <f t="shared" si="20"/>
        <v>107.94706202202106</v>
      </c>
      <c r="M60" s="32">
        <f t="shared" si="21"/>
        <v>102.84870210387035</v>
      </c>
      <c r="N60" s="2"/>
      <c r="O60" s="40">
        <v>43292.134456018517</v>
      </c>
      <c r="P60" s="32">
        <f t="shared" si="6"/>
        <v>15.993611111131031</v>
      </c>
      <c r="Q60">
        <v>1496.12</v>
      </c>
      <c r="R60" s="61">
        <v>1281.03</v>
      </c>
      <c r="S60" s="32">
        <f t="shared" si="22"/>
        <v>0.98091724676828429</v>
      </c>
      <c r="T60" s="32">
        <f t="shared" si="23"/>
        <v>0.96386151939154951</v>
      </c>
      <c r="U60" s="2"/>
      <c r="W60" s="40">
        <v>43292.140439814815</v>
      </c>
      <c r="X60" s="50">
        <f t="shared" si="9"/>
        <v>16.137222222285345</v>
      </c>
      <c r="Y60">
        <v>5.66</v>
      </c>
      <c r="Z60">
        <v>4.1100000000000003</v>
      </c>
      <c r="AA60" s="32">
        <f t="shared" si="10"/>
        <v>4.3338864684692897E-3</v>
      </c>
      <c r="AB60" s="32">
        <f t="shared" si="11"/>
        <v>3.4300725810587607E-3</v>
      </c>
      <c r="AD60" s="40">
        <v>43292.141712962963</v>
      </c>
      <c r="AE60" s="50">
        <f t="shared" si="12"/>
        <v>16.167777777824085</v>
      </c>
      <c r="AF60">
        <v>2099.94</v>
      </c>
      <c r="AG60">
        <v>2114.04</v>
      </c>
      <c r="AH60" s="32">
        <f t="shared" si="13"/>
        <v>6.067435193433294</v>
      </c>
      <c r="AI60" s="32">
        <f t="shared" si="14"/>
        <v>6.6575103382818064</v>
      </c>
      <c r="AK60" s="40">
        <v>43292.142557870371</v>
      </c>
      <c r="AL60" s="50">
        <f t="shared" si="15"/>
        <v>16.188055555627216</v>
      </c>
      <c r="AM60">
        <v>1004.17</v>
      </c>
      <c r="AN60">
        <v>966.56</v>
      </c>
      <c r="AO60" s="32">
        <f t="shared" si="24"/>
        <v>0.84553417832281441</v>
      </c>
      <c r="AP60" s="32">
        <f t="shared" si="25"/>
        <v>0.88706027802424436</v>
      </c>
    </row>
    <row r="61" spans="1:65" x14ac:dyDescent="0.2">
      <c r="A61" s="40">
        <v>43292.149108796293</v>
      </c>
      <c r="B61" s="50">
        <f t="shared" si="0"/>
        <v>16.345277777756564</v>
      </c>
      <c r="C61">
        <v>57.66</v>
      </c>
      <c r="D61">
        <v>59.99</v>
      </c>
      <c r="E61" s="32">
        <f t="shared" si="26"/>
        <v>5.1180505572304712E-2</v>
      </c>
      <c r="F61" s="32">
        <f t="shared" si="27"/>
        <v>6.1108017632315152E-2</v>
      </c>
      <c r="G61" s="2"/>
      <c r="H61" s="40">
        <v>43292.149953703702</v>
      </c>
      <c r="I61" s="32">
        <f t="shared" si="3"/>
        <v>16.365555555559695</v>
      </c>
      <c r="J61">
        <v>81098.179999999993</v>
      </c>
      <c r="K61">
        <v>67032.570000000007</v>
      </c>
      <c r="L61" s="32">
        <f t="shared" si="20"/>
        <v>107.57111178229367</v>
      </c>
      <c r="M61" s="32">
        <f t="shared" si="21"/>
        <v>102.0375023338373</v>
      </c>
      <c r="N61" s="2"/>
      <c r="O61" s="40">
        <v>43292.150810185187</v>
      </c>
      <c r="P61" s="32">
        <f t="shared" si="6"/>
        <v>16.386111111205537</v>
      </c>
      <c r="Q61">
        <v>1541.89</v>
      </c>
      <c r="R61" s="61">
        <v>1237.51</v>
      </c>
      <c r="S61" s="32">
        <f t="shared" si="22"/>
        <v>1.0109259241368007</v>
      </c>
      <c r="T61" s="32">
        <f t="shared" si="23"/>
        <v>0.93111657717792429</v>
      </c>
      <c r="U61" s="2"/>
      <c r="W61" s="40">
        <v>43292.156793981485</v>
      </c>
      <c r="X61" s="50">
        <f t="shared" si="9"/>
        <v>16.529722222359851</v>
      </c>
      <c r="Y61">
        <v>0</v>
      </c>
      <c r="Z61">
        <v>5.3</v>
      </c>
      <c r="AA61" s="32">
        <f t="shared" si="10"/>
        <v>0</v>
      </c>
      <c r="AB61" s="32">
        <f t="shared" si="11"/>
        <v>4.4232079512436569E-3</v>
      </c>
      <c r="AD61" s="40">
        <v>43292.158194444448</v>
      </c>
      <c r="AE61" s="50">
        <f t="shared" si="12"/>
        <v>16.563333333469927</v>
      </c>
      <c r="AF61">
        <v>2105.4699999999998</v>
      </c>
      <c r="AG61">
        <v>2084.36</v>
      </c>
      <c r="AH61" s="32">
        <f t="shared" si="13"/>
        <v>6.0834132292913115</v>
      </c>
      <c r="AI61" s="32">
        <f t="shared" si="14"/>
        <v>6.5640424252620893</v>
      </c>
      <c r="AK61" s="40">
        <v>43292.159050925926</v>
      </c>
      <c r="AL61" s="50">
        <f t="shared" si="15"/>
        <v>16.583888888941146</v>
      </c>
      <c r="AM61">
        <v>1019.97</v>
      </c>
      <c r="AN61">
        <v>978.74</v>
      </c>
      <c r="AO61" s="32">
        <f t="shared" si="24"/>
        <v>0.85883814081671539</v>
      </c>
      <c r="AP61" s="32">
        <f t="shared" si="25"/>
        <v>0.8982384709831247</v>
      </c>
    </row>
    <row r="62" spans="1:65" x14ac:dyDescent="0.2">
      <c r="A62" s="40">
        <v>43292.165601851855</v>
      </c>
      <c r="B62" s="50">
        <f t="shared" si="0"/>
        <v>16.741111111245118</v>
      </c>
      <c r="C62">
        <v>71.13</v>
      </c>
      <c r="D62">
        <v>68.69</v>
      </c>
      <c r="E62" s="32">
        <f t="shared" si="26"/>
        <v>6.3136825552515333E-2</v>
      </c>
      <c r="F62" s="32">
        <f t="shared" si="27"/>
        <v>6.997015721226417E-2</v>
      </c>
      <c r="G62" s="2"/>
      <c r="H62" s="40">
        <v>43292.166458333333</v>
      </c>
      <c r="I62" s="32">
        <f t="shared" si="3"/>
        <v>16.761666666716337</v>
      </c>
      <c r="J62">
        <v>81195.009999999995</v>
      </c>
      <c r="K62">
        <v>67338.210000000006</v>
      </c>
      <c r="L62" s="32">
        <f t="shared" si="20"/>
        <v>107.69955006233742</v>
      </c>
      <c r="M62" s="32">
        <f t="shared" si="21"/>
        <v>102.5027499323303</v>
      </c>
      <c r="N62" s="2"/>
      <c r="O62" s="40">
        <v>43292.167303240742</v>
      </c>
      <c r="P62" s="32">
        <f t="shared" si="6"/>
        <v>16.781944444519468</v>
      </c>
      <c r="Q62">
        <v>1530.9</v>
      </c>
      <c r="R62" s="61">
        <v>1301.4100000000001</v>
      </c>
      <c r="S62" s="32">
        <f t="shared" si="22"/>
        <v>1.0037204322364295</v>
      </c>
      <c r="T62" s="32">
        <f t="shared" si="23"/>
        <v>0.97919566282706616</v>
      </c>
      <c r="U62" s="2"/>
      <c r="W62" s="40">
        <v>43292.17328703704</v>
      </c>
      <c r="X62" s="50">
        <f t="shared" si="9"/>
        <v>16.925555555673782</v>
      </c>
      <c r="Y62">
        <v>0</v>
      </c>
      <c r="Z62">
        <v>4.1100000000000003</v>
      </c>
      <c r="AA62" s="32">
        <f t="shared" si="10"/>
        <v>0</v>
      </c>
      <c r="AB62" s="32">
        <f t="shared" si="11"/>
        <v>3.4300725810587607E-3</v>
      </c>
      <c r="AD62" s="40">
        <v>43292.174699074072</v>
      </c>
      <c r="AE62" s="50">
        <f t="shared" si="12"/>
        <v>16.959444444451947</v>
      </c>
      <c r="AF62">
        <v>2113.5</v>
      </c>
      <c r="AG62">
        <v>2029.28</v>
      </c>
      <c r="AH62" s="32">
        <f t="shared" si="13"/>
        <v>6.1066146086656126</v>
      </c>
      <c r="AI62" s="32">
        <f t="shared" si="14"/>
        <v>6.3905851257632316</v>
      </c>
      <c r="AK62" s="40">
        <v>43292.175555555557</v>
      </c>
      <c r="AL62" s="50">
        <f t="shared" si="15"/>
        <v>16.980000000097789</v>
      </c>
      <c r="AM62">
        <v>949.72</v>
      </c>
      <c r="AN62">
        <v>949.77</v>
      </c>
      <c r="AO62" s="32">
        <f t="shared" si="24"/>
        <v>0.79968602909541564</v>
      </c>
      <c r="AP62" s="32">
        <f t="shared" si="25"/>
        <v>0.87165125833790624</v>
      </c>
      <c r="AV62" s="40"/>
      <c r="AW62" s="40"/>
      <c r="AX62" s="40"/>
      <c r="AY62" s="40"/>
      <c r="AZ62" s="40"/>
      <c r="BA62" s="40"/>
      <c r="BB62" s="40"/>
      <c r="BC62" s="40"/>
      <c r="BD62" s="40"/>
      <c r="BE62" s="40"/>
      <c r="BF62" s="40"/>
      <c r="BG62" s="40"/>
      <c r="BH62" s="40"/>
      <c r="BI62" s="40"/>
      <c r="BJ62" s="40"/>
      <c r="BK62" s="40"/>
      <c r="BL62" s="40"/>
      <c r="BM62" s="40"/>
    </row>
    <row r="63" spans="1:65" x14ac:dyDescent="0.2">
      <c r="A63" s="40">
        <v>43292.18209490741</v>
      </c>
      <c r="B63" s="50">
        <f t="shared" si="0"/>
        <v>17.136944444559049</v>
      </c>
      <c r="C63">
        <v>68.14</v>
      </c>
      <c r="D63">
        <v>59.97</v>
      </c>
      <c r="E63" s="32">
        <f t="shared" si="26"/>
        <v>6.0482824309692047E-2</v>
      </c>
      <c r="F63" s="32">
        <f t="shared" si="27"/>
        <v>6.1087644897648605E-2</v>
      </c>
      <c r="G63" s="2"/>
      <c r="H63" s="40">
        <v>43292.182951388888</v>
      </c>
      <c r="I63" s="32">
        <f t="shared" si="3"/>
        <v>17.157500000030268</v>
      </c>
      <c r="J63">
        <v>80683.08</v>
      </c>
      <c r="K63">
        <v>66632.61</v>
      </c>
      <c r="L63" s="32">
        <f t="shared" si="20"/>
        <v>107.02051041860301</v>
      </c>
      <c r="M63" s="32">
        <f t="shared" si="21"/>
        <v>101.42868009364209</v>
      </c>
      <c r="N63" s="2"/>
      <c r="O63" s="40">
        <v>43292.183807870373</v>
      </c>
      <c r="P63" s="32">
        <f t="shared" si="6"/>
        <v>17.17805555567611</v>
      </c>
      <c r="Q63">
        <v>1539.32</v>
      </c>
      <c r="R63" s="61">
        <v>1325.97</v>
      </c>
      <c r="S63" s="32">
        <f t="shared" si="22"/>
        <v>1.0092409273957674</v>
      </c>
      <c r="T63" s="32">
        <f t="shared" si="23"/>
        <v>0.99767488573071117</v>
      </c>
      <c r="U63" s="2"/>
      <c r="W63" s="40">
        <v>43292.189780092594</v>
      </c>
      <c r="X63" s="50">
        <f t="shared" si="9"/>
        <v>17.321388888987713</v>
      </c>
      <c r="Y63">
        <v>0</v>
      </c>
      <c r="Z63">
        <v>0</v>
      </c>
      <c r="AA63" s="32">
        <f t="shared" si="10"/>
        <v>0</v>
      </c>
      <c r="AB63" s="32">
        <f t="shared" si="11"/>
        <v>0</v>
      </c>
      <c r="AD63" s="40">
        <v>43292.191192129627</v>
      </c>
      <c r="AE63" s="50">
        <f t="shared" si="12"/>
        <v>17.355277777765878</v>
      </c>
      <c r="AF63">
        <v>2053.88</v>
      </c>
      <c r="AG63">
        <v>1999.25</v>
      </c>
      <c r="AH63" s="32">
        <f t="shared" si="13"/>
        <v>5.9343523124892963</v>
      </c>
      <c r="AI63" s="32">
        <f t="shared" si="14"/>
        <v>6.2960149967880934</v>
      </c>
      <c r="AK63" s="40">
        <v>43292.192048611112</v>
      </c>
      <c r="AL63" s="50">
        <f t="shared" si="15"/>
        <v>17.37583333341172</v>
      </c>
      <c r="AM63">
        <v>998.46</v>
      </c>
      <c r="AN63">
        <v>1011.17</v>
      </c>
      <c r="AO63" s="32">
        <f t="shared" si="24"/>
        <v>0.84072622732027191</v>
      </c>
      <c r="AP63" s="32">
        <f t="shared" si="25"/>
        <v>0.92800109804851771</v>
      </c>
    </row>
    <row r="64" spans="1:65" x14ac:dyDescent="0.2">
      <c r="A64" s="40">
        <v>43292.198680555557</v>
      </c>
      <c r="B64" s="50">
        <f t="shared" si="0"/>
        <v>17.535000000090804</v>
      </c>
      <c r="C64">
        <v>59.63</v>
      </c>
      <c r="D64">
        <v>45.86</v>
      </c>
      <c r="E64" s="32">
        <f t="shared" si="26"/>
        <v>5.2929128464733438E-2</v>
      </c>
      <c r="F64" s="32">
        <f t="shared" si="27"/>
        <v>4.6714680590397947E-2</v>
      </c>
      <c r="G64" s="2"/>
      <c r="H64" s="40">
        <v>43292.199537037035</v>
      </c>
      <c r="I64" s="32">
        <f t="shared" si="3"/>
        <v>17.555555555562023</v>
      </c>
      <c r="J64">
        <v>80569.7</v>
      </c>
      <c r="K64">
        <v>67060.37</v>
      </c>
      <c r="L64" s="32">
        <f t="shared" si="20"/>
        <v>106.87011971126684</v>
      </c>
      <c r="M64" s="32">
        <f t="shared" si="21"/>
        <v>102.0798197112686</v>
      </c>
      <c r="N64" s="2"/>
      <c r="O64" s="40">
        <v>43292.20039351852</v>
      </c>
      <c r="P64" s="32">
        <f t="shared" si="6"/>
        <v>17.576111111207865</v>
      </c>
      <c r="Q64">
        <v>1547.92</v>
      </c>
      <c r="R64" s="61">
        <v>1255.69</v>
      </c>
      <c r="S64" s="32">
        <f t="shared" si="22"/>
        <v>1.0148794378910535</v>
      </c>
      <c r="T64" s="32">
        <f t="shared" si="23"/>
        <v>0.94479541563021541</v>
      </c>
      <c r="U64" s="2"/>
      <c r="W64" s="40">
        <v>43292.206365740742</v>
      </c>
      <c r="X64" s="50">
        <f t="shared" si="9"/>
        <v>17.719444444519468</v>
      </c>
      <c r="Y64">
        <v>0</v>
      </c>
      <c r="Z64">
        <v>3.89</v>
      </c>
      <c r="AA64" s="32">
        <f t="shared" si="10"/>
        <v>0</v>
      </c>
      <c r="AB64" s="32">
        <f t="shared" si="11"/>
        <v>3.2464677227052501E-3</v>
      </c>
      <c r="AD64" s="40">
        <v>43292.207650462966</v>
      </c>
      <c r="AE64" s="50">
        <f t="shared" si="12"/>
        <v>17.750277777900919</v>
      </c>
      <c r="AF64">
        <v>2071.98</v>
      </c>
      <c r="AG64">
        <v>2043.51</v>
      </c>
      <c r="AH64" s="32">
        <f t="shared" si="13"/>
        <v>5.986649319547185</v>
      </c>
      <c r="AI64" s="32">
        <f t="shared" si="14"/>
        <v>6.4353980773222146</v>
      </c>
      <c r="AK64" s="40">
        <v>43292.208506944444</v>
      </c>
      <c r="AL64" s="50">
        <f t="shared" si="15"/>
        <v>17.770833333372138</v>
      </c>
      <c r="AM64">
        <v>929.94</v>
      </c>
      <c r="AN64">
        <v>914.38</v>
      </c>
      <c r="AO64" s="32">
        <f t="shared" si="24"/>
        <v>0.78303081528975993</v>
      </c>
      <c r="AP64" s="32">
        <f t="shared" si="25"/>
        <v>0.8391720917685489</v>
      </c>
    </row>
    <row r="65" spans="1:65" x14ac:dyDescent="0.2">
      <c r="A65" s="40">
        <v>43292.215057870373</v>
      </c>
      <c r="B65" s="50">
        <f t="shared" si="0"/>
        <v>17.92805555567611</v>
      </c>
      <c r="C65">
        <v>52.14</v>
      </c>
      <c r="D65">
        <v>56.97</v>
      </c>
      <c r="E65" s="32">
        <f t="shared" si="26"/>
        <v>4.6280810970169402E-2</v>
      </c>
      <c r="F65" s="32">
        <f t="shared" si="27"/>
        <v>5.8031734697666183E-2</v>
      </c>
      <c r="G65" s="2"/>
      <c r="H65" s="40">
        <v>43292.215914351851</v>
      </c>
      <c r="I65" s="32">
        <f t="shared" si="3"/>
        <v>17.948611111147329</v>
      </c>
      <c r="J65">
        <v>80723.31</v>
      </c>
      <c r="K65">
        <v>67526.84</v>
      </c>
      <c r="L65" s="32">
        <f t="shared" si="20"/>
        <v>107.07387272373738</v>
      </c>
      <c r="M65" s="32">
        <f t="shared" si="21"/>
        <v>102.78988399365647</v>
      </c>
      <c r="N65" s="2"/>
      <c r="O65" s="40">
        <v>43292.216770833336</v>
      </c>
      <c r="P65" s="32">
        <f t="shared" si="6"/>
        <v>17.969166666793171</v>
      </c>
      <c r="Q65">
        <v>1556.41</v>
      </c>
      <c r="R65" s="61">
        <v>1268.3699999999999</v>
      </c>
      <c r="S65" s="32">
        <f t="shared" si="22"/>
        <v>1.0204458279032602</v>
      </c>
      <c r="T65" s="32">
        <f t="shared" si="23"/>
        <v>0.95433599162444238</v>
      </c>
      <c r="U65" s="2"/>
      <c r="W65" s="40">
        <v>43292.222743055558</v>
      </c>
      <c r="X65" s="50">
        <f t="shared" si="9"/>
        <v>18.112500000104774</v>
      </c>
      <c r="Y65">
        <v>0</v>
      </c>
      <c r="Z65">
        <v>0.53</v>
      </c>
      <c r="AA65" s="32">
        <f t="shared" si="10"/>
        <v>0</v>
      </c>
      <c r="AB65" s="32">
        <f t="shared" si="11"/>
        <v>4.4232079512436572E-4</v>
      </c>
      <c r="AD65" s="40">
        <v>43292.224166666667</v>
      </c>
      <c r="AE65" s="50">
        <f t="shared" si="12"/>
        <v>18.14666666672565</v>
      </c>
      <c r="AF65">
        <v>2073.0300000000002</v>
      </c>
      <c r="AG65">
        <v>2208.0500000000002</v>
      </c>
      <c r="AH65" s="32">
        <f t="shared" si="13"/>
        <v>5.9896831238240251</v>
      </c>
      <c r="AI65" s="32">
        <f t="shared" si="14"/>
        <v>6.9535655439079411</v>
      </c>
      <c r="AK65" s="40">
        <v>43292.225023148145</v>
      </c>
      <c r="AL65" s="50">
        <f t="shared" si="15"/>
        <v>18.16722222219687</v>
      </c>
      <c r="AM65">
        <v>975.04</v>
      </c>
      <c r="AN65">
        <v>982.98</v>
      </c>
      <c r="AO65" s="32">
        <f t="shared" si="24"/>
        <v>0.82100605000336313</v>
      </c>
      <c r="AP65" s="32">
        <f t="shared" si="25"/>
        <v>0.90212973027258725</v>
      </c>
      <c r="AV65" s="40"/>
      <c r="AW65" s="40"/>
      <c r="AX65" s="40"/>
      <c r="AY65" s="40"/>
      <c r="AZ65" s="40"/>
      <c r="BA65" s="40"/>
      <c r="BB65" s="40"/>
      <c r="BC65" s="40"/>
      <c r="BD65" s="40"/>
      <c r="BE65" s="40"/>
      <c r="BF65" s="40"/>
      <c r="BG65" s="40"/>
      <c r="BH65" s="40"/>
      <c r="BI65" s="40"/>
      <c r="BJ65" s="40"/>
      <c r="BK65" s="40"/>
      <c r="BL65" s="40"/>
      <c r="BM65" s="40"/>
    </row>
    <row r="66" spans="1:65" x14ac:dyDescent="0.2">
      <c r="A66" s="40">
        <v>43292.231562499997</v>
      </c>
      <c r="B66" s="50">
        <f t="shared" si="0"/>
        <v>18.32416666665813</v>
      </c>
      <c r="C66">
        <v>35.159999999999997</v>
      </c>
      <c r="D66">
        <v>45.87</v>
      </c>
      <c r="E66" s="32">
        <f t="shared" si="26"/>
        <v>3.1208924313600998E-2</v>
      </c>
      <c r="F66" s="32">
        <f t="shared" si="27"/>
        <v>4.6724866957731218E-2</v>
      </c>
      <c r="G66" s="2"/>
      <c r="H66" s="40">
        <v>43292.232418981483</v>
      </c>
      <c r="I66" s="32">
        <f t="shared" si="3"/>
        <v>18.344722222303972</v>
      </c>
      <c r="J66">
        <v>80374.740000000005</v>
      </c>
      <c r="K66">
        <v>66851.09</v>
      </c>
      <c r="L66" s="32">
        <f t="shared" si="20"/>
        <v>106.61151879133158</v>
      </c>
      <c r="M66" s="32">
        <f t="shared" si="21"/>
        <v>101.76125205843319</v>
      </c>
      <c r="N66" s="2"/>
      <c r="O66" s="40">
        <v>43292.233275462961</v>
      </c>
      <c r="P66" s="32">
        <f t="shared" si="6"/>
        <v>18.365277777775191</v>
      </c>
      <c r="Q66">
        <v>1527.84</v>
      </c>
      <c r="R66" s="61">
        <v>1188.3399999999999</v>
      </c>
      <c r="S66" s="32">
        <f t="shared" si="22"/>
        <v>1.0017141715253159</v>
      </c>
      <c r="T66" s="32">
        <f t="shared" si="23"/>
        <v>0.89412051080283361</v>
      </c>
      <c r="U66" s="2"/>
      <c r="W66" s="40">
        <v>43292.239247685182</v>
      </c>
      <c r="X66" s="50">
        <f t="shared" si="9"/>
        <v>18.508611111086793</v>
      </c>
      <c r="Y66">
        <v>0</v>
      </c>
      <c r="Z66">
        <v>2.92</v>
      </c>
      <c r="AA66" s="32">
        <f t="shared" si="10"/>
        <v>0</v>
      </c>
      <c r="AB66" s="32">
        <f t="shared" si="11"/>
        <v>2.4369372108738636E-3</v>
      </c>
      <c r="AD66" s="40">
        <v>43292.240659722222</v>
      </c>
      <c r="AE66" s="50">
        <f t="shared" si="12"/>
        <v>18.542500000039581</v>
      </c>
      <c r="AF66">
        <v>2118.9899999999998</v>
      </c>
      <c r="AG66">
        <v>2120.9299999999998</v>
      </c>
      <c r="AH66" s="32">
        <f t="shared" si="13"/>
        <v>6.1224770710273697</v>
      </c>
      <c r="AI66" s="32">
        <f t="shared" si="14"/>
        <v>6.6792082466613838</v>
      </c>
      <c r="AK66" s="40">
        <v>43292.241516203707</v>
      </c>
      <c r="AL66" s="50">
        <f t="shared" si="15"/>
        <v>18.563055555685423</v>
      </c>
      <c r="AM66">
        <v>949.53</v>
      </c>
      <c r="AN66">
        <v>976.34</v>
      </c>
      <c r="AO66" s="32">
        <f t="shared" si="24"/>
        <v>0.79952604473631173</v>
      </c>
      <c r="AP66" s="32">
        <f t="shared" si="25"/>
        <v>0.89603587138531593</v>
      </c>
    </row>
    <row r="67" spans="1:65" x14ac:dyDescent="0.2">
      <c r="A67" s="40">
        <v>43292.248067129629</v>
      </c>
      <c r="B67" s="50">
        <f t="shared" si="0"/>
        <v>18.720277777814772</v>
      </c>
      <c r="C67">
        <v>57.63</v>
      </c>
      <c r="D67">
        <v>54.93</v>
      </c>
      <c r="E67" s="32">
        <f t="shared" si="26"/>
        <v>5.1153876797293107E-2</v>
      </c>
      <c r="F67" s="32">
        <f t="shared" si="27"/>
        <v>5.5953715761678138E-2</v>
      </c>
      <c r="G67" s="2"/>
      <c r="H67" s="40">
        <v>43292.248923611114</v>
      </c>
      <c r="I67" s="32">
        <f t="shared" si="3"/>
        <v>18.740833333460614</v>
      </c>
      <c r="J67">
        <v>80372.25</v>
      </c>
      <c r="K67">
        <v>66560.09</v>
      </c>
      <c r="L67" s="32">
        <f t="shared" si="20"/>
        <v>106.60821597900782</v>
      </c>
      <c r="M67" s="32">
        <f t="shared" si="21"/>
        <v>101.31828958244358</v>
      </c>
      <c r="N67" s="2"/>
      <c r="O67" s="40">
        <v>43292.249780092592</v>
      </c>
      <c r="P67" s="32">
        <f t="shared" si="6"/>
        <v>18.761388888931833</v>
      </c>
      <c r="Q67">
        <v>1430.5</v>
      </c>
      <c r="R67" s="61">
        <v>1302.4100000000001</v>
      </c>
      <c r="S67" s="32">
        <f t="shared" si="22"/>
        <v>0.93789410040774202</v>
      </c>
      <c r="T67" s="32">
        <f t="shared" si="23"/>
        <v>0.97994807418307772</v>
      </c>
      <c r="U67" s="2"/>
      <c r="W67" s="40">
        <v>43292.255752314813</v>
      </c>
      <c r="X67" s="50">
        <f t="shared" si="9"/>
        <v>18.904722222243436</v>
      </c>
      <c r="Y67">
        <v>0</v>
      </c>
      <c r="Z67">
        <v>0</v>
      </c>
      <c r="AA67" s="32">
        <f t="shared" si="10"/>
        <v>0</v>
      </c>
      <c r="AB67" s="32">
        <f t="shared" si="11"/>
        <v>0</v>
      </c>
      <c r="AD67" s="40">
        <v>43292.257164351853</v>
      </c>
      <c r="AE67" s="50">
        <f t="shared" si="12"/>
        <v>18.938611111196224</v>
      </c>
      <c r="AF67">
        <v>2101.52</v>
      </c>
      <c r="AG67">
        <v>2189.04</v>
      </c>
      <c r="AH67" s="32">
        <f t="shared" si="13"/>
        <v>6.0720003465355843</v>
      </c>
      <c r="AI67" s="32">
        <f t="shared" si="14"/>
        <v>6.8936994715863493</v>
      </c>
      <c r="AK67" s="40">
        <v>43292.258020833331</v>
      </c>
      <c r="AL67" s="50">
        <f t="shared" si="15"/>
        <v>18.959166666667443</v>
      </c>
      <c r="AM67">
        <v>960.46</v>
      </c>
      <c r="AN67">
        <v>945.96</v>
      </c>
      <c r="AO67" s="32">
        <f t="shared" si="24"/>
        <v>0.80872935549949765</v>
      </c>
      <c r="AP67" s="32">
        <f t="shared" si="25"/>
        <v>0.86815463147638461</v>
      </c>
    </row>
    <row r="68" spans="1:65" x14ac:dyDescent="0.2">
      <c r="A68" s="40">
        <v>43292.264560185184</v>
      </c>
      <c r="B68" s="50">
        <f t="shared" si="0"/>
        <v>19.116111111128703</v>
      </c>
      <c r="C68">
        <v>39.15</v>
      </c>
      <c r="D68">
        <v>64.03</v>
      </c>
      <c r="E68" s="32">
        <f t="shared" si="26"/>
        <v>3.4750551390144456E-2</v>
      </c>
      <c r="F68" s="32">
        <f t="shared" si="27"/>
        <v>6.5223310034958154E-2</v>
      </c>
      <c r="H68" s="40">
        <v>43292.265416666669</v>
      </c>
      <c r="I68" s="32">
        <f t="shared" si="3"/>
        <v>19.136666666774545</v>
      </c>
      <c r="J68">
        <v>80350.149999999994</v>
      </c>
      <c r="K68">
        <v>66551.78</v>
      </c>
      <c r="L68" s="32">
        <f t="shared" si="20"/>
        <v>106.57890186159619</v>
      </c>
      <c r="M68" s="32">
        <f t="shared" si="21"/>
        <v>101.30564003544882</v>
      </c>
      <c r="O68" s="40">
        <v>43292.266273148147</v>
      </c>
      <c r="P68" s="32">
        <f t="shared" si="6"/>
        <v>19.157222222245764</v>
      </c>
      <c r="Q68">
        <v>1420.85</v>
      </c>
      <c r="R68" s="61">
        <v>1209.6600000000001</v>
      </c>
      <c r="S68" s="32">
        <f t="shared" si="22"/>
        <v>0.93156716711942689</v>
      </c>
      <c r="T68" s="32">
        <f t="shared" si="23"/>
        <v>0.91016192091300119</v>
      </c>
      <c r="W68" s="40">
        <v>43292.272245370368</v>
      </c>
      <c r="X68" s="50">
        <f t="shared" si="9"/>
        <v>19.300555555557366</v>
      </c>
      <c r="Y68">
        <v>0</v>
      </c>
      <c r="Z68">
        <v>8.8800000000000008</v>
      </c>
      <c r="AA68" s="32">
        <f t="shared" si="10"/>
        <v>0</v>
      </c>
      <c r="AB68" s="32">
        <f t="shared" si="11"/>
        <v>7.4109597371780521E-3</v>
      </c>
      <c r="AD68" s="40">
        <v>43292.273657407408</v>
      </c>
      <c r="AE68" s="50">
        <f t="shared" si="12"/>
        <v>19.334444444510154</v>
      </c>
      <c r="AF68">
        <v>2068.02</v>
      </c>
      <c r="AG68">
        <v>2109.52</v>
      </c>
      <c r="AH68" s="32">
        <f t="shared" si="13"/>
        <v>5.975207543417393</v>
      </c>
      <c r="AI68" s="32">
        <f t="shared" si="14"/>
        <v>6.643276006514653</v>
      </c>
      <c r="AK68" s="40">
        <v>43292.274513888886</v>
      </c>
      <c r="AL68" s="50">
        <f t="shared" si="15"/>
        <v>19.354999999981374</v>
      </c>
      <c r="AM68">
        <v>948.39</v>
      </c>
      <c r="AN68">
        <v>938.16</v>
      </c>
      <c r="AO68" s="32">
        <f t="shared" si="24"/>
        <v>0.79856613858168846</v>
      </c>
      <c r="AP68" s="32">
        <f t="shared" si="25"/>
        <v>0.86099618278350565</v>
      </c>
    </row>
    <row r="69" spans="1:65" x14ac:dyDescent="0.2">
      <c r="A69" s="40">
        <v>43292.281053240738</v>
      </c>
      <c r="B69" s="50">
        <f t="shared" si="0"/>
        <v>19.511944444442634</v>
      </c>
      <c r="C69">
        <v>80.650000000000006</v>
      </c>
      <c r="D69">
        <v>43.46</v>
      </c>
      <c r="E69" s="32">
        <f t="shared" si="26"/>
        <v>7.1587023489531304E-2</v>
      </c>
      <c r="F69" s="32">
        <f t="shared" si="27"/>
        <v>4.4269952430412013E-2</v>
      </c>
      <c r="H69" s="40">
        <v>43292.281909722224</v>
      </c>
      <c r="I69" s="32">
        <f t="shared" si="3"/>
        <v>19.532500000088476</v>
      </c>
      <c r="J69">
        <v>80121.919999999998</v>
      </c>
      <c r="K69">
        <v>66555.100000000006</v>
      </c>
      <c r="L69" s="32">
        <f t="shared" si="20"/>
        <v>106.27617059386525</v>
      </c>
      <c r="M69" s="32">
        <f t="shared" si="21"/>
        <v>101.31069376541545</v>
      </c>
      <c r="O69" s="40">
        <v>43292.282766203702</v>
      </c>
      <c r="P69" s="32">
        <f t="shared" si="6"/>
        <v>19.553055555559695</v>
      </c>
      <c r="Q69">
        <v>1487.47</v>
      </c>
      <c r="R69" s="61">
        <v>1262.54</v>
      </c>
      <c r="S69" s="32">
        <f t="shared" si="22"/>
        <v>0.97524595423523519</v>
      </c>
      <c r="T69" s="32">
        <f t="shared" si="23"/>
        <v>0.94994943341889493</v>
      </c>
      <c r="W69" s="40">
        <v>43292.288738425923</v>
      </c>
      <c r="X69" s="50">
        <f t="shared" si="9"/>
        <v>19.696388888871297</v>
      </c>
      <c r="Y69">
        <v>0</v>
      </c>
      <c r="Z69">
        <v>10.07</v>
      </c>
      <c r="AA69" s="32">
        <f t="shared" si="10"/>
        <v>0</v>
      </c>
      <c r="AB69" s="32">
        <f t="shared" si="11"/>
        <v>8.4040951073629487E-3</v>
      </c>
      <c r="AD69" s="40">
        <v>43292.290150462963</v>
      </c>
      <c r="AE69" s="50">
        <f t="shared" si="12"/>
        <v>19.730277777824085</v>
      </c>
      <c r="AF69">
        <v>2111.98</v>
      </c>
      <c r="AG69">
        <v>2114.81</v>
      </c>
      <c r="AH69" s="32">
        <f t="shared" si="13"/>
        <v>6.1022228158077132</v>
      </c>
      <c r="AI69" s="32">
        <f t="shared" si="14"/>
        <v>6.6599352133837328</v>
      </c>
      <c r="AK69" s="40">
        <v>43292.291006944448</v>
      </c>
      <c r="AL69" s="50">
        <f t="shared" si="15"/>
        <v>19.750833333469927</v>
      </c>
      <c r="AM69">
        <v>922.14</v>
      </c>
      <c r="AN69">
        <v>963.18</v>
      </c>
      <c r="AO69" s="32">
        <f t="shared" si="24"/>
        <v>0.77646303633707459</v>
      </c>
      <c r="AP69" s="32">
        <f t="shared" si="25"/>
        <v>0.88395828359066364</v>
      </c>
    </row>
    <row r="70" spans="1:65" x14ac:dyDescent="0.2">
      <c r="A70" s="40">
        <v>43292.297546296293</v>
      </c>
      <c r="B70" s="50">
        <f t="shared" si="0"/>
        <v>19.907777777756564</v>
      </c>
      <c r="C70">
        <v>52.66</v>
      </c>
      <c r="D70">
        <v>54.95</v>
      </c>
      <c r="E70" s="32">
        <f t="shared" si="26"/>
        <v>4.6742376403703885E-2</v>
      </c>
      <c r="F70" s="32">
        <f t="shared" si="27"/>
        <v>5.5974088496344686E-2</v>
      </c>
      <c r="H70" s="40">
        <v>43292.298402777778</v>
      </c>
      <c r="I70" s="32">
        <f t="shared" si="3"/>
        <v>19.928333333402406</v>
      </c>
      <c r="J70">
        <v>80128.09</v>
      </c>
      <c r="K70">
        <v>66561.56</v>
      </c>
      <c r="L70" s="32">
        <f t="shared" si="20"/>
        <v>106.28435467098876</v>
      </c>
      <c r="M70" s="32">
        <f t="shared" si="21"/>
        <v>101.32052722794084</v>
      </c>
      <c r="O70" s="40">
        <v>43292.299259259256</v>
      </c>
      <c r="P70" s="32">
        <f t="shared" si="6"/>
        <v>19.948888888873626</v>
      </c>
      <c r="Q70">
        <v>1451.42</v>
      </c>
      <c r="R70" s="61">
        <v>1337.32</v>
      </c>
      <c r="S70" s="32">
        <f t="shared" si="22"/>
        <v>0.95161010500790277</v>
      </c>
      <c r="T70" s="32">
        <f t="shared" si="23"/>
        <v>1.0062147546214428</v>
      </c>
      <c r="W70" s="40">
        <v>43292.305231481485</v>
      </c>
      <c r="X70" s="50">
        <f t="shared" si="9"/>
        <v>20.092222222359851</v>
      </c>
      <c r="Y70">
        <v>0</v>
      </c>
      <c r="Z70">
        <v>6.5</v>
      </c>
      <c r="AA70" s="32">
        <f t="shared" si="10"/>
        <v>0</v>
      </c>
      <c r="AB70" s="32">
        <f t="shared" si="11"/>
        <v>5.4246889968082579E-3</v>
      </c>
      <c r="AD70" s="40">
        <v>43292.306747685187</v>
      </c>
      <c r="AE70" s="50">
        <f t="shared" si="12"/>
        <v>20.128611111198552</v>
      </c>
      <c r="AF70">
        <v>2036.1</v>
      </c>
      <c r="AG70">
        <v>2132.2800000000002</v>
      </c>
      <c r="AH70" s="32">
        <f t="shared" si="13"/>
        <v>5.8829798934014921</v>
      </c>
      <c r="AI70" s="32">
        <f t="shared" si="14"/>
        <v>6.7149515355014708</v>
      </c>
      <c r="AK70" s="40">
        <v>43292.307592592595</v>
      </c>
      <c r="AL70" s="50">
        <f t="shared" si="15"/>
        <v>20.148888889001682</v>
      </c>
      <c r="AM70">
        <v>922.45</v>
      </c>
      <c r="AN70">
        <v>960.03</v>
      </c>
      <c r="AO70" s="32">
        <f t="shared" si="24"/>
        <v>0.77672406344929668</v>
      </c>
      <c r="AP70" s="32">
        <f t="shared" si="25"/>
        <v>0.88106737161853932</v>
      </c>
    </row>
    <row r="71" spans="1:65" x14ac:dyDescent="0.2">
      <c r="A71" s="40">
        <v>43292.314004629632</v>
      </c>
      <c r="B71" s="50">
        <f t="shared" si="0"/>
        <v>20.302777777891606</v>
      </c>
      <c r="C71">
        <v>47.16</v>
      </c>
      <c r="D71">
        <v>54.95</v>
      </c>
      <c r="E71" s="32">
        <f t="shared" si="26"/>
        <v>4.1860434318242982E-2</v>
      </c>
      <c r="F71" s="32">
        <f t="shared" si="27"/>
        <v>5.5974088496344686E-2</v>
      </c>
      <c r="H71" s="40">
        <v>43292.314849537041</v>
      </c>
      <c r="I71" s="32">
        <f t="shared" si="3"/>
        <v>20.323055555694737</v>
      </c>
      <c r="J71">
        <v>80492.97</v>
      </c>
      <c r="K71">
        <v>66417.09</v>
      </c>
      <c r="L71" s="32">
        <f t="shared" si="20"/>
        <v>106.76834268733047</v>
      </c>
      <c r="M71" s="32">
        <f t="shared" si="21"/>
        <v>101.10061386400194</v>
      </c>
      <c r="O71" s="40">
        <v>43292.315706018519</v>
      </c>
      <c r="P71" s="32">
        <f t="shared" si="6"/>
        <v>20.343611111165956</v>
      </c>
      <c r="Q71">
        <v>1484.01</v>
      </c>
      <c r="R71" s="61">
        <v>1217.97</v>
      </c>
      <c r="S71" s="32">
        <f t="shared" si="22"/>
        <v>0.97297743722201546</v>
      </c>
      <c r="T71" s="32">
        <f t="shared" si="23"/>
        <v>0.91641445928145759</v>
      </c>
      <c r="W71" s="40">
        <v>43292.32167824074</v>
      </c>
      <c r="X71" s="50">
        <f t="shared" si="9"/>
        <v>20.486944444477558</v>
      </c>
      <c r="Y71">
        <v>0</v>
      </c>
      <c r="Z71">
        <v>6.5</v>
      </c>
      <c r="AA71" s="32">
        <f t="shared" si="10"/>
        <v>0</v>
      </c>
      <c r="AB71" s="32">
        <f t="shared" si="11"/>
        <v>5.4246889968082579E-3</v>
      </c>
      <c r="AD71" s="40">
        <v>43292.32309027778</v>
      </c>
      <c r="AE71" s="50">
        <f t="shared" si="12"/>
        <v>20.520833333430346</v>
      </c>
      <c r="AF71">
        <v>2109.0300000000002</v>
      </c>
      <c r="AG71">
        <v>2169.2600000000002</v>
      </c>
      <c r="AH71" s="32">
        <f t="shared" si="13"/>
        <v>6.0936992704584991</v>
      </c>
      <c r="AI71" s="32">
        <f t="shared" si="14"/>
        <v>6.831408524162832</v>
      </c>
      <c r="AK71" s="40">
        <v>43292.323946759258</v>
      </c>
      <c r="AL71" s="50">
        <f t="shared" si="15"/>
        <v>20.541388888901565</v>
      </c>
      <c r="AM71">
        <v>946.54</v>
      </c>
      <c r="AN71">
        <v>960.28</v>
      </c>
      <c r="AO71" s="32">
        <f t="shared" si="24"/>
        <v>0.79700839613778229</v>
      </c>
      <c r="AP71" s="32">
        <f t="shared" si="25"/>
        <v>0.88129680907664443</v>
      </c>
    </row>
    <row r="72" spans="1:65" x14ac:dyDescent="0.2">
      <c r="A72" s="40">
        <v>43292.330509259256</v>
      </c>
      <c r="B72" s="50">
        <f t="shared" si="0"/>
        <v>20.698888888873626</v>
      </c>
      <c r="C72">
        <v>77.62</v>
      </c>
      <c r="D72">
        <v>61</v>
      </c>
      <c r="E72" s="32">
        <f t="shared" si="26"/>
        <v>6.8897517213359211E-2</v>
      </c>
      <c r="F72" s="32">
        <f t="shared" si="27"/>
        <v>6.2136840732975901E-2</v>
      </c>
      <c r="H72" s="40">
        <v>43292.331354166665</v>
      </c>
      <c r="I72" s="32">
        <f t="shared" si="3"/>
        <v>20.719166666676756</v>
      </c>
      <c r="J72">
        <v>79650.06</v>
      </c>
      <c r="K72">
        <v>66737.02</v>
      </c>
      <c r="L72" s="32">
        <f t="shared" si="20"/>
        <v>105.65028102636084</v>
      </c>
      <c r="M72" s="32">
        <f t="shared" si="21"/>
        <v>101.58761381226091</v>
      </c>
      <c r="O72" s="40">
        <v>43292.33221064815</v>
      </c>
      <c r="P72" s="32">
        <f t="shared" si="6"/>
        <v>20.739722222322598</v>
      </c>
      <c r="Q72">
        <v>1522.92</v>
      </c>
      <c r="R72" s="61">
        <v>1271.07</v>
      </c>
      <c r="S72" s="32">
        <f t="shared" si="22"/>
        <v>0.99848841900940821</v>
      </c>
      <c r="T72" s="32">
        <f t="shared" si="23"/>
        <v>0.9563675022856738</v>
      </c>
      <c r="W72" s="40">
        <v>43292.338182870371</v>
      </c>
      <c r="X72" s="50">
        <f t="shared" si="9"/>
        <v>20.883055555634201</v>
      </c>
      <c r="Y72">
        <v>12.68</v>
      </c>
      <c r="Z72">
        <v>1.26</v>
      </c>
      <c r="AA72" s="32">
        <f t="shared" si="10"/>
        <v>9.7091308162880925E-3</v>
      </c>
      <c r="AB72" s="32">
        <f t="shared" si="11"/>
        <v>1.0515550978428315E-3</v>
      </c>
      <c r="AD72" s="40">
        <v>43292.339594907404</v>
      </c>
      <c r="AE72" s="50">
        <f t="shared" si="12"/>
        <v>20.916944444412366</v>
      </c>
      <c r="AF72">
        <v>2062.04</v>
      </c>
      <c r="AG72">
        <v>2123.48</v>
      </c>
      <c r="AH72" s="32">
        <f t="shared" si="13"/>
        <v>5.9579293057264442</v>
      </c>
      <c r="AI72" s="32">
        <f t="shared" si="14"/>
        <v>6.6872386771937382</v>
      </c>
      <c r="AK72" s="40">
        <v>43292.340451388889</v>
      </c>
      <c r="AL72" s="50">
        <f t="shared" si="15"/>
        <v>20.937500000058208</v>
      </c>
      <c r="AM72">
        <v>974.64</v>
      </c>
      <c r="AN72">
        <v>970.27</v>
      </c>
      <c r="AO72" s="32">
        <f t="shared" si="24"/>
        <v>0.82066924082630222</v>
      </c>
      <c r="AP72" s="32">
        <f t="shared" si="25"/>
        <v>0.89046512990252413</v>
      </c>
    </row>
    <row r="73" spans="1:65" x14ac:dyDescent="0.2">
      <c r="A73" s="40">
        <v>43292.346990740742</v>
      </c>
      <c r="B73" s="50">
        <f t="shared" si="0"/>
        <v>21.094444444519468</v>
      </c>
      <c r="C73">
        <v>75.650000000000006</v>
      </c>
      <c r="D73">
        <v>60</v>
      </c>
      <c r="E73" s="32">
        <f t="shared" si="26"/>
        <v>6.7148894320930477E-2</v>
      </c>
      <c r="F73" s="32">
        <f t="shared" si="27"/>
        <v>6.1118203999648429E-2</v>
      </c>
      <c r="H73" s="40">
        <v>43292.34784722222</v>
      </c>
      <c r="I73" s="32">
        <f t="shared" si="3"/>
        <v>21.114999999990687</v>
      </c>
      <c r="J73">
        <v>79794.44</v>
      </c>
      <c r="K73">
        <v>66503.97</v>
      </c>
      <c r="L73" s="32">
        <f t="shared" si="20"/>
        <v>105.84179108391243</v>
      </c>
      <c r="M73" s="32">
        <f t="shared" si="21"/>
        <v>101.23286327951391</v>
      </c>
      <c r="O73" s="40">
        <v>43292.348703703705</v>
      </c>
      <c r="P73" s="32">
        <f t="shared" si="6"/>
        <v>21.135555555636529</v>
      </c>
      <c r="Q73">
        <v>1445.37</v>
      </c>
      <c r="R73" s="61">
        <v>1263.7</v>
      </c>
      <c r="S73" s="32">
        <f t="shared" si="22"/>
        <v>0.94764347843854446</v>
      </c>
      <c r="T73" s="32">
        <f t="shared" si="23"/>
        <v>0.95082223059186832</v>
      </c>
      <c r="W73" s="40">
        <v>43292.354675925926</v>
      </c>
      <c r="X73" s="50">
        <f t="shared" si="9"/>
        <v>21.278888888948131</v>
      </c>
      <c r="Y73">
        <v>7.17</v>
      </c>
      <c r="Z73">
        <v>0</v>
      </c>
      <c r="AA73" s="32">
        <f t="shared" si="10"/>
        <v>5.4900999962764685E-3</v>
      </c>
      <c r="AB73" s="32">
        <f t="shared" si="11"/>
        <v>0</v>
      </c>
      <c r="AD73" s="40">
        <v>43292.356099537035</v>
      </c>
      <c r="AE73" s="50">
        <f t="shared" si="12"/>
        <v>21.313055555569008</v>
      </c>
      <c r="AF73">
        <v>2079.0100000000002</v>
      </c>
      <c r="AG73">
        <v>1980.04</v>
      </c>
      <c r="AH73" s="32">
        <f t="shared" si="13"/>
        <v>6.006961361514974</v>
      </c>
      <c r="AI73" s="32">
        <f t="shared" si="14"/>
        <v>6.23551908677769</v>
      </c>
      <c r="AK73" s="40">
        <v>43292.356944444444</v>
      </c>
      <c r="AL73" s="50">
        <f t="shared" si="15"/>
        <v>21.333333333372138</v>
      </c>
      <c r="AM73">
        <v>943.48</v>
      </c>
      <c r="AN73">
        <v>960.3</v>
      </c>
      <c r="AO73" s="32">
        <f t="shared" si="24"/>
        <v>0.79443180593326745</v>
      </c>
      <c r="AP73" s="32">
        <f t="shared" si="25"/>
        <v>0.88131516407329291</v>
      </c>
    </row>
    <row r="74" spans="1:65" x14ac:dyDescent="0.2">
      <c r="A74" s="40">
        <v>43292.363506944443</v>
      </c>
      <c r="B74" s="50">
        <f t="shared" si="0"/>
        <v>21.490833333344199</v>
      </c>
      <c r="C74">
        <v>67.680000000000007</v>
      </c>
      <c r="D74">
        <v>39.619999999999997</v>
      </c>
      <c r="E74" s="32">
        <f t="shared" si="26"/>
        <v>6.0074516426180766E-2</v>
      </c>
      <c r="F74" s="32">
        <f t="shared" si="27"/>
        <v>4.0358387374434514E-2</v>
      </c>
      <c r="H74" s="40">
        <v>43292.364363425928</v>
      </c>
      <c r="I74" s="32">
        <f t="shared" si="3"/>
        <v>21.511388888990041</v>
      </c>
      <c r="J74">
        <v>80122.429999999993</v>
      </c>
      <c r="K74">
        <v>66438.75</v>
      </c>
      <c r="L74" s="32">
        <f t="shared" si="20"/>
        <v>106.27684707349782</v>
      </c>
      <c r="M74" s="32">
        <f t="shared" si="21"/>
        <v>101.13358488541067</v>
      </c>
      <c r="O74" s="40">
        <v>43292.365219907406</v>
      </c>
      <c r="P74" s="32">
        <f t="shared" si="6"/>
        <v>21.53194444446126</v>
      </c>
      <c r="Q74">
        <v>1463.33</v>
      </c>
      <c r="R74" s="61">
        <v>1295.96</v>
      </c>
      <c r="S74" s="32">
        <f t="shared" si="22"/>
        <v>0.95941878640311851</v>
      </c>
      <c r="T74" s="32">
        <f t="shared" si="23"/>
        <v>0.97509502093680289</v>
      </c>
      <c r="W74" s="40">
        <v>43292.371192129627</v>
      </c>
      <c r="X74" s="50">
        <f t="shared" si="9"/>
        <v>21.675277777772862</v>
      </c>
      <c r="Y74">
        <v>0</v>
      </c>
      <c r="Z74">
        <v>2.92</v>
      </c>
      <c r="AA74" s="32">
        <f t="shared" si="10"/>
        <v>0</v>
      </c>
      <c r="AB74" s="32">
        <f t="shared" si="11"/>
        <v>2.4369372108738636E-3</v>
      </c>
      <c r="AD74" s="40">
        <v>43292.372604166667</v>
      </c>
      <c r="AE74" s="50">
        <f t="shared" si="12"/>
        <v>21.70916666672565</v>
      </c>
      <c r="AF74">
        <v>1971.45</v>
      </c>
      <c r="AG74">
        <v>2079.3200000000002</v>
      </c>
      <c r="AH74" s="32">
        <f t="shared" si="13"/>
        <v>5.6961842300704149</v>
      </c>
      <c r="AI74" s="32">
        <f t="shared" si="14"/>
        <v>6.5481705155040242</v>
      </c>
      <c r="AK74" s="40">
        <v>43292.373460648145</v>
      </c>
      <c r="AL74" s="50">
        <f t="shared" si="15"/>
        <v>21.72972222219687</v>
      </c>
      <c r="AM74">
        <v>988.98</v>
      </c>
      <c r="AN74">
        <v>884.8</v>
      </c>
      <c r="AO74" s="32">
        <f t="shared" si="24"/>
        <v>0.83274384982393135</v>
      </c>
      <c r="AP74" s="32">
        <f t="shared" si="25"/>
        <v>0.81202505172555406</v>
      </c>
    </row>
    <row r="75" spans="1:65" x14ac:dyDescent="0.2">
      <c r="A75" s="40">
        <v>43292.38</v>
      </c>
      <c r="B75" s="50">
        <f t="shared" si="0"/>
        <v>21.88666666665813</v>
      </c>
      <c r="C75">
        <v>67.62</v>
      </c>
      <c r="D75">
        <v>73.09</v>
      </c>
      <c r="E75" s="32">
        <f t="shared" si="26"/>
        <v>6.0021258876157564E-2</v>
      </c>
      <c r="F75" s="32">
        <f t="shared" si="27"/>
        <v>7.4452158838905061E-2</v>
      </c>
      <c r="H75" s="40">
        <v>43292.380856481483</v>
      </c>
      <c r="I75" s="32">
        <f t="shared" si="3"/>
        <v>21.907222222303972</v>
      </c>
      <c r="J75">
        <v>79470.509999999995</v>
      </c>
      <c r="K75">
        <v>65947.02</v>
      </c>
      <c r="L75" s="32">
        <f t="shared" si="20"/>
        <v>105.4121204027746</v>
      </c>
      <c r="M75" s="32">
        <f t="shared" si="21"/>
        <v>100.38506963345752</v>
      </c>
      <c r="O75" s="40">
        <v>43292.381712962961</v>
      </c>
      <c r="P75" s="32">
        <f t="shared" si="6"/>
        <v>21.927777777775191</v>
      </c>
      <c r="Q75">
        <v>1468.56</v>
      </c>
      <c r="R75" s="61">
        <v>1252.3699999999999</v>
      </c>
      <c r="S75" s="32">
        <f t="shared" si="22"/>
        <v>0.96284778755315859</v>
      </c>
      <c r="T75" s="32">
        <f t="shared" si="23"/>
        <v>0.94229740992825672</v>
      </c>
      <c r="W75" s="40">
        <v>43292.387685185182</v>
      </c>
      <c r="X75" s="50">
        <f t="shared" si="9"/>
        <v>22.071111111086793</v>
      </c>
      <c r="Y75">
        <v>9.18</v>
      </c>
      <c r="Z75">
        <v>4.1100000000000003</v>
      </c>
      <c r="AA75" s="32">
        <f t="shared" si="10"/>
        <v>7.0291656856092018E-3</v>
      </c>
      <c r="AB75" s="32">
        <f t="shared" si="11"/>
        <v>3.4300725810587607E-3</v>
      </c>
      <c r="AD75" s="40">
        <v>43292.389097222222</v>
      </c>
      <c r="AE75" s="50">
        <f t="shared" si="12"/>
        <v>22.105000000039581</v>
      </c>
      <c r="AF75">
        <v>2069</v>
      </c>
      <c r="AG75">
        <v>2048.35</v>
      </c>
      <c r="AH75" s="32">
        <f t="shared" si="13"/>
        <v>5.9780390940757764</v>
      </c>
      <c r="AI75" s="32">
        <f t="shared" si="14"/>
        <v>6.4506401493914671</v>
      </c>
      <c r="AK75" s="40">
        <v>43292.389953703707</v>
      </c>
      <c r="AL75" s="50">
        <f t="shared" si="15"/>
        <v>22.125555555685423</v>
      </c>
      <c r="AM75">
        <v>999.44</v>
      </c>
      <c r="AN75">
        <v>1020.08</v>
      </c>
      <c r="AO75" s="32">
        <f t="shared" si="24"/>
        <v>0.84155140980407084</v>
      </c>
      <c r="AP75" s="32">
        <f t="shared" si="25"/>
        <v>0.93617824905538338</v>
      </c>
    </row>
    <row r="76" spans="1:65" x14ac:dyDescent="0.2">
      <c r="A76" s="40"/>
    </row>
    <row r="77" spans="1:65" x14ac:dyDescent="0.2">
      <c r="A77" s="40"/>
    </row>
    <row r="79" spans="1:65" x14ac:dyDescent="0.2">
      <c r="A79" s="61" t="s">
        <v>76</v>
      </c>
      <c r="B79" s="61"/>
      <c r="C79" s="61"/>
      <c r="D79" s="61"/>
      <c r="E79" s="61"/>
      <c r="F79" s="61"/>
      <c r="G79" s="61"/>
      <c r="H79" s="61" t="s">
        <v>80</v>
      </c>
      <c r="I79" s="61"/>
      <c r="J79" s="61"/>
      <c r="K79" s="61"/>
      <c r="L79" s="61"/>
      <c r="M79" s="61"/>
      <c r="N79" s="61"/>
      <c r="O79" s="61" t="s">
        <v>81</v>
      </c>
      <c r="P79" s="61"/>
      <c r="Q79" s="61"/>
      <c r="R79" s="61"/>
      <c r="S79" s="61"/>
      <c r="T79" s="61"/>
      <c r="U79" s="61"/>
      <c r="V79" s="61"/>
      <c r="W79" s="61" t="s">
        <v>88</v>
      </c>
      <c r="X79" s="61"/>
      <c r="Y79" s="61"/>
      <c r="Z79" s="61"/>
      <c r="AA79" s="61"/>
      <c r="AB79" s="61"/>
      <c r="AC79" s="61"/>
      <c r="AD79" s="61" t="s">
        <v>89</v>
      </c>
      <c r="AE79" s="61"/>
      <c r="AF79" s="61"/>
      <c r="AG79" s="61"/>
      <c r="AH79" s="61"/>
      <c r="AI79" s="61"/>
      <c r="AJ79" s="61"/>
      <c r="AK79" s="61" t="s">
        <v>90</v>
      </c>
      <c r="AL79" s="61"/>
      <c r="AM79" s="61"/>
      <c r="AN79" s="61"/>
      <c r="AO79" s="61"/>
      <c r="AP79" s="61"/>
      <c r="AQ79" s="61"/>
      <c r="AR79" s="61"/>
      <c r="AS79" s="61"/>
      <c r="AT79" s="61"/>
      <c r="AU79" s="61"/>
    </row>
    <row r="80" spans="1:65" x14ac:dyDescent="0.2">
      <c r="A80" s="60" t="s">
        <v>16</v>
      </c>
      <c r="B80" s="61" t="s">
        <v>67</v>
      </c>
      <c r="C80" s="61">
        <f>BioD!D40</f>
        <v>0.35150000000000015</v>
      </c>
      <c r="D80" s="61"/>
      <c r="E80" s="61"/>
      <c r="F80" s="61"/>
      <c r="G80" s="61"/>
      <c r="H80" s="60" t="s">
        <v>20</v>
      </c>
      <c r="I80" s="61" t="s">
        <v>67</v>
      </c>
      <c r="J80" s="61">
        <f>BioD!D42</f>
        <v>0.13810000000000056</v>
      </c>
      <c r="K80" s="61"/>
      <c r="L80" s="61"/>
      <c r="M80" s="61"/>
      <c r="N80" s="61"/>
      <c r="O80" s="60" t="s">
        <v>68</v>
      </c>
      <c r="P80" s="61" t="s">
        <v>67</v>
      </c>
      <c r="Q80" s="61">
        <f>BioD!D48</f>
        <v>0.43170000000000019</v>
      </c>
      <c r="R80" s="61"/>
      <c r="S80" s="61"/>
      <c r="T80" s="61"/>
      <c r="U80" s="61"/>
      <c r="V80" s="61"/>
      <c r="W80" s="60" t="s">
        <v>16</v>
      </c>
      <c r="X80" s="61" t="s">
        <v>67</v>
      </c>
      <c r="Y80" s="61">
        <f>BioD!D94</f>
        <v>0.33130000000000015</v>
      </c>
      <c r="Z80" s="61"/>
      <c r="AA80" s="61"/>
      <c r="AB80" s="61"/>
      <c r="AC80" s="61"/>
      <c r="AD80" s="60" t="s">
        <v>20</v>
      </c>
      <c r="AE80" s="61" t="s">
        <v>67</v>
      </c>
      <c r="AF80" s="61">
        <f>BioD!D96</f>
        <v>3.6599999999999966E-2</v>
      </c>
      <c r="AG80" s="61"/>
      <c r="AH80" s="61"/>
      <c r="AI80" s="61"/>
      <c r="AJ80" s="61"/>
      <c r="AK80" s="60" t="s">
        <v>68</v>
      </c>
      <c r="AL80" s="61" t="s">
        <v>67</v>
      </c>
      <c r="AM80" s="61">
        <f>BioD!D102</f>
        <v>0.39149999999999974</v>
      </c>
      <c r="AN80" s="61"/>
      <c r="AO80" s="61"/>
      <c r="AP80" s="61"/>
      <c r="AQ80" s="61"/>
      <c r="AR80" s="61"/>
      <c r="AS80" s="61"/>
      <c r="AT80" s="61"/>
      <c r="AU80" s="61"/>
    </row>
    <row r="81" spans="1:47" x14ac:dyDescent="0.2">
      <c r="A81" s="61" t="s">
        <v>69</v>
      </c>
      <c r="B81" s="61"/>
      <c r="C81" s="61"/>
      <c r="D81" s="61"/>
      <c r="E81" s="61">
        <v>0.21884999999999999</v>
      </c>
      <c r="F81" s="61">
        <v>1.19479</v>
      </c>
      <c r="G81" s="61"/>
      <c r="H81" s="61" t="s">
        <v>69</v>
      </c>
      <c r="I81" s="61"/>
      <c r="J81" s="61"/>
      <c r="K81" s="61"/>
      <c r="L81" s="61" t="s">
        <v>64</v>
      </c>
      <c r="M81" s="61">
        <f>74.79*C18/J80</f>
        <v>150.6089717595938</v>
      </c>
      <c r="N81" s="61"/>
      <c r="O81" s="61" t="s">
        <v>69</v>
      </c>
      <c r="P81" s="61"/>
      <c r="Q81" s="61"/>
      <c r="R81" s="61"/>
      <c r="S81" s="61">
        <v>8.0633999999999997</v>
      </c>
      <c r="T81" s="61">
        <f>26.37432*C18/Q80</f>
        <v>16.990267296733823</v>
      </c>
      <c r="U81" s="61"/>
      <c r="V81" s="61"/>
      <c r="W81" t="s">
        <v>69</v>
      </c>
      <c r="AA81" t="s">
        <v>64</v>
      </c>
      <c r="AB81" t="s">
        <v>64</v>
      </c>
      <c r="AD81" t="s">
        <v>69</v>
      </c>
      <c r="AH81" t="s">
        <v>64</v>
      </c>
      <c r="AI81" t="s">
        <v>64</v>
      </c>
      <c r="AK81" s="61" t="s">
        <v>69</v>
      </c>
      <c r="AL81" s="61"/>
      <c r="AM81" s="61"/>
      <c r="AN81" s="61"/>
      <c r="AO81" s="61" t="s">
        <v>64</v>
      </c>
      <c r="AP81" s="61" t="s">
        <v>64</v>
      </c>
      <c r="AQ81" s="61"/>
      <c r="AR81" s="61"/>
      <c r="AS81" s="61"/>
      <c r="AT81" s="61"/>
      <c r="AU81" s="61"/>
    </row>
    <row r="82" spans="1:47" x14ac:dyDescent="0.2">
      <c r="A82" s="61" t="s">
        <v>70</v>
      </c>
      <c r="B82" s="61" t="s">
        <v>71</v>
      </c>
      <c r="C82" s="61" t="s">
        <v>72</v>
      </c>
      <c r="D82" s="61" t="s">
        <v>37</v>
      </c>
      <c r="E82" s="61" t="s">
        <v>38</v>
      </c>
      <c r="F82" s="61" t="s">
        <v>39</v>
      </c>
      <c r="G82" s="61"/>
      <c r="H82" s="61" t="s">
        <v>70</v>
      </c>
      <c r="I82" s="61" t="s">
        <v>71</v>
      </c>
      <c r="J82" s="61" t="s">
        <v>72</v>
      </c>
      <c r="K82" s="61" t="s">
        <v>37</v>
      </c>
      <c r="L82" s="61" t="s">
        <v>38</v>
      </c>
      <c r="M82" s="61" t="s">
        <v>39</v>
      </c>
      <c r="N82" s="61"/>
      <c r="O82" s="61" t="s">
        <v>70</v>
      </c>
      <c r="P82" s="61" t="s">
        <v>71</v>
      </c>
      <c r="Q82" s="61" t="s">
        <v>72</v>
      </c>
      <c r="R82" s="61" t="s">
        <v>37</v>
      </c>
      <c r="S82" s="61" t="s">
        <v>38</v>
      </c>
      <c r="T82" s="61" t="s">
        <v>39</v>
      </c>
      <c r="U82" s="61"/>
      <c r="V82" s="61"/>
      <c r="W82" s="61" t="s">
        <v>70</v>
      </c>
      <c r="X82" s="61" t="s">
        <v>71</v>
      </c>
      <c r="Y82" s="61" t="s">
        <v>72</v>
      </c>
      <c r="Z82" s="61" t="s">
        <v>37</v>
      </c>
      <c r="AA82" s="61" t="s">
        <v>38</v>
      </c>
      <c r="AB82" s="61" t="s">
        <v>39</v>
      </c>
      <c r="AC82" s="61"/>
      <c r="AD82" s="61" t="s">
        <v>70</v>
      </c>
      <c r="AE82" s="61" t="s">
        <v>71</v>
      </c>
      <c r="AF82" s="61" t="s">
        <v>72</v>
      </c>
      <c r="AG82" s="61" t="s">
        <v>37</v>
      </c>
      <c r="AH82" s="61" t="s">
        <v>38</v>
      </c>
      <c r="AI82" s="61" t="s">
        <v>39</v>
      </c>
      <c r="AJ82" s="61"/>
      <c r="AK82" s="61" t="s">
        <v>70</v>
      </c>
      <c r="AL82" s="61" t="s">
        <v>71</v>
      </c>
      <c r="AM82" s="61" t="s">
        <v>72</v>
      </c>
      <c r="AN82" s="61" t="s">
        <v>37</v>
      </c>
      <c r="AO82" s="61" t="s">
        <v>38</v>
      </c>
      <c r="AP82" s="61" t="s">
        <v>39</v>
      </c>
      <c r="AQ82" s="61"/>
      <c r="AR82" s="61"/>
      <c r="AS82" s="61"/>
      <c r="AT82" s="61"/>
      <c r="AU82" s="61"/>
    </row>
    <row r="83" spans="1:47" x14ac:dyDescent="0.2">
      <c r="A83" s="40">
        <v>43291.493750000001</v>
      </c>
      <c r="B83" s="50">
        <f>(A83-$B$12)*24</f>
        <v>0.61666666675591841</v>
      </c>
      <c r="C83">
        <v>165.67</v>
      </c>
      <c r="D83">
        <v>675.87</v>
      </c>
      <c r="E83" s="32">
        <f>(C83/$B$5)/$C$80</f>
        <v>0.11634546650844915</v>
      </c>
      <c r="F83" s="32">
        <f>(D83/$C$5)/$C$80</f>
        <v>0.54470098745410589</v>
      </c>
      <c r="G83" s="61"/>
      <c r="H83" s="40">
        <v>43291.494606481479</v>
      </c>
      <c r="I83" s="50">
        <f>(H83-$B$12)*24</f>
        <v>0.63722222222713754</v>
      </c>
      <c r="J83">
        <v>126297.53</v>
      </c>
      <c r="K83">
        <v>97358.51</v>
      </c>
      <c r="L83" s="32">
        <f>(J83/$B$5)/$J$80</f>
        <v>225.75225703087165</v>
      </c>
      <c r="M83" s="32">
        <f>(K83/$C$5)/$J$80</f>
        <v>199.71034519139076</v>
      </c>
      <c r="N83" s="61"/>
      <c r="O83" s="40">
        <v>43291.495451388888</v>
      </c>
      <c r="P83" s="50">
        <f>(O83-$B$12)*24</f>
        <v>0.65750000003026798</v>
      </c>
      <c r="Q83">
        <v>4104.53</v>
      </c>
      <c r="R83">
        <v>14535.05</v>
      </c>
      <c r="S83" s="32">
        <f>(Q83/$B$5)/$Q$80</f>
        <v>2.3469957764141949</v>
      </c>
      <c r="T83" s="32">
        <f>(R83/$C$5)/$Q$80</f>
        <v>9.5379447766828491</v>
      </c>
      <c r="U83" s="61"/>
      <c r="V83" s="61"/>
      <c r="W83" s="40">
        <v>43291.501689814817</v>
      </c>
      <c r="X83" s="50">
        <f>(W83-$B$12)*24</f>
        <v>0.80722222232725471</v>
      </c>
      <c r="Y83">
        <v>2.67</v>
      </c>
      <c r="Z83">
        <v>27.19</v>
      </c>
      <c r="AA83" s="32">
        <f>(Y83/$B$5)/$C$18</f>
        <v>2.3699609760328404E-3</v>
      </c>
      <c r="AB83" s="32">
        <f>(Z83/$C$5)/$C$18</f>
        <v>2.7696732779174012E-2</v>
      </c>
      <c r="AC83" s="61"/>
      <c r="AD83" s="40">
        <v>43291.502546296295</v>
      </c>
      <c r="AE83" s="50">
        <f>(AD83-$B$12)*24</f>
        <v>0.82777777779847383</v>
      </c>
      <c r="AF83">
        <v>1239.6500000000001</v>
      </c>
      <c r="AG83">
        <v>1120.1099999999999</v>
      </c>
      <c r="AH83" s="32">
        <f>(AF83/$B$5)/$C$18</f>
        <v>1.1003453647712027</v>
      </c>
      <c r="AI83" s="32">
        <f>(AG83/$C$5)/$C$18</f>
        <v>1.1409851913674365</v>
      </c>
      <c r="AJ83" s="61"/>
      <c r="AK83" s="40">
        <v>43291.50340277778</v>
      </c>
      <c r="AL83" s="50">
        <f>(AK83-$B$12)*24</f>
        <v>0.84833333344431594</v>
      </c>
      <c r="AM83">
        <v>602.45000000000005</v>
      </c>
      <c r="AN83">
        <v>749.76</v>
      </c>
      <c r="AO83" s="32">
        <f>(AM83/$B$5)/$C$18</f>
        <v>0.53475018352471348</v>
      </c>
      <c r="AP83" s="32">
        <f>(AN83/$C$5)/$C$18</f>
        <v>0.7637330771796067</v>
      </c>
      <c r="AQ83" s="61"/>
      <c r="AR83" s="61"/>
      <c r="AS83" s="61"/>
      <c r="AT83" s="61"/>
      <c r="AU83" s="61"/>
    </row>
    <row r="84" spans="1:47" x14ac:dyDescent="0.2">
      <c r="A84" s="40">
        <v>43291.510081018518</v>
      </c>
      <c r="B84" s="50">
        <f t="shared" ref="B84:B137" si="28">(A84-$B$12)*24</f>
        <v>1.0086111111450009</v>
      </c>
      <c r="C84">
        <v>151.11000000000001</v>
      </c>
      <c r="D84">
        <v>463.28</v>
      </c>
      <c r="E84" s="32">
        <f t="shared" ref="E84:E109" si="29">(C84/$B$5)/$C$80</f>
        <v>0.1061203805401808</v>
      </c>
      <c r="F84" s="32">
        <f t="shared" ref="F84:F109" si="30">(D84/$C$5)/$C$80</f>
        <v>0.37336924773660346</v>
      </c>
      <c r="G84" s="61"/>
      <c r="H84" s="40">
        <v>43291.510937500003</v>
      </c>
      <c r="I84" s="50">
        <f t="shared" ref="I84:I137" si="31">(H84-$B$12)*24</f>
        <v>1.029166666790843</v>
      </c>
      <c r="J84">
        <v>127880.12</v>
      </c>
      <c r="K84">
        <v>103073.17</v>
      </c>
      <c r="L84" s="32">
        <f t="shared" ref="L84:L107" si="32">(J84/$B$5)/$J$80</f>
        <v>228.58107929251432</v>
      </c>
      <c r="M84" s="32">
        <f t="shared" ref="M84:M107" si="33">(K84/$C$5)/$J$80</f>
        <v>211.43275878678608</v>
      </c>
      <c r="N84" s="61"/>
      <c r="O84" s="40">
        <v>43291.511793981481</v>
      </c>
      <c r="P84" s="50">
        <f t="shared" ref="P84:P137" si="34">(O84-$B$12)*24</f>
        <v>1.0497222222620621</v>
      </c>
      <c r="Q84">
        <v>3188.12</v>
      </c>
      <c r="R84">
        <v>10672.06</v>
      </c>
      <c r="S84" s="32">
        <f t="shared" ref="S84:S137" si="35">(Q84/$B$5)/$Q$80</f>
        <v>1.822986840077091</v>
      </c>
      <c r="T84" s="32">
        <f t="shared" ref="T84:T137" si="36">(R84/$C$5)/$Q$80</f>
        <v>7.0030387878573501</v>
      </c>
      <c r="U84" s="61"/>
      <c r="V84" s="61"/>
      <c r="W84" s="40">
        <v>43291.51829861111</v>
      </c>
      <c r="X84" s="50">
        <f t="shared" ref="X84:X137" si="37">(W84-$B$12)*24</f>
        <v>1.2058333333698101</v>
      </c>
      <c r="Y84">
        <v>0</v>
      </c>
      <c r="Z84">
        <v>5.67</v>
      </c>
      <c r="AA84" s="32">
        <f t="shared" ref="AA84:AA137" si="38">(Y84/$B$5)/$C$18</f>
        <v>0</v>
      </c>
      <c r="AB84" s="32">
        <f t="shared" ref="AB84:AB137" si="39">(Z84/$C$5)/$C$18</f>
        <v>5.7756702779667764E-3</v>
      </c>
      <c r="AC84" s="61"/>
      <c r="AD84" s="40">
        <v>43291.519155092596</v>
      </c>
      <c r="AE84" s="50">
        <f t="shared" ref="AE84:AE137" si="40">(AD84-$B$12)*24</f>
        <v>1.2263888890156522</v>
      </c>
      <c r="AF84">
        <v>1223.33</v>
      </c>
      <c r="AG84">
        <v>1224.78</v>
      </c>
      <c r="AH84" s="32">
        <f t="shared" ref="AH84:AH137" si="41">(AF84/$B$5)/$C$18</f>
        <v>1.0858593111648893</v>
      </c>
      <c r="AI84" s="32">
        <f t="shared" ref="AI84:AI137" si="42">(AG84/$C$5)/$C$18</f>
        <v>1.2476058982448233</v>
      </c>
      <c r="AJ84" s="61"/>
      <c r="AK84" s="40">
        <v>43291.520011574074</v>
      </c>
      <c r="AL84" s="50">
        <f t="shared" ref="AL84:AL137" si="43">(AK84-$B$12)*24</f>
        <v>1.2469444444868714</v>
      </c>
      <c r="AM84">
        <v>569.41999999999996</v>
      </c>
      <c r="AN84">
        <v>703.53</v>
      </c>
      <c r="AO84" s="32">
        <f t="shared" ref="AO84:AO137" si="44">(AM84/$B$5)/$C$18</f>
        <v>0.50543190223693635</v>
      </c>
      <c r="AP84" s="32">
        <f t="shared" ref="AP84:AP137" si="45">(AN84/$C$5)/$C$18</f>
        <v>0.7166415009978776</v>
      </c>
      <c r="AQ84" s="61"/>
      <c r="AR84" s="61"/>
      <c r="AS84" s="61"/>
      <c r="AT84" s="61"/>
      <c r="AU84" s="61"/>
    </row>
    <row r="85" spans="1:47" x14ac:dyDescent="0.2">
      <c r="A85" s="40">
        <v>43291.526388888888</v>
      </c>
      <c r="B85" s="50">
        <f t="shared" si="28"/>
        <v>1.4000000000232831</v>
      </c>
      <c r="C85">
        <v>118.09</v>
      </c>
      <c r="D85">
        <v>361.23</v>
      </c>
      <c r="E85" s="32">
        <f t="shared" si="29"/>
        <v>8.2931346290715038E-2</v>
      </c>
      <c r="F85" s="32">
        <f t="shared" si="30"/>
        <v>0.29112453237759728</v>
      </c>
      <c r="G85" s="61"/>
      <c r="H85" s="40">
        <v>43291.527245370373</v>
      </c>
      <c r="I85" s="50">
        <f t="shared" si="31"/>
        <v>1.4205555556691252</v>
      </c>
      <c r="J85">
        <v>129019.79</v>
      </c>
      <c r="K85">
        <v>107034.83</v>
      </c>
      <c r="L85" s="32">
        <f t="shared" si="32"/>
        <v>230.6181981084593</v>
      </c>
      <c r="M85" s="32">
        <f t="shared" si="33"/>
        <v>219.5592644834214</v>
      </c>
      <c r="N85" s="61"/>
      <c r="O85" s="40">
        <v>43291.528101851851</v>
      </c>
      <c r="P85" s="50">
        <f t="shared" si="34"/>
        <v>1.4411111111403443</v>
      </c>
      <c r="Q85">
        <v>2695.9</v>
      </c>
      <c r="R85">
        <v>7675.75</v>
      </c>
      <c r="S85" s="32">
        <f t="shared" si="35"/>
        <v>1.5415323833995678</v>
      </c>
      <c r="T85" s="32">
        <f t="shared" si="36"/>
        <v>5.036850896255836</v>
      </c>
      <c r="U85" s="61"/>
      <c r="V85" s="61"/>
      <c r="W85" s="40">
        <v>43291.534745370373</v>
      </c>
      <c r="X85" s="50">
        <f t="shared" si="37"/>
        <v>1.6005555556621403</v>
      </c>
      <c r="Y85">
        <v>0</v>
      </c>
      <c r="Z85">
        <v>0</v>
      </c>
      <c r="AA85" s="32">
        <f t="shared" si="38"/>
        <v>0</v>
      </c>
      <c r="AB85" s="32">
        <f t="shared" si="39"/>
        <v>0</v>
      </c>
      <c r="AC85" s="61"/>
      <c r="AD85" s="40">
        <v>43291.535601851851</v>
      </c>
      <c r="AE85" s="50">
        <f t="shared" si="40"/>
        <v>1.6211111111333594</v>
      </c>
      <c r="AF85">
        <v>1214.3699999999999</v>
      </c>
      <c r="AG85">
        <v>1176.29</v>
      </c>
      <c r="AH85" s="32">
        <f t="shared" si="41"/>
        <v>1.0779061836947565</v>
      </c>
      <c r="AI85" s="32">
        <f t="shared" si="42"/>
        <v>1.1982122030457742</v>
      </c>
      <c r="AJ85" s="61"/>
      <c r="AK85" s="40">
        <v>43291.536458333336</v>
      </c>
      <c r="AL85" s="50">
        <f t="shared" si="43"/>
        <v>1.6416666667792015</v>
      </c>
      <c r="AM85">
        <v>629.42999999999995</v>
      </c>
      <c r="AN85">
        <v>651.99</v>
      </c>
      <c r="AO85" s="32">
        <f t="shared" si="44"/>
        <v>0.55869832851848344</v>
      </c>
      <c r="AP85" s="32">
        <f t="shared" si="45"/>
        <v>0.66414096376217957</v>
      </c>
      <c r="AQ85" s="61"/>
      <c r="AR85" s="61"/>
      <c r="AS85" s="61"/>
      <c r="AT85" s="61"/>
      <c r="AU85" s="61"/>
    </row>
    <row r="86" spans="1:47" x14ac:dyDescent="0.2">
      <c r="A86" s="40">
        <v>43291.542962962965</v>
      </c>
      <c r="B86" s="50">
        <f t="shared" si="28"/>
        <v>1.7977777778869495</v>
      </c>
      <c r="C86">
        <v>102.14</v>
      </c>
      <c r="D86">
        <v>268.17</v>
      </c>
      <c r="E86" s="32">
        <f t="shared" si="29"/>
        <v>7.1730101703223262E-2</v>
      </c>
      <c r="F86" s="32">
        <f t="shared" si="30"/>
        <v>0.21612508885668483</v>
      </c>
      <c r="G86" s="61"/>
      <c r="H86" s="40">
        <v>43291.543819444443</v>
      </c>
      <c r="I86" s="50">
        <f t="shared" si="31"/>
        <v>1.8183333333581686</v>
      </c>
      <c r="J86">
        <v>129540.04</v>
      </c>
      <c r="K86">
        <v>110498.11</v>
      </c>
      <c r="L86" s="32">
        <f t="shared" si="32"/>
        <v>231.54812612621475</v>
      </c>
      <c r="M86" s="32">
        <f t="shared" si="33"/>
        <v>226.66344925673437</v>
      </c>
      <c r="N86" s="61"/>
      <c r="O86" s="40">
        <v>43291.544675925928</v>
      </c>
      <c r="P86" s="50">
        <f t="shared" si="34"/>
        <v>1.8388888890040107</v>
      </c>
      <c r="Q86">
        <v>2350.85</v>
      </c>
      <c r="R86">
        <v>5719.75</v>
      </c>
      <c r="S86" s="32">
        <f t="shared" si="35"/>
        <v>1.3442306478411195</v>
      </c>
      <c r="T86" s="32">
        <f t="shared" si="36"/>
        <v>3.7533176450326442</v>
      </c>
      <c r="U86" s="61"/>
      <c r="V86" s="61"/>
      <c r="W86" s="40">
        <v>43291.551168981481</v>
      </c>
      <c r="X86" s="50">
        <f t="shared" si="37"/>
        <v>1.9947222222690471</v>
      </c>
      <c r="Y86">
        <v>13.17</v>
      </c>
      <c r="Z86">
        <v>3.12</v>
      </c>
      <c r="AA86" s="32">
        <f t="shared" si="38"/>
        <v>1.1690032230094573E-2</v>
      </c>
      <c r="AB86" s="32">
        <f t="shared" si="39"/>
        <v>3.1781466079817181E-3</v>
      </c>
      <c r="AC86" s="61"/>
      <c r="AD86" s="40">
        <v>43291.552025462966</v>
      </c>
      <c r="AE86" s="50">
        <f t="shared" si="40"/>
        <v>2.0152777779148892</v>
      </c>
      <c r="AF86">
        <v>1230.9000000000001</v>
      </c>
      <c r="AG86">
        <v>1236.43</v>
      </c>
      <c r="AH86" s="32">
        <f t="shared" si="41"/>
        <v>1.0925786387261514</v>
      </c>
      <c r="AI86" s="32">
        <f t="shared" si="42"/>
        <v>1.2594730161880885</v>
      </c>
      <c r="AJ86" s="61"/>
      <c r="AK86" s="40">
        <v>43291.552870370368</v>
      </c>
      <c r="AL86" s="50">
        <f t="shared" si="43"/>
        <v>2.0355555555433966</v>
      </c>
      <c r="AM86">
        <v>640.39</v>
      </c>
      <c r="AN86">
        <v>648.55999999999995</v>
      </c>
      <c r="AO86" s="32">
        <f t="shared" si="44"/>
        <v>0.56842670765605652</v>
      </c>
      <c r="AP86" s="32">
        <f t="shared" si="45"/>
        <v>0.66064703976686634</v>
      </c>
      <c r="AQ86" s="61"/>
      <c r="AR86" s="61"/>
      <c r="AS86" s="61"/>
      <c r="AT86" s="61"/>
      <c r="AU86" s="61"/>
    </row>
    <row r="87" spans="1:47" x14ac:dyDescent="0.2">
      <c r="A87" s="40">
        <v>43291.559282407405</v>
      </c>
      <c r="B87" s="50">
        <f t="shared" si="28"/>
        <v>2.1894444444333203</v>
      </c>
      <c r="C87">
        <v>95.65</v>
      </c>
      <c r="D87">
        <v>175.44</v>
      </c>
      <c r="E87" s="32">
        <f t="shared" si="29"/>
        <v>6.7172353905554191E-2</v>
      </c>
      <c r="F87" s="32">
        <f t="shared" si="30"/>
        <v>0.14139160080925078</v>
      </c>
      <c r="G87" s="61"/>
      <c r="H87" s="40">
        <v>43291.56013888889</v>
      </c>
      <c r="I87" s="50">
        <f t="shared" si="31"/>
        <v>2.2100000000791624</v>
      </c>
      <c r="J87">
        <v>130383.61</v>
      </c>
      <c r="K87">
        <v>111686.73</v>
      </c>
      <c r="L87" s="32">
        <f t="shared" si="32"/>
        <v>233.05597692475007</v>
      </c>
      <c r="M87" s="32">
        <f t="shared" si="33"/>
        <v>229.10165122286338</v>
      </c>
      <c r="N87" s="61"/>
      <c r="O87" s="40">
        <v>43291.560995370368</v>
      </c>
      <c r="P87" s="50">
        <f t="shared" si="34"/>
        <v>2.2305555555503815</v>
      </c>
      <c r="Q87">
        <v>2085.38</v>
      </c>
      <c r="R87">
        <v>4451.5</v>
      </c>
      <c r="S87" s="32">
        <f t="shared" si="35"/>
        <v>1.1924332511197711</v>
      </c>
      <c r="T87" s="32">
        <f t="shared" si="36"/>
        <v>2.9210880714826373</v>
      </c>
      <c r="U87" s="61"/>
      <c r="V87" s="61"/>
      <c r="W87" s="40">
        <v>43291.567245370374</v>
      </c>
      <c r="X87" s="50">
        <f t="shared" si="37"/>
        <v>2.3805555556900799</v>
      </c>
      <c r="Y87">
        <v>17.18</v>
      </c>
      <c r="Z87">
        <v>9.4499999999999993</v>
      </c>
      <c r="AA87" s="32">
        <f t="shared" si="38"/>
        <v>1.5249411823312435E-2</v>
      </c>
      <c r="AB87" s="32">
        <f t="shared" si="39"/>
        <v>9.6261171299446262E-3</v>
      </c>
      <c r="AC87" s="61"/>
      <c r="AD87" s="40">
        <v>43291.568101851852</v>
      </c>
      <c r="AE87" s="50">
        <f t="shared" si="40"/>
        <v>2.401111111161299</v>
      </c>
      <c r="AF87">
        <v>1304.23</v>
      </c>
      <c r="AG87">
        <v>1171.51</v>
      </c>
      <c r="AH87" s="32">
        <f t="shared" si="41"/>
        <v>1.1576682411128507</v>
      </c>
      <c r="AI87" s="32">
        <f t="shared" si="42"/>
        <v>1.1933431194604689</v>
      </c>
      <c r="AJ87" s="61"/>
      <c r="AK87" s="40">
        <v>43291.568958333337</v>
      </c>
      <c r="AL87" s="50">
        <f t="shared" si="43"/>
        <v>2.4216666668071412</v>
      </c>
      <c r="AM87">
        <v>623.44000000000005</v>
      </c>
      <c r="AN87">
        <v>679.17</v>
      </c>
      <c r="AO87" s="32">
        <f t="shared" si="44"/>
        <v>0.55338144977449977</v>
      </c>
      <c r="AP87" s="32">
        <f t="shared" si="45"/>
        <v>0.69182751017402033</v>
      </c>
      <c r="AQ87" s="61"/>
      <c r="AR87" s="61"/>
      <c r="AS87" s="61"/>
      <c r="AT87" s="61"/>
      <c r="AU87" s="61"/>
    </row>
    <row r="88" spans="1:47" x14ac:dyDescent="0.2">
      <c r="A88" s="40">
        <v>43291.575219907405</v>
      </c>
      <c r="B88" s="50">
        <f t="shared" si="28"/>
        <v>2.5719444444403052</v>
      </c>
      <c r="C88">
        <v>100.61</v>
      </c>
      <c r="D88">
        <v>143.19</v>
      </c>
      <c r="E88" s="32">
        <f t="shared" si="29"/>
        <v>7.0655624949689563E-2</v>
      </c>
      <c r="F88" s="32">
        <f t="shared" si="30"/>
        <v>0.11540049771931499</v>
      </c>
      <c r="G88" s="61"/>
      <c r="H88" s="40">
        <v>43291.57607638889</v>
      </c>
      <c r="I88" s="50">
        <f t="shared" si="31"/>
        <v>2.5925000000861473</v>
      </c>
      <c r="J88">
        <v>131110.07999999999</v>
      </c>
      <c r="K88">
        <v>113520.75</v>
      </c>
      <c r="L88" s="32">
        <f t="shared" si="32"/>
        <v>234.3545157177511</v>
      </c>
      <c r="M88" s="32">
        <f t="shared" si="33"/>
        <v>232.86375447698998</v>
      </c>
      <c r="N88" s="61"/>
      <c r="O88" s="40">
        <v>43291.576932870368</v>
      </c>
      <c r="P88" s="50">
        <f t="shared" si="34"/>
        <v>2.6130555555573665</v>
      </c>
      <c r="Q88">
        <v>2026.72</v>
      </c>
      <c r="R88">
        <v>3683.9</v>
      </c>
      <c r="S88" s="32">
        <f t="shared" si="35"/>
        <v>1.1588910983655079</v>
      </c>
      <c r="T88" s="32">
        <f t="shared" si="36"/>
        <v>2.417386576779712</v>
      </c>
      <c r="U88" s="61"/>
      <c r="V88" s="61"/>
      <c r="W88" s="40">
        <v>43291.58357638889</v>
      </c>
      <c r="X88" s="50">
        <f t="shared" si="37"/>
        <v>2.7725000000791624</v>
      </c>
      <c r="Y88">
        <v>0</v>
      </c>
      <c r="Z88">
        <v>0</v>
      </c>
      <c r="AA88" s="32">
        <f t="shared" si="38"/>
        <v>0</v>
      </c>
      <c r="AB88" s="32">
        <f t="shared" si="39"/>
        <v>0</v>
      </c>
      <c r="AC88" s="61"/>
      <c r="AD88" s="40">
        <v>43291.584421296298</v>
      </c>
      <c r="AE88" s="50">
        <f t="shared" si="40"/>
        <v>2.7927777778822929</v>
      </c>
      <c r="AF88">
        <v>1273.32</v>
      </c>
      <c r="AG88">
        <v>1213.82</v>
      </c>
      <c r="AH88" s="32">
        <f t="shared" si="41"/>
        <v>1.1302317265925605</v>
      </c>
      <c r="AI88" s="32">
        <f t="shared" si="42"/>
        <v>1.2364416396475542</v>
      </c>
      <c r="AJ88" s="61"/>
      <c r="AK88" s="40">
        <v>43291.585277777776</v>
      </c>
      <c r="AL88" s="50">
        <f t="shared" si="43"/>
        <v>2.813333333353512</v>
      </c>
      <c r="AM88">
        <v>578.88</v>
      </c>
      <c r="AN88">
        <v>649.51</v>
      </c>
      <c r="AO88" s="32">
        <f t="shared" si="44"/>
        <v>0.51382884262392914</v>
      </c>
      <c r="AP88" s="32">
        <f t="shared" si="45"/>
        <v>0.66161474466352754</v>
      </c>
      <c r="AQ88" s="61"/>
      <c r="AR88" s="61"/>
      <c r="AS88" s="61"/>
      <c r="AT88" s="61"/>
      <c r="AU88" s="61"/>
    </row>
    <row r="89" spans="1:47" x14ac:dyDescent="0.2">
      <c r="A89" s="40">
        <v>43291.591689814813</v>
      </c>
      <c r="B89" s="50">
        <f t="shared" si="28"/>
        <v>2.9672222222434357</v>
      </c>
      <c r="C89">
        <v>84.65</v>
      </c>
      <c r="D89">
        <v>88.61</v>
      </c>
      <c r="E89" s="32">
        <f t="shared" si="29"/>
        <v>5.9447357638318474E-2</v>
      </c>
      <c r="F89" s="32">
        <f t="shared" si="30"/>
        <v>7.1413074257339906E-2</v>
      </c>
      <c r="G89" s="61"/>
      <c r="H89" s="40">
        <v>43291.592534722222</v>
      </c>
      <c r="I89" s="50">
        <f t="shared" si="31"/>
        <v>2.9875000000465661</v>
      </c>
      <c r="J89">
        <v>131005.13</v>
      </c>
      <c r="K89">
        <v>114103.27</v>
      </c>
      <c r="L89" s="32">
        <f t="shared" si="32"/>
        <v>234.16692139682192</v>
      </c>
      <c r="M89" s="32">
        <f t="shared" si="33"/>
        <v>234.05867077430068</v>
      </c>
      <c r="N89" s="61"/>
      <c r="O89" s="40">
        <v>43291.593391203707</v>
      </c>
      <c r="P89" s="50">
        <f t="shared" si="34"/>
        <v>3.0080555556924082</v>
      </c>
      <c r="Q89">
        <v>1784.47</v>
      </c>
      <c r="R89">
        <v>2898.63</v>
      </c>
      <c r="S89" s="32">
        <f t="shared" si="35"/>
        <v>1.020371042028646</v>
      </c>
      <c r="T89" s="32">
        <f t="shared" si="36"/>
        <v>1.9020899734115957</v>
      </c>
      <c r="U89" s="61"/>
      <c r="V89" s="61"/>
      <c r="W89" s="40">
        <v>43291.599942129629</v>
      </c>
      <c r="X89" s="50">
        <f t="shared" si="37"/>
        <v>3.1652777778217569</v>
      </c>
      <c r="Y89">
        <v>25.16</v>
      </c>
      <c r="Z89">
        <v>1.84</v>
      </c>
      <c r="AA89" s="32">
        <f t="shared" si="38"/>
        <v>2.2332665976399352E-2</v>
      </c>
      <c r="AB89" s="32">
        <f t="shared" si="39"/>
        <v>1.8742915893225521E-3</v>
      </c>
      <c r="AC89" s="61"/>
      <c r="AD89" s="40">
        <v>43291.600798611114</v>
      </c>
      <c r="AE89" s="50">
        <f t="shared" si="40"/>
        <v>3.185833333467599</v>
      </c>
      <c r="AF89">
        <v>1273.3599999999999</v>
      </c>
      <c r="AG89">
        <v>1342.05</v>
      </c>
      <c r="AH89" s="32">
        <f t="shared" si="41"/>
        <v>1.130267231625909</v>
      </c>
      <c r="AI89" s="32">
        <f t="shared" si="42"/>
        <v>1.367061427962136</v>
      </c>
      <c r="AJ89" s="61"/>
      <c r="AK89" s="40">
        <v>43291.601643518516</v>
      </c>
      <c r="AL89" s="50">
        <f t="shared" si="43"/>
        <v>3.2061111110961065</v>
      </c>
      <c r="AM89">
        <v>582.87</v>
      </c>
      <c r="AN89">
        <v>658.01</v>
      </c>
      <c r="AO89" s="32">
        <f t="shared" si="44"/>
        <v>0.51737046970047262</v>
      </c>
      <c r="AP89" s="32">
        <f t="shared" si="45"/>
        <v>0.670273156896811</v>
      </c>
      <c r="AQ89" s="61"/>
      <c r="AR89" s="61"/>
      <c r="AS89" s="61"/>
      <c r="AT89" s="61"/>
      <c r="AU89" s="61"/>
    </row>
    <row r="90" spans="1:47" x14ac:dyDescent="0.2">
      <c r="A90" s="40">
        <v>43291.608194444445</v>
      </c>
      <c r="B90" s="50">
        <f t="shared" si="28"/>
        <v>3.3633333334000781</v>
      </c>
      <c r="C90">
        <v>85.17</v>
      </c>
      <c r="D90">
        <v>90.96</v>
      </c>
      <c r="E90" s="32">
        <f t="shared" si="29"/>
        <v>5.9812539280042348E-2</v>
      </c>
      <c r="F90" s="32">
        <f t="shared" si="30"/>
        <v>7.3306999598777081E-2</v>
      </c>
      <c r="G90" s="61"/>
      <c r="H90" s="40">
        <v>43291.609050925923</v>
      </c>
      <c r="I90" s="50">
        <f t="shared" si="31"/>
        <v>3.3838888888712972</v>
      </c>
      <c r="J90">
        <v>130421.56</v>
      </c>
      <c r="K90">
        <v>114599.74</v>
      </c>
      <c r="L90" s="32">
        <f t="shared" si="32"/>
        <v>233.12381117419514</v>
      </c>
      <c r="M90" s="32">
        <f t="shared" si="33"/>
        <v>235.07707373750512</v>
      </c>
      <c r="N90" s="61"/>
      <c r="O90" s="40">
        <v>43291.609895833331</v>
      </c>
      <c r="P90" s="50">
        <f t="shared" si="34"/>
        <v>3.4041666666744277</v>
      </c>
      <c r="Q90">
        <v>1719.49</v>
      </c>
      <c r="R90">
        <v>2467.16</v>
      </c>
      <c r="S90" s="32">
        <f t="shared" si="35"/>
        <v>0.98321507397593488</v>
      </c>
      <c r="T90" s="32">
        <f t="shared" si="36"/>
        <v>1.6189580245847701</v>
      </c>
      <c r="U90" s="61"/>
      <c r="V90" s="61"/>
      <c r="W90" s="40">
        <v>43291.616435185184</v>
      </c>
      <c r="X90" s="50">
        <f t="shared" si="37"/>
        <v>3.5611111111356877</v>
      </c>
      <c r="Y90">
        <v>12.67</v>
      </c>
      <c r="Z90">
        <v>0</v>
      </c>
      <c r="AA90" s="32">
        <f t="shared" si="38"/>
        <v>1.124621931323449E-2</v>
      </c>
      <c r="AB90" s="32">
        <f t="shared" si="39"/>
        <v>0</v>
      </c>
      <c r="AC90" s="61"/>
      <c r="AD90" s="40">
        <v>43291.617280092592</v>
      </c>
      <c r="AE90" s="50">
        <f t="shared" si="40"/>
        <v>3.5813888889388181</v>
      </c>
      <c r="AF90">
        <v>1322.28</v>
      </c>
      <c r="AG90">
        <v>1218.44</v>
      </c>
      <c r="AH90" s="32">
        <f t="shared" si="41"/>
        <v>1.1736898874114998</v>
      </c>
      <c r="AI90" s="32">
        <f t="shared" si="42"/>
        <v>1.2411477413555272</v>
      </c>
      <c r="AJ90" s="61"/>
      <c r="AK90" s="40">
        <v>43291.618136574078</v>
      </c>
      <c r="AL90" s="50">
        <f t="shared" si="43"/>
        <v>3.6019444445846602</v>
      </c>
      <c r="AM90">
        <v>611.73</v>
      </c>
      <c r="AN90">
        <v>592.78</v>
      </c>
      <c r="AO90" s="32">
        <f t="shared" si="44"/>
        <v>0.54298735126163655</v>
      </c>
      <c r="AP90" s="32">
        <f t="shared" si="45"/>
        <v>0.60382748278185983</v>
      </c>
      <c r="AQ90" s="61"/>
      <c r="AR90" s="61"/>
      <c r="AS90" s="61"/>
      <c r="AT90" s="61"/>
      <c r="AU90" s="61"/>
    </row>
    <row r="91" spans="1:47" x14ac:dyDescent="0.2">
      <c r="A91" s="40">
        <v>43291.6246875</v>
      </c>
      <c r="B91" s="50">
        <f t="shared" si="28"/>
        <v>3.7591666667140089</v>
      </c>
      <c r="C91">
        <v>82.14</v>
      </c>
      <c r="D91">
        <v>80.489999999999995</v>
      </c>
      <c r="E91" s="32">
        <f t="shared" si="29"/>
        <v>5.7684653944612876E-2</v>
      </c>
      <c r="F91" s="32">
        <f t="shared" si="30"/>
        <v>6.4868957758416529E-2</v>
      </c>
      <c r="G91" s="61"/>
      <c r="H91" s="40">
        <v>43291.625532407408</v>
      </c>
      <c r="I91" s="50">
        <f t="shared" si="31"/>
        <v>3.7794444445171393</v>
      </c>
      <c r="J91">
        <v>130733.02</v>
      </c>
      <c r="K91">
        <v>115506.5</v>
      </c>
      <c r="L91" s="32">
        <f t="shared" si="32"/>
        <v>233.68053463485853</v>
      </c>
      <c r="M91" s="32">
        <f t="shared" si="33"/>
        <v>236.93709966236517</v>
      </c>
      <c r="N91" s="61"/>
      <c r="O91" s="40">
        <v>43291.626388888886</v>
      </c>
      <c r="P91" s="50">
        <f t="shared" si="34"/>
        <v>3.7999999999883585</v>
      </c>
      <c r="Q91">
        <v>1622.97</v>
      </c>
      <c r="R91">
        <v>2093.4899999999998</v>
      </c>
      <c r="S91" s="32">
        <f t="shared" si="35"/>
        <v>0.92802433780407168</v>
      </c>
      <c r="T91" s="32">
        <f t="shared" si="36"/>
        <v>1.3737546145722084</v>
      </c>
      <c r="U91" s="61"/>
      <c r="V91" s="61"/>
      <c r="W91" s="40">
        <v>43291.632928240739</v>
      </c>
      <c r="X91" s="50">
        <f t="shared" si="37"/>
        <v>3.9569444444496185</v>
      </c>
      <c r="Y91">
        <v>0</v>
      </c>
      <c r="Z91">
        <v>0.56999999999999995</v>
      </c>
      <c r="AA91" s="32">
        <f t="shared" si="38"/>
        <v>0</v>
      </c>
      <c r="AB91" s="32">
        <f t="shared" si="39"/>
        <v>5.8062293799665998E-4</v>
      </c>
      <c r="AC91" s="61"/>
      <c r="AD91" s="40">
        <v>43291.633773148147</v>
      </c>
      <c r="AE91" s="50">
        <f t="shared" si="40"/>
        <v>3.9772222222527489</v>
      </c>
      <c r="AF91">
        <v>1236.22</v>
      </c>
      <c r="AG91">
        <v>1314.65</v>
      </c>
      <c r="AH91" s="32">
        <f t="shared" si="41"/>
        <v>1.0973008081615425</v>
      </c>
      <c r="AI91" s="32">
        <f t="shared" si="42"/>
        <v>1.3391507814689636</v>
      </c>
      <c r="AJ91" s="61"/>
      <c r="AK91" s="40">
        <v>43291.634629629632</v>
      </c>
      <c r="AL91" s="50">
        <f t="shared" si="43"/>
        <v>3.997777777898591</v>
      </c>
      <c r="AM91">
        <v>586.4</v>
      </c>
      <c r="AN91">
        <v>632.09</v>
      </c>
      <c r="AO91" s="32">
        <f t="shared" si="44"/>
        <v>0.52050378889350468</v>
      </c>
      <c r="AP91" s="32">
        <f t="shared" si="45"/>
        <v>0.6438700927689629</v>
      </c>
      <c r="AQ91" s="61"/>
      <c r="AR91" s="61"/>
      <c r="AS91" s="61"/>
      <c r="AT91" s="61"/>
      <c r="AU91" s="61"/>
    </row>
    <row r="92" spans="1:47" x14ac:dyDescent="0.2">
      <c r="A92" s="40">
        <v>43291.641180555554</v>
      </c>
      <c r="B92" s="50">
        <f t="shared" si="28"/>
        <v>4.1550000000279397</v>
      </c>
      <c r="C92">
        <v>60.15</v>
      </c>
      <c r="D92">
        <v>77.290000000000006</v>
      </c>
      <c r="E92" s="32">
        <f t="shared" si="29"/>
        <v>4.2241684134020747E-2</v>
      </c>
      <c r="F92" s="32">
        <f t="shared" si="30"/>
        <v>6.2289995591353148E-2</v>
      </c>
      <c r="G92" s="61"/>
      <c r="H92" s="40">
        <v>43291.642025462963</v>
      </c>
      <c r="I92" s="50">
        <f t="shared" si="31"/>
        <v>4.1752777778310701</v>
      </c>
      <c r="J92">
        <v>130845.55</v>
      </c>
      <c r="K92">
        <v>115921.73</v>
      </c>
      <c r="L92" s="32">
        <f t="shared" si="32"/>
        <v>233.88167793103926</v>
      </c>
      <c r="M92" s="32">
        <f t="shared" si="33"/>
        <v>237.78885598683868</v>
      </c>
      <c r="N92" s="61"/>
      <c r="O92" s="40">
        <v>43291.642881944441</v>
      </c>
      <c r="P92" s="50">
        <f t="shared" si="34"/>
        <v>4.1958333333022892</v>
      </c>
      <c r="Q92">
        <v>1606.35</v>
      </c>
      <c r="R92">
        <v>1855.91</v>
      </c>
      <c r="S92" s="32">
        <f t="shared" si="35"/>
        <v>0.918520918459103</v>
      </c>
      <c r="T92" s="32">
        <f t="shared" si="36"/>
        <v>1.2178538835775226</v>
      </c>
      <c r="U92" s="61"/>
      <c r="V92" s="61"/>
      <c r="W92" s="40">
        <v>43291.649421296293</v>
      </c>
      <c r="X92" s="50">
        <f t="shared" si="37"/>
        <v>4.3527777777635492</v>
      </c>
      <c r="Y92">
        <v>34.159999999999997</v>
      </c>
      <c r="Z92">
        <v>0.56999999999999995</v>
      </c>
      <c r="AA92" s="32">
        <f t="shared" si="38"/>
        <v>3.032129847988083E-2</v>
      </c>
      <c r="AB92" s="32">
        <f t="shared" si="39"/>
        <v>5.8062293799665998E-4</v>
      </c>
      <c r="AC92" s="61"/>
      <c r="AD92" s="40">
        <v>43291.650266203702</v>
      </c>
      <c r="AE92" s="50">
        <f t="shared" si="40"/>
        <v>4.3730555555666797</v>
      </c>
      <c r="AF92">
        <v>1261.95</v>
      </c>
      <c r="AG92">
        <v>1272.75</v>
      </c>
      <c r="AH92" s="32">
        <f t="shared" si="41"/>
        <v>1.1201394208631623</v>
      </c>
      <c r="AI92" s="32">
        <f t="shared" si="42"/>
        <v>1.2964699023425423</v>
      </c>
      <c r="AJ92" s="61"/>
      <c r="AK92" s="40">
        <v>43291.651122685187</v>
      </c>
      <c r="AL92" s="50">
        <f t="shared" si="43"/>
        <v>4.3936111112125218</v>
      </c>
      <c r="AM92">
        <v>645.94000000000005</v>
      </c>
      <c r="AN92">
        <v>640.1</v>
      </c>
      <c r="AO92" s="32">
        <f t="shared" si="44"/>
        <v>0.57335303103320345</v>
      </c>
      <c r="AP92" s="32">
        <f t="shared" si="45"/>
        <v>0.65202937300291597</v>
      </c>
      <c r="AQ92" s="61"/>
      <c r="AR92" s="61"/>
      <c r="AS92" s="61"/>
      <c r="AT92" s="61"/>
      <c r="AU92" s="61"/>
    </row>
    <row r="93" spans="1:47" x14ac:dyDescent="0.2">
      <c r="A93" s="40">
        <v>43291.657673611109</v>
      </c>
      <c r="B93" s="50">
        <f t="shared" si="28"/>
        <v>4.5508333333418705</v>
      </c>
      <c r="C93">
        <v>78.14</v>
      </c>
      <c r="D93">
        <v>70.88</v>
      </c>
      <c r="E93" s="32">
        <f t="shared" si="29"/>
        <v>5.4875564392890791E-2</v>
      </c>
      <c r="F93" s="32">
        <f t="shared" si="30"/>
        <v>5.7124012000454263E-2</v>
      </c>
      <c r="G93" s="61"/>
      <c r="H93" s="40">
        <v>43291.658530092594</v>
      </c>
      <c r="I93" s="50">
        <f t="shared" si="31"/>
        <v>4.5713888889877126</v>
      </c>
      <c r="J93">
        <v>131232.57999999999</v>
      </c>
      <c r="K93">
        <v>115405.82</v>
      </c>
      <c r="L93" s="32">
        <f t="shared" si="32"/>
        <v>234.57348002755415</v>
      </c>
      <c r="M93" s="32">
        <f t="shared" si="33"/>
        <v>236.73057598452885</v>
      </c>
      <c r="N93" s="61"/>
      <c r="O93" s="40">
        <v>43291.659386574072</v>
      </c>
      <c r="P93" s="50">
        <f t="shared" si="34"/>
        <v>4.5919444444589317</v>
      </c>
      <c r="Q93">
        <v>1604.65</v>
      </c>
      <c r="R93">
        <v>1719.77</v>
      </c>
      <c r="S93" s="32">
        <f t="shared" si="35"/>
        <v>0.91754884788831803</v>
      </c>
      <c r="T93" s="32">
        <f t="shared" si="36"/>
        <v>1.1285183944049635</v>
      </c>
      <c r="U93" s="61"/>
      <c r="V93" s="61"/>
      <c r="W93" s="40">
        <v>43291.665902777779</v>
      </c>
      <c r="X93" s="50">
        <f t="shared" si="37"/>
        <v>4.7483333334093913</v>
      </c>
      <c r="Y93">
        <v>14.18</v>
      </c>
      <c r="Z93">
        <v>0</v>
      </c>
      <c r="AA93" s="32">
        <f t="shared" si="38"/>
        <v>1.2586534322151939E-2</v>
      </c>
      <c r="AB93" s="32">
        <f t="shared" si="39"/>
        <v>0</v>
      </c>
      <c r="AC93" s="61"/>
      <c r="AD93" s="40">
        <v>43291.666759259257</v>
      </c>
      <c r="AE93" s="50">
        <f t="shared" si="40"/>
        <v>4.7688888888806105</v>
      </c>
      <c r="AF93">
        <v>1295.26</v>
      </c>
      <c r="AG93">
        <v>1276.72</v>
      </c>
      <c r="AH93" s="32">
        <f t="shared" si="41"/>
        <v>1.1497062373843809</v>
      </c>
      <c r="AI93" s="32">
        <f t="shared" si="42"/>
        <v>1.3005138901738524</v>
      </c>
      <c r="AJ93" s="61"/>
      <c r="AK93" s="40">
        <v>43291.667615740742</v>
      </c>
      <c r="AL93" s="50">
        <f t="shared" si="43"/>
        <v>4.7894444445264526</v>
      </c>
      <c r="AM93">
        <v>609.91999999999996</v>
      </c>
      <c r="AN93">
        <v>678.29</v>
      </c>
      <c r="AO93" s="32">
        <f t="shared" si="44"/>
        <v>0.54138074850260298</v>
      </c>
      <c r="AP93" s="32">
        <f t="shared" si="45"/>
        <v>0.69093110984869222</v>
      </c>
      <c r="AQ93" s="61"/>
      <c r="AR93" s="61"/>
      <c r="AS93" s="61"/>
      <c r="AT93" s="61"/>
      <c r="AU93" s="61"/>
    </row>
    <row r="94" spans="1:47" x14ac:dyDescent="0.2">
      <c r="A94" s="40">
        <v>43291.674166666664</v>
      </c>
      <c r="B94" s="50">
        <f t="shared" si="28"/>
        <v>4.9466666666558012</v>
      </c>
      <c r="C94">
        <v>76.64</v>
      </c>
      <c r="D94">
        <v>60.2</v>
      </c>
      <c r="E94" s="32">
        <f t="shared" si="29"/>
        <v>5.3822155810995018E-2</v>
      </c>
      <c r="F94" s="32">
        <f t="shared" si="30"/>
        <v>4.851672576788018E-2</v>
      </c>
      <c r="G94" s="61"/>
      <c r="H94" s="40">
        <v>43291.675023148149</v>
      </c>
      <c r="I94" s="50">
        <f t="shared" si="31"/>
        <v>4.9672222223016433</v>
      </c>
      <c r="J94">
        <v>131314.78</v>
      </c>
      <c r="K94">
        <v>116054.96</v>
      </c>
      <c r="L94" s="32">
        <f t="shared" si="32"/>
        <v>234.72040954809142</v>
      </c>
      <c r="M94" s="32">
        <f t="shared" si="33"/>
        <v>238.06214908972055</v>
      </c>
      <c r="N94" s="61"/>
      <c r="O94" s="40">
        <v>43291.675879629627</v>
      </c>
      <c r="P94" s="50">
        <f t="shared" si="34"/>
        <v>4.9877777777728625</v>
      </c>
      <c r="Q94">
        <v>1577.28</v>
      </c>
      <c r="R94">
        <v>1642.01</v>
      </c>
      <c r="S94" s="32">
        <f t="shared" si="35"/>
        <v>0.90189851169867963</v>
      </c>
      <c r="T94" s="32">
        <f t="shared" si="36"/>
        <v>1.0774920418409986</v>
      </c>
      <c r="U94" s="61"/>
      <c r="V94" s="61"/>
      <c r="W94" s="40">
        <v>43291.68240740741</v>
      </c>
      <c r="X94" s="50">
        <f t="shared" si="37"/>
        <v>5.1444444445660338</v>
      </c>
      <c r="Y94">
        <v>0</v>
      </c>
      <c r="Z94">
        <v>4.4000000000000004</v>
      </c>
      <c r="AA94" s="32">
        <f t="shared" si="38"/>
        <v>0</v>
      </c>
      <c r="AB94" s="32">
        <f t="shared" si="39"/>
        <v>4.4820016266408852E-3</v>
      </c>
      <c r="AC94" s="61"/>
      <c r="AD94" s="40">
        <v>43291.683263888888</v>
      </c>
      <c r="AE94" s="50">
        <f t="shared" si="40"/>
        <v>5.1650000000372529</v>
      </c>
      <c r="AF94">
        <v>1244.21</v>
      </c>
      <c r="AG94">
        <v>1322.23</v>
      </c>
      <c r="AH94" s="32">
        <f t="shared" si="41"/>
        <v>1.1043929385729665</v>
      </c>
      <c r="AI94" s="32">
        <f t="shared" si="42"/>
        <v>1.3468720479075857</v>
      </c>
      <c r="AJ94" s="61"/>
      <c r="AK94" s="40">
        <v>43291.684120370373</v>
      </c>
      <c r="AL94" s="50">
        <f t="shared" si="43"/>
        <v>5.185555555683095</v>
      </c>
      <c r="AM94">
        <v>576.27</v>
      </c>
      <c r="AN94">
        <v>646.51</v>
      </c>
      <c r="AO94" s="32">
        <f t="shared" si="44"/>
        <v>0.51151213919791938</v>
      </c>
      <c r="AP94" s="32">
        <f t="shared" si="45"/>
        <v>0.65855883446354502</v>
      </c>
      <c r="AQ94" s="61"/>
      <c r="AR94" s="61"/>
      <c r="AS94" s="61"/>
      <c r="AT94" s="61"/>
      <c r="AU94" s="61"/>
    </row>
    <row r="95" spans="1:47" x14ac:dyDescent="0.2">
      <c r="A95" s="40">
        <v>43291.690671296295</v>
      </c>
      <c r="B95" s="50">
        <f t="shared" si="28"/>
        <v>5.3427777778124437</v>
      </c>
      <c r="C95">
        <v>45.16</v>
      </c>
      <c r="D95">
        <v>52.75</v>
      </c>
      <c r="E95" s="32">
        <f t="shared" si="29"/>
        <v>3.1714621038942258E-2</v>
      </c>
      <c r="F95" s="32">
        <f t="shared" si="30"/>
        <v>4.2512579472685698E-2</v>
      </c>
      <c r="G95" s="61"/>
      <c r="H95" s="40">
        <v>43291.691527777781</v>
      </c>
      <c r="I95" s="50">
        <f t="shared" si="31"/>
        <v>5.3633333334582858</v>
      </c>
      <c r="J95">
        <v>130353.7</v>
      </c>
      <c r="K95">
        <v>115589.21</v>
      </c>
      <c r="L95" s="32">
        <f t="shared" si="32"/>
        <v>233.00251388388304</v>
      </c>
      <c r="M95" s="32">
        <f t="shared" si="33"/>
        <v>237.10676169448527</v>
      </c>
      <c r="N95" s="61"/>
      <c r="O95" s="40">
        <v>43291.692384259259</v>
      </c>
      <c r="P95" s="50">
        <f t="shared" si="34"/>
        <v>5.3838888889295049</v>
      </c>
      <c r="Q95">
        <v>1460.62</v>
      </c>
      <c r="R95">
        <v>1498.68</v>
      </c>
      <c r="S95" s="32">
        <f t="shared" si="35"/>
        <v>0.83519159829410461</v>
      </c>
      <c r="T95" s="32">
        <f t="shared" si="36"/>
        <v>0.98343845242493522</v>
      </c>
      <c r="U95" s="61"/>
      <c r="V95" s="61"/>
      <c r="W95" s="40">
        <v>43291.698993055557</v>
      </c>
      <c r="X95" s="50">
        <f t="shared" si="37"/>
        <v>5.5425000000977889</v>
      </c>
      <c r="Y95">
        <v>0</v>
      </c>
      <c r="Z95">
        <v>3.13</v>
      </c>
      <c r="AA95" s="32">
        <f t="shared" si="38"/>
        <v>0</v>
      </c>
      <c r="AB95" s="32">
        <f t="shared" si="39"/>
        <v>3.1883329753149931E-3</v>
      </c>
      <c r="AC95" s="61"/>
      <c r="AD95" s="40">
        <v>43291.699849537035</v>
      </c>
      <c r="AE95" s="50">
        <f t="shared" si="40"/>
        <v>5.563055555569008</v>
      </c>
      <c r="AF95">
        <v>1275.78</v>
      </c>
      <c r="AG95">
        <v>1365.75</v>
      </c>
      <c r="AH95" s="32">
        <f t="shared" si="41"/>
        <v>1.1324152861435119</v>
      </c>
      <c r="AI95" s="32">
        <f t="shared" si="42"/>
        <v>1.3912031185419973</v>
      </c>
      <c r="AJ95" s="61"/>
      <c r="AK95" s="40">
        <v>43291.700706018521</v>
      </c>
      <c r="AL95" s="50">
        <f t="shared" si="43"/>
        <v>5.5836111112148501</v>
      </c>
      <c r="AM95">
        <v>564.37</v>
      </c>
      <c r="AN95">
        <v>547.04</v>
      </c>
      <c r="AO95" s="32">
        <f t="shared" si="44"/>
        <v>0.50094939177664954</v>
      </c>
      <c r="AP95" s="32">
        <f t="shared" si="45"/>
        <v>0.55723503859946122</v>
      </c>
      <c r="AQ95" s="61"/>
      <c r="AR95" s="61"/>
      <c r="AS95" s="61"/>
      <c r="AT95" s="61"/>
      <c r="AU95" s="61"/>
    </row>
    <row r="96" spans="1:47" x14ac:dyDescent="0.2">
      <c r="A96" s="40">
        <v>43291.707129629627</v>
      </c>
      <c r="B96" s="50">
        <f t="shared" si="28"/>
        <v>5.7377777777728625</v>
      </c>
      <c r="C96">
        <v>48.67</v>
      </c>
      <c r="D96">
        <v>66.62</v>
      </c>
      <c r="E96" s="32">
        <f t="shared" si="29"/>
        <v>3.4179597120578387E-2</v>
      </c>
      <c r="F96" s="32">
        <f t="shared" si="30"/>
        <v>5.3690768615551117E-2</v>
      </c>
      <c r="G96" s="61"/>
      <c r="H96" s="40">
        <v>43291.707974537036</v>
      </c>
      <c r="I96" s="50">
        <f t="shared" si="31"/>
        <v>5.7580555555759929</v>
      </c>
      <c r="J96">
        <v>131115.65</v>
      </c>
      <c r="K96">
        <v>115974.42</v>
      </c>
      <c r="L96" s="32">
        <f t="shared" si="32"/>
        <v>234.36447189085808</v>
      </c>
      <c r="M96" s="32">
        <f t="shared" si="33"/>
        <v>237.89693835260351</v>
      </c>
      <c r="N96" s="61"/>
      <c r="O96" s="40">
        <v>43291.708831018521</v>
      </c>
      <c r="P96" s="50">
        <f t="shared" si="34"/>
        <v>5.778611111221835</v>
      </c>
      <c r="Q96">
        <v>1551.2</v>
      </c>
      <c r="R96">
        <v>1377.62</v>
      </c>
      <c r="S96" s="32">
        <f t="shared" si="35"/>
        <v>0.88698580553040152</v>
      </c>
      <c r="T96" s="32">
        <f t="shared" si="36"/>
        <v>0.90399850590495578</v>
      </c>
      <c r="U96" s="61"/>
      <c r="V96" s="61"/>
      <c r="W96" s="40">
        <v>43291.715370370373</v>
      </c>
      <c r="X96" s="50">
        <f t="shared" si="37"/>
        <v>5.935555555683095</v>
      </c>
      <c r="Y96">
        <v>0</v>
      </c>
      <c r="Z96">
        <v>0</v>
      </c>
      <c r="AA96" s="32">
        <f t="shared" si="38"/>
        <v>0</v>
      </c>
      <c r="AB96" s="32">
        <f t="shared" si="39"/>
        <v>0</v>
      </c>
      <c r="AC96" s="61"/>
      <c r="AD96" s="40">
        <v>43291.716215277775</v>
      </c>
      <c r="AE96" s="50">
        <f t="shared" si="40"/>
        <v>5.9558333333116025</v>
      </c>
      <c r="AF96">
        <v>1243.75</v>
      </c>
      <c r="AG96">
        <v>1314.63</v>
      </c>
      <c r="AH96" s="32">
        <f t="shared" si="41"/>
        <v>1.1039846306894552</v>
      </c>
      <c r="AI96" s="32">
        <f t="shared" si="42"/>
        <v>1.339130408734297</v>
      </c>
      <c r="AJ96" s="61"/>
      <c r="AK96" s="40">
        <v>43291.71707175926</v>
      </c>
      <c r="AL96" s="50">
        <f t="shared" si="43"/>
        <v>5.9763888889574446</v>
      </c>
      <c r="AM96">
        <v>559.4</v>
      </c>
      <c r="AN96">
        <v>606.17999999999995</v>
      </c>
      <c r="AO96" s="32">
        <f t="shared" si="44"/>
        <v>0.49653789138306026</v>
      </c>
      <c r="AP96" s="32">
        <f t="shared" si="45"/>
        <v>0.61747721500844799</v>
      </c>
      <c r="AQ96" s="61"/>
      <c r="AR96" s="61"/>
      <c r="AS96" s="61"/>
      <c r="AT96" s="61"/>
      <c r="AU96" s="61"/>
    </row>
    <row r="97" spans="1:47" x14ac:dyDescent="0.2">
      <c r="A97" s="40">
        <v>43291.723611111112</v>
      </c>
      <c r="B97" s="50">
        <f t="shared" si="28"/>
        <v>6.1333333334187046</v>
      </c>
      <c r="C97">
        <v>56.16</v>
      </c>
      <c r="D97">
        <v>46.34</v>
      </c>
      <c r="E97" s="32">
        <f t="shared" si="29"/>
        <v>3.9439617306177975E-2</v>
      </c>
      <c r="F97" s="32">
        <f t="shared" si="30"/>
        <v>3.7346595881786834E-2</v>
      </c>
      <c r="G97" s="61"/>
      <c r="H97" s="40">
        <v>43291.72446759259</v>
      </c>
      <c r="I97" s="50">
        <f t="shared" si="31"/>
        <v>6.1538888888899237</v>
      </c>
      <c r="J97">
        <v>130754.5</v>
      </c>
      <c r="K97">
        <v>116396.04</v>
      </c>
      <c r="L97" s="32">
        <f t="shared" si="32"/>
        <v>233.71892935628358</v>
      </c>
      <c r="M97" s="32">
        <f t="shared" si="33"/>
        <v>238.76180240752376</v>
      </c>
      <c r="N97" s="61"/>
      <c r="O97" s="40">
        <v>43291.725324074076</v>
      </c>
      <c r="P97" s="50">
        <f t="shared" si="34"/>
        <v>6.1744444445357658</v>
      </c>
      <c r="Q97">
        <v>1473.19</v>
      </c>
      <c r="R97">
        <v>1414.22</v>
      </c>
      <c r="S97" s="32">
        <f t="shared" si="35"/>
        <v>0.84237920245573261</v>
      </c>
      <c r="T97" s="32">
        <f t="shared" si="36"/>
        <v>0.92801553913336521</v>
      </c>
      <c r="U97" s="61"/>
      <c r="V97" s="61"/>
      <c r="W97" s="40">
        <v>43291.731863425928</v>
      </c>
      <c r="X97" s="50">
        <f t="shared" si="37"/>
        <v>6.3313888889970258</v>
      </c>
      <c r="Y97">
        <v>0</v>
      </c>
      <c r="Z97">
        <v>0</v>
      </c>
      <c r="AA97" s="32">
        <f t="shared" si="38"/>
        <v>0</v>
      </c>
      <c r="AB97" s="32">
        <f t="shared" si="39"/>
        <v>0</v>
      </c>
      <c r="AC97" s="61"/>
      <c r="AD97" s="40">
        <v>43291.732719907406</v>
      </c>
      <c r="AE97" s="50">
        <f t="shared" si="40"/>
        <v>6.3519444444682449</v>
      </c>
      <c r="AF97">
        <v>1232.79</v>
      </c>
      <c r="AG97">
        <v>1314.11</v>
      </c>
      <c r="AH97" s="32">
        <f t="shared" si="41"/>
        <v>1.0942562515518821</v>
      </c>
      <c r="AI97" s="32">
        <f t="shared" si="42"/>
        <v>1.3386007176329664</v>
      </c>
      <c r="AJ97" s="61"/>
      <c r="AK97" s="40">
        <v>43291.733564814815</v>
      </c>
      <c r="AL97" s="50">
        <f t="shared" si="43"/>
        <v>6.3722222222713754</v>
      </c>
      <c r="AM97">
        <v>599.89</v>
      </c>
      <c r="AN97">
        <v>612.32000000000005</v>
      </c>
      <c r="AO97" s="32">
        <f t="shared" si="44"/>
        <v>0.53247786139038977</v>
      </c>
      <c r="AP97" s="32">
        <f t="shared" si="45"/>
        <v>0.62373164455107877</v>
      </c>
      <c r="AQ97" s="61"/>
      <c r="AR97" s="61"/>
      <c r="AS97" s="61"/>
      <c r="AT97" s="61"/>
      <c r="AU97" s="61"/>
    </row>
    <row r="98" spans="1:47" x14ac:dyDescent="0.2">
      <c r="A98" s="40">
        <v>43291.740115740744</v>
      </c>
      <c r="B98" s="50">
        <f t="shared" si="28"/>
        <v>6.529444444575347</v>
      </c>
      <c r="C98">
        <v>48.16</v>
      </c>
      <c r="D98">
        <v>46.16</v>
      </c>
      <c r="E98" s="32">
        <f t="shared" si="29"/>
        <v>3.3821438202733811E-2</v>
      </c>
      <c r="F98" s="32">
        <f t="shared" si="30"/>
        <v>3.720152925988951E-2</v>
      </c>
      <c r="G98" s="61"/>
      <c r="H98" s="40">
        <v>43291.740972222222</v>
      </c>
      <c r="I98" s="50">
        <f t="shared" si="31"/>
        <v>6.5500000000465661</v>
      </c>
      <c r="J98">
        <v>129517.1</v>
      </c>
      <c r="K98">
        <v>115636.87</v>
      </c>
      <c r="L98" s="32">
        <f t="shared" si="32"/>
        <v>231.50712170770962</v>
      </c>
      <c r="M98" s="32">
        <f t="shared" si="33"/>
        <v>237.20452608151027</v>
      </c>
      <c r="N98" s="61"/>
      <c r="O98" s="40">
        <v>43291.74181712963</v>
      </c>
      <c r="P98" s="50">
        <f t="shared" si="34"/>
        <v>6.5702777778496966</v>
      </c>
      <c r="Q98">
        <v>1534.24</v>
      </c>
      <c r="R98">
        <v>1354.39</v>
      </c>
      <c r="S98" s="32">
        <f t="shared" si="35"/>
        <v>0.87728797207127596</v>
      </c>
      <c r="T98" s="32">
        <f t="shared" si="36"/>
        <v>0.88875490803894641</v>
      </c>
      <c r="U98" s="61"/>
      <c r="V98" s="61"/>
      <c r="W98" s="40">
        <v>43291.748356481483</v>
      </c>
      <c r="X98" s="50">
        <f t="shared" si="37"/>
        <v>6.7272222223109566</v>
      </c>
      <c r="Y98">
        <v>0</v>
      </c>
      <c r="Z98">
        <v>0</v>
      </c>
      <c r="AA98" s="32">
        <f t="shared" si="38"/>
        <v>0</v>
      </c>
      <c r="AB98" s="32">
        <f t="shared" si="39"/>
        <v>0</v>
      </c>
      <c r="AC98" s="61"/>
      <c r="AD98" s="40">
        <v>43291.749212962961</v>
      </c>
      <c r="AE98" s="50">
        <f t="shared" si="40"/>
        <v>6.7477777777821757</v>
      </c>
      <c r="AF98">
        <v>1245.2</v>
      </c>
      <c r="AG98">
        <v>1328.8</v>
      </c>
      <c r="AH98" s="32">
        <f t="shared" si="41"/>
        <v>1.1052716881483495</v>
      </c>
      <c r="AI98" s="32">
        <f t="shared" si="42"/>
        <v>1.3535644912455471</v>
      </c>
      <c r="AJ98" s="61"/>
      <c r="AK98" s="40">
        <v>43291.750069444446</v>
      </c>
      <c r="AL98" s="50">
        <f t="shared" si="43"/>
        <v>6.7683333334280178</v>
      </c>
      <c r="AM98">
        <v>595.4</v>
      </c>
      <c r="AN98">
        <v>626.62</v>
      </c>
      <c r="AO98" s="32">
        <f t="shared" si="44"/>
        <v>0.52849242139698627</v>
      </c>
      <c r="AP98" s="32">
        <f t="shared" si="45"/>
        <v>0.63829814983766164</v>
      </c>
      <c r="AQ98" s="61"/>
      <c r="AR98" s="61"/>
      <c r="AS98" s="61"/>
      <c r="AT98" s="61"/>
      <c r="AU98" s="61"/>
    </row>
    <row r="99" spans="1:47" x14ac:dyDescent="0.2">
      <c r="A99" s="40">
        <v>43291.756608796299</v>
      </c>
      <c r="B99" s="50">
        <f t="shared" si="28"/>
        <v>6.9252777778892778</v>
      </c>
      <c r="C99">
        <v>55.66</v>
      </c>
      <c r="D99">
        <v>54.69</v>
      </c>
      <c r="E99" s="32">
        <f t="shared" si="29"/>
        <v>3.9088481112212713E-2</v>
      </c>
      <c r="F99" s="32">
        <f t="shared" si="30"/>
        <v>4.4076075286467883E-2</v>
      </c>
      <c r="G99" s="61"/>
      <c r="H99" s="40">
        <v>43291.757465277777</v>
      </c>
      <c r="I99" s="50">
        <f t="shared" si="31"/>
        <v>6.9458333333604969</v>
      </c>
      <c r="J99">
        <v>130244.67</v>
      </c>
      <c r="K99">
        <v>116210.98</v>
      </c>
      <c r="L99" s="32">
        <f t="shared" si="32"/>
        <v>232.80762671083951</v>
      </c>
      <c r="M99" s="32">
        <f t="shared" si="33"/>
        <v>238.38219104657423</v>
      </c>
      <c r="N99" s="61"/>
      <c r="O99" s="40">
        <v>43291.758321759262</v>
      </c>
      <c r="P99" s="50">
        <f t="shared" si="34"/>
        <v>6.966388889006339</v>
      </c>
      <c r="Q99">
        <v>1534.31</v>
      </c>
      <c r="R99">
        <v>1326.17</v>
      </c>
      <c r="S99" s="32">
        <f t="shared" si="35"/>
        <v>0.87732799850654353</v>
      </c>
      <c r="T99" s="32">
        <f t="shared" si="36"/>
        <v>0.87023685673551154</v>
      </c>
      <c r="U99" s="61"/>
      <c r="V99" s="61"/>
      <c r="W99" s="40">
        <v>43291.764849537038</v>
      </c>
      <c r="X99" s="50">
        <f t="shared" si="37"/>
        <v>7.1230555556248873</v>
      </c>
      <c r="Y99">
        <v>0</v>
      </c>
      <c r="Z99">
        <v>0</v>
      </c>
      <c r="AA99" s="32">
        <f t="shared" si="38"/>
        <v>0</v>
      </c>
      <c r="AB99" s="32">
        <f t="shared" si="39"/>
        <v>0</v>
      </c>
      <c r="AC99" s="61"/>
      <c r="AD99" s="40">
        <v>43291.765706018516</v>
      </c>
      <c r="AE99" s="50">
        <f t="shared" si="40"/>
        <v>7.1436111110961065</v>
      </c>
      <c r="AF99">
        <v>1283.79</v>
      </c>
      <c r="AG99">
        <v>1290.1300000000001</v>
      </c>
      <c r="AH99" s="32">
        <f t="shared" si="41"/>
        <v>1.1395251690716106</v>
      </c>
      <c r="AI99" s="32">
        <f t="shared" si="42"/>
        <v>1.3141738087677739</v>
      </c>
      <c r="AJ99" s="61"/>
      <c r="AK99" s="40">
        <v>43291.766562500001</v>
      </c>
      <c r="AL99" s="50">
        <f t="shared" si="43"/>
        <v>7.1641666667419486</v>
      </c>
      <c r="AM99">
        <v>583.91</v>
      </c>
      <c r="AN99">
        <v>618.41</v>
      </c>
      <c r="AO99" s="32">
        <f t="shared" si="44"/>
        <v>0.51829360056754148</v>
      </c>
      <c r="AP99" s="32">
        <f t="shared" si="45"/>
        <v>0.62993514225704306</v>
      </c>
      <c r="AQ99" s="61"/>
      <c r="AR99" s="61"/>
      <c r="AS99" s="61"/>
      <c r="AT99" s="61"/>
      <c r="AU99" s="61"/>
    </row>
    <row r="100" spans="1:47" x14ac:dyDescent="0.2">
      <c r="A100" s="40">
        <v>43291.773101851853</v>
      </c>
      <c r="B100" s="50">
        <f t="shared" si="28"/>
        <v>7.3211111112032086</v>
      </c>
      <c r="C100">
        <v>51.15</v>
      </c>
      <c r="D100">
        <v>58.95</v>
      </c>
      <c r="E100" s="32">
        <f t="shared" si="29"/>
        <v>3.5921232642646066E-2</v>
      </c>
      <c r="F100" s="32">
        <f t="shared" si="30"/>
        <v>4.7509318671371037E-2</v>
      </c>
      <c r="G100" s="61"/>
      <c r="H100" s="40">
        <v>43291.773958333331</v>
      </c>
      <c r="I100" s="50">
        <f t="shared" si="31"/>
        <v>7.3416666666744277</v>
      </c>
      <c r="J100">
        <v>129790.05</v>
      </c>
      <c r="K100">
        <v>115541.35</v>
      </c>
      <c r="L100" s="32">
        <f t="shared" si="32"/>
        <v>231.99500993922589</v>
      </c>
      <c r="M100" s="32">
        <f t="shared" si="33"/>
        <v>237.00858704985626</v>
      </c>
      <c r="N100" s="61"/>
      <c r="O100" s="40">
        <v>43291.774814814817</v>
      </c>
      <c r="P100" s="50">
        <f t="shared" si="34"/>
        <v>7.3622222223202698</v>
      </c>
      <c r="Q100">
        <v>1448.12</v>
      </c>
      <c r="R100">
        <v>1352.24</v>
      </c>
      <c r="S100" s="32">
        <f t="shared" si="35"/>
        <v>0.82804402056774429</v>
      </c>
      <c r="T100" s="32">
        <f t="shared" si="36"/>
        <v>0.88734407138755067</v>
      </c>
      <c r="U100" s="61"/>
      <c r="V100" s="61"/>
      <c r="W100" s="40">
        <v>43291.781365740739</v>
      </c>
      <c r="X100" s="50">
        <f t="shared" si="37"/>
        <v>7.5194444444496185</v>
      </c>
      <c r="Y100">
        <v>0</v>
      </c>
      <c r="Z100">
        <v>0</v>
      </c>
      <c r="AA100" s="32">
        <f t="shared" si="38"/>
        <v>0</v>
      </c>
      <c r="AB100" s="32">
        <f t="shared" si="39"/>
        <v>0</v>
      </c>
      <c r="AC100" s="61"/>
      <c r="AD100" s="40">
        <v>43291.782222222224</v>
      </c>
      <c r="AE100" s="50">
        <f t="shared" si="40"/>
        <v>7.5400000000954606</v>
      </c>
      <c r="AF100">
        <v>1232.74</v>
      </c>
      <c r="AG100">
        <v>1359.43</v>
      </c>
      <c r="AH100" s="32">
        <f t="shared" si="41"/>
        <v>1.0942118702601962</v>
      </c>
      <c r="AI100" s="32">
        <f t="shared" si="42"/>
        <v>1.3847653343873678</v>
      </c>
      <c r="AJ100" s="61"/>
      <c r="AK100" s="40">
        <v>43291.783078703702</v>
      </c>
      <c r="AL100" s="50">
        <f t="shared" si="43"/>
        <v>7.5605555555666797</v>
      </c>
      <c r="AM100">
        <v>528.21</v>
      </c>
      <c r="AN100">
        <v>612.33000000000004</v>
      </c>
      <c r="AO100" s="32">
        <f t="shared" si="44"/>
        <v>0.46885284162932839</v>
      </c>
      <c r="AP100" s="32">
        <f t="shared" si="45"/>
        <v>0.62374183091841207</v>
      </c>
      <c r="AQ100" s="61"/>
      <c r="AR100" s="61"/>
      <c r="AS100" s="61"/>
      <c r="AT100" s="61"/>
      <c r="AU100" s="61"/>
    </row>
    <row r="101" spans="1:47" x14ac:dyDescent="0.2">
      <c r="A101" s="40">
        <v>43291.789629629631</v>
      </c>
      <c r="B101" s="50">
        <f t="shared" si="28"/>
        <v>7.7177777778706513</v>
      </c>
      <c r="C101">
        <v>57.15</v>
      </c>
      <c r="D101">
        <v>44.22</v>
      </c>
      <c r="E101" s="32">
        <f t="shared" si="29"/>
        <v>4.0134866970229187E-2</v>
      </c>
      <c r="F101" s="32">
        <f t="shared" si="30"/>
        <v>3.5638033446107331E-2</v>
      </c>
      <c r="G101" s="61"/>
      <c r="H101" s="40">
        <v>43291.790486111109</v>
      </c>
      <c r="I101" s="50">
        <f t="shared" si="31"/>
        <v>7.7383333333418705</v>
      </c>
      <c r="J101">
        <v>130347.84</v>
      </c>
      <c r="K101">
        <v>115326.16</v>
      </c>
      <c r="L101" s="32">
        <f t="shared" si="32"/>
        <v>232.99203934628753</v>
      </c>
      <c r="M101" s="32">
        <f t="shared" si="33"/>
        <v>236.56717038086924</v>
      </c>
      <c r="N101" s="61"/>
      <c r="O101" s="40">
        <v>43291.791331018518</v>
      </c>
      <c r="P101" s="50">
        <f t="shared" si="34"/>
        <v>7.7586111111450009</v>
      </c>
      <c r="Q101">
        <v>1401.61</v>
      </c>
      <c r="R101">
        <v>1308.33</v>
      </c>
      <c r="S101" s="32">
        <f t="shared" si="35"/>
        <v>0.80144931336350311</v>
      </c>
      <c r="T101" s="32">
        <f t="shared" si="36"/>
        <v>0.85853019354439608</v>
      </c>
      <c r="U101" s="61"/>
      <c r="V101" s="61"/>
      <c r="W101" s="40">
        <v>43291.79787037037</v>
      </c>
      <c r="X101" s="50">
        <f t="shared" si="37"/>
        <v>7.9155555556062609</v>
      </c>
      <c r="Y101">
        <v>0</v>
      </c>
      <c r="Z101">
        <v>0.56999999999999995</v>
      </c>
      <c r="AA101" s="32">
        <f t="shared" si="38"/>
        <v>0</v>
      </c>
      <c r="AB101" s="32">
        <f t="shared" si="39"/>
        <v>5.8062293799665998E-4</v>
      </c>
      <c r="AC101" s="61"/>
      <c r="AD101" s="40">
        <v>43291.798726851855</v>
      </c>
      <c r="AE101" s="50">
        <f t="shared" si="40"/>
        <v>7.936111111252103</v>
      </c>
      <c r="AF101">
        <v>1253.3800000000001</v>
      </c>
      <c r="AG101">
        <v>1278.53</v>
      </c>
      <c r="AH101" s="32">
        <f t="shared" si="41"/>
        <v>1.1125324674681805</v>
      </c>
      <c r="AI101" s="32">
        <f t="shared" si="42"/>
        <v>1.3023576226611751</v>
      </c>
      <c r="AJ101" s="61"/>
      <c r="AK101" s="40">
        <v>43291.799583333333</v>
      </c>
      <c r="AL101" s="50">
        <f t="shared" si="43"/>
        <v>7.9566666667233221</v>
      </c>
      <c r="AM101">
        <v>555.71</v>
      </c>
      <c r="AN101">
        <v>653.95000000000005</v>
      </c>
      <c r="AO101" s="32">
        <f t="shared" si="44"/>
        <v>0.49326255205663294</v>
      </c>
      <c r="AP101" s="32">
        <f t="shared" si="45"/>
        <v>0.66613749175950154</v>
      </c>
      <c r="AQ101" s="61"/>
      <c r="AR101" s="61"/>
      <c r="AS101" s="61"/>
      <c r="AT101" s="61"/>
      <c r="AU101" s="61"/>
    </row>
    <row r="102" spans="1:47" x14ac:dyDescent="0.2">
      <c r="A102" s="40">
        <v>43291.806215277778</v>
      </c>
      <c r="B102" s="50">
        <f t="shared" si="28"/>
        <v>8.1158333334024064</v>
      </c>
      <c r="C102">
        <v>53.65</v>
      </c>
      <c r="D102">
        <v>58.09</v>
      </c>
      <c r="E102" s="32">
        <f t="shared" si="29"/>
        <v>3.7676913612472371E-2</v>
      </c>
      <c r="F102" s="32">
        <f t="shared" si="30"/>
        <v>4.681622258897275E-2</v>
      </c>
      <c r="G102" s="61"/>
      <c r="H102" s="40">
        <v>43291.807071759256</v>
      </c>
      <c r="I102" s="50">
        <f t="shared" si="31"/>
        <v>8.1363888888736255</v>
      </c>
      <c r="J102">
        <v>129816.48</v>
      </c>
      <c r="K102">
        <v>115744.39</v>
      </c>
      <c r="L102" s="32">
        <f t="shared" si="32"/>
        <v>232.04225260623076</v>
      </c>
      <c r="M102" s="32">
        <f t="shared" si="33"/>
        <v>237.42508056940224</v>
      </c>
      <c r="N102" s="61"/>
      <c r="O102" s="40">
        <v>43291.807928240742</v>
      </c>
      <c r="P102" s="50">
        <f t="shared" si="34"/>
        <v>8.1569444445194677</v>
      </c>
      <c r="Q102">
        <v>1466.74</v>
      </c>
      <c r="R102">
        <v>1393.14</v>
      </c>
      <c r="S102" s="32">
        <f t="shared" si="35"/>
        <v>0.8386910523489306</v>
      </c>
      <c r="T102" s="32">
        <f t="shared" si="36"/>
        <v>0.91418277791875135</v>
      </c>
      <c r="U102" s="61"/>
      <c r="V102" s="61"/>
      <c r="W102" s="40">
        <v>43291.814317129632</v>
      </c>
      <c r="X102" s="50">
        <f t="shared" si="37"/>
        <v>8.310277777898591</v>
      </c>
      <c r="Y102">
        <v>0</v>
      </c>
      <c r="Z102">
        <v>0</v>
      </c>
      <c r="AA102" s="32">
        <f t="shared" si="38"/>
        <v>0</v>
      </c>
      <c r="AB102" s="32">
        <f t="shared" si="39"/>
        <v>0</v>
      </c>
      <c r="AC102" s="61"/>
      <c r="AD102" s="40">
        <v>43291.81517361111</v>
      </c>
      <c r="AE102" s="50">
        <f t="shared" si="40"/>
        <v>8.3308333333698101</v>
      </c>
      <c r="AF102">
        <v>1280.46</v>
      </c>
      <c r="AG102">
        <v>1399.51</v>
      </c>
      <c r="AH102" s="32">
        <f t="shared" si="41"/>
        <v>1.1365693750453225</v>
      </c>
      <c r="AI102" s="32">
        <f t="shared" si="42"/>
        <v>1.4255922946591328</v>
      </c>
      <c r="AJ102" s="61"/>
      <c r="AK102" s="40">
        <v>43291.816030092596</v>
      </c>
      <c r="AL102" s="50">
        <f t="shared" si="43"/>
        <v>8.3513888890156522</v>
      </c>
      <c r="AM102">
        <v>570.22</v>
      </c>
      <c r="AN102">
        <v>619.24</v>
      </c>
      <c r="AO102" s="32">
        <f t="shared" si="44"/>
        <v>0.50614200290391254</v>
      </c>
      <c r="AP102" s="32">
        <f t="shared" si="45"/>
        <v>0.63078061074570491</v>
      </c>
      <c r="AQ102" s="61"/>
      <c r="AR102" s="61"/>
      <c r="AS102" s="61"/>
      <c r="AT102" s="61"/>
      <c r="AU102" s="61"/>
    </row>
    <row r="103" spans="1:47" x14ac:dyDescent="0.2">
      <c r="A103" s="40">
        <v>43291.822569444441</v>
      </c>
      <c r="B103" s="50">
        <f t="shared" si="28"/>
        <v>8.5083333333022892</v>
      </c>
      <c r="C103">
        <v>54.13</v>
      </c>
      <c r="D103">
        <v>65.53</v>
      </c>
      <c r="E103" s="32">
        <f t="shared" si="29"/>
        <v>3.8014004358679021E-2</v>
      </c>
      <c r="F103" s="32">
        <f t="shared" si="30"/>
        <v>5.2812309627395145E-2</v>
      </c>
      <c r="G103" s="61"/>
      <c r="H103" s="40">
        <v>43291.823425925926</v>
      </c>
      <c r="I103" s="50">
        <f t="shared" si="31"/>
        <v>8.5288888889481314</v>
      </c>
      <c r="J103">
        <v>129197.68</v>
      </c>
      <c r="K103">
        <v>114760.47</v>
      </c>
      <c r="L103" s="32">
        <f t="shared" si="32"/>
        <v>230.93617003556844</v>
      </c>
      <c r="M103" s="32">
        <f t="shared" si="33"/>
        <v>235.40677726093227</v>
      </c>
      <c r="N103" s="61"/>
      <c r="O103" s="40">
        <v>43291.824282407404</v>
      </c>
      <c r="P103" s="50">
        <f t="shared" si="34"/>
        <v>8.5494444444193505</v>
      </c>
      <c r="Q103">
        <v>1425.26</v>
      </c>
      <c r="R103">
        <v>1332.56</v>
      </c>
      <c r="S103" s="32">
        <f t="shared" si="35"/>
        <v>0.81497253042177675</v>
      </c>
      <c r="T103" s="32">
        <f t="shared" si="36"/>
        <v>0.87442999450407799</v>
      </c>
      <c r="U103" s="61"/>
      <c r="V103" s="61"/>
      <c r="W103" s="40">
        <v>43291.830821759257</v>
      </c>
      <c r="X103" s="50">
        <f t="shared" si="37"/>
        <v>8.7063888888806105</v>
      </c>
      <c r="Y103">
        <v>0</v>
      </c>
      <c r="Z103">
        <v>0</v>
      </c>
      <c r="AA103" s="32">
        <f t="shared" si="38"/>
        <v>0</v>
      </c>
      <c r="AB103" s="32">
        <f t="shared" si="39"/>
        <v>0</v>
      </c>
      <c r="AC103" s="61"/>
      <c r="AD103" s="40">
        <v>43291.831678240742</v>
      </c>
      <c r="AE103" s="50">
        <f t="shared" si="40"/>
        <v>8.7269444445264526</v>
      </c>
      <c r="AF103">
        <v>1206.23</v>
      </c>
      <c r="AG103">
        <v>1288.8599999999999</v>
      </c>
      <c r="AH103" s="32">
        <f t="shared" si="41"/>
        <v>1.0706809094082748</v>
      </c>
      <c r="AI103" s="32">
        <f t="shared" si="42"/>
        <v>1.3128801401164478</v>
      </c>
      <c r="AJ103" s="61"/>
      <c r="AK103" s="40">
        <v>43291.83252314815</v>
      </c>
      <c r="AL103" s="50">
        <f t="shared" si="43"/>
        <v>8.747222222329583</v>
      </c>
      <c r="AM103">
        <v>556.44000000000005</v>
      </c>
      <c r="AN103">
        <v>605.70000000000005</v>
      </c>
      <c r="AO103" s="32">
        <f t="shared" si="44"/>
        <v>0.49391051891524868</v>
      </c>
      <c r="AP103" s="32">
        <f t="shared" si="45"/>
        <v>0.6169882693764509</v>
      </c>
      <c r="AQ103" s="61"/>
      <c r="AR103" s="61"/>
      <c r="AS103" s="61"/>
      <c r="AT103" s="61"/>
      <c r="AU103" s="61"/>
    </row>
    <row r="104" spans="1:47" x14ac:dyDescent="0.2">
      <c r="A104" s="40">
        <v>43291.839074074072</v>
      </c>
      <c r="B104" s="50">
        <f t="shared" si="28"/>
        <v>8.9044444444589317</v>
      </c>
      <c r="C104">
        <v>48.15</v>
      </c>
      <c r="D104">
        <v>34.619999999999997</v>
      </c>
      <c r="E104" s="32">
        <f t="shared" si="29"/>
        <v>3.3814415478854512E-2</v>
      </c>
      <c r="F104" s="32">
        <f t="shared" si="30"/>
        <v>2.7901146944917139E-2</v>
      </c>
      <c r="G104" s="61"/>
      <c r="H104" s="40">
        <v>43291.839918981481</v>
      </c>
      <c r="I104" s="50">
        <f t="shared" si="31"/>
        <v>8.9247222222620621</v>
      </c>
      <c r="J104">
        <v>129446.17</v>
      </c>
      <c r="K104">
        <v>115218</v>
      </c>
      <c r="L104" s="32">
        <f t="shared" si="32"/>
        <v>231.38033690367425</v>
      </c>
      <c r="M104" s="32">
        <f t="shared" si="33"/>
        <v>236.34530306864454</v>
      </c>
      <c r="N104" s="61"/>
      <c r="O104" s="40">
        <v>43291.840775462966</v>
      </c>
      <c r="P104" s="50">
        <f t="shared" si="34"/>
        <v>8.9452777779079042</v>
      </c>
      <c r="Q104">
        <v>1474.19</v>
      </c>
      <c r="R104">
        <v>1304.77</v>
      </c>
      <c r="S104" s="32">
        <f t="shared" si="35"/>
        <v>0.84295100867384132</v>
      </c>
      <c r="T104" s="32">
        <f t="shared" si="36"/>
        <v>0.85619411053092243</v>
      </c>
      <c r="U104" s="61"/>
      <c r="V104" s="61"/>
      <c r="W104" s="40">
        <v>43291.847326388888</v>
      </c>
      <c r="X104" s="50">
        <f t="shared" si="37"/>
        <v>9.1025000000372529</v>
      </c>
      <c r="Y104">
        <v>0</v>
      </c>
      <c r="Z104">
        <v>0</v>
      </c>
      <c r="AA104" s="32">
        <f t="shared" si="38"/>
        <v>0</v>
      </c>
      <c r="AB104" s="32">
        <f t="shared" si="39"/>
        <v>0</v>
      </c>
      <c r="AC104" s="61"/>
      <c r="AD104" s="40">
        <v>43291.848182870373</v>
      </c>
      <c r="AE104" s="50">
        <f t="shared" si="40"/>
        <v>9.123055555683095</v>
      </c>
      <c r="AF104">
        <v>1211.19</v>
      </c>
      <c r="AG104">
        <v>1289.81</v>
      </c>
      <c r="AH104" s="32">
        <f t="shared" si="41"/>
        <v>1.0750835335435267</v>
      </c>
      <c r="AI104" s="32">
        <f t="shared" si="42"/>
        <v>1.3138478450131088</v>
      </c>
      <c r="AJ104" s="61"/>
      <c r="AK104" s="40">
        <v>43291.849027777775</v>
      </c>
      <c r="AL104" s="50">
        <f t="shared" si="43"/>
        <v>9.1433333333116025</v>
      </c>
      <c r="AM104">
        <v>594.24</v>
      </c>
      <c r="AN104">
        <v>581.79999999999995</v>
      </c>
      <c r="AO104" s="32">
        <f t="shared" si="44"/>
        <v>0.52746277542987086</v>
      </c>
      <c r="AP104" s="32">
        <f t="shared" si="45"/>
        <v>0.59264285144992424</v>
      </c>
      <c r="AQ104" s="61"/>
      <c r="AR104" s="61"/>
      <c r="AS104" s="61"/>
      <c r="AT104" s="61"/>
      <c r="AU104" s="61"/>
    </row>
    <row r="105" spans="1:47" x14ac:dyDescent="0.2">
      <c r="A105" s="40">
        <v>43291.855578703704</v>
      </c>
      <c r="B105" s="50">
        <f t="shared" si="28"/>
        <v>9.3005555556155741</v>
      </c>
      <c r="C105">
        <v>62.66</v>
      </c>
      <c r="D105">
        <v>57.02</v>
      </c>
      <c r="E105" s="32">
        <f t="shared" si="29"/>
        <v>4.4004387827726345E-2</v>
      </c>
      <c r="F105" s="32">
        <f t="shared" si="30"/>
        <v>4.5953882114360925E-2</v>
      </c>
      <c r="G105" s="61"/>
      <c r="H105" s="40">
        <v>43291.856423611112</v>
      </c>
      <c r="I105" s="50">
        <f t="shared" si="31"/>
        <v>9.3208333334187046</v>
      </c>
      <c r="J105">
        <v>129318.15</v>
      </c>
      <c r="K105">
        <v>114887.81</v>
      </c>
      <c r="L105" s="32">
        <f t="shared" si="32"/>
        <v>231.15150579395188</v>
      </c>
      <c r="M105" s="32">
        <f t="shared" si="33"/>
        <v>235.66798827737722</v>
      </c>
      <c r="N105" s="61"/>
      <c r="O105" s="40">
        <v>43291.85728009259</v>
      </c>
      <c r="P105" s="50">
        <f t="shared" si="34"/>
        <v>9.3413888888899237</v>
      </c>
      <c r="Q105">
        <v>1434.7</v>
      </c>
      <c r="R105">
        <v>1274.42</v>
      </c>
      <c r="S105" s="32">
        <f t="shared" si="35"/>
        <v>0.82037038112072402</v>
      </c>
      <c r="T105" s="32">
        <f t="shared" si="36"/>
        <v>0.83627834663796541</v>
      </c>
      <c r="U105" s="61"/>
      <c r="V105" s="61"/>
      <c r="W105" s="40">
        <v>43291.863819444443</v>
      </c>
      <c r="X105" s="50">
        <f t="shared" si="37"/>
        <v>9.4983333333511837</v>
      </c>
      <c r="Y105">
        <v>0</v>
      </c>
      <c r="Z105">
        <v>0</v>
      </c>
      <c r="AA105" s="32">
        <f t="shared" si="38"/>
        <v>0</v>
      </c>
      <c r="AB105" s="32">
        <f t="shared" si="39"/>
        <v>0</v>
      </c>
      <c r="AC105" s="61"/>
      <c r="AD105" s="40">
        <v>43291.864675925928</v>
      </c>
      <c r="AE105" s="50">
        <f t="shared" si="40"/>
        <v>9.5188888889970258</v>
      </c>
      <c r="AF105">
        <v>1300.82</v>
      </c>
      <c r="AG105">
        <v>1337.95</v>
      </c>
      <c r="AH105" s="32">
        <f t="shared" si="41"/>
        <v>1.154641437019865</v>
      </c>
      <c r="AI105" s="32">
        <f t="shared" si="42"/>
        <v>1.3628850173554936</v>
      </c>
      <c r="AJ105" s="61"/>
      <c r="AK105" s="40">
        <v>43291.865520833337</v>
      </c>
      <c r="AL105" s="50">
        <f t="shared" si="43"/>
        <v>9.5391666668001562</v>
      </c>
      <c r="AM105">
        <v>570.91</v>
      </c>
      <c r="AN105">
        <v>664.99</v>
      </c>
      <c r="AO105" s="32">
        <f t="shared" si="44"/>
        <v>0.50675446472917929</v>
      </c>
      <c r="AP105" s="32">
        <f t="shared" si="45"/>
        <v>0.67738324129543681</v>
      </c>
      <c r="AQ105" s="61"/>
      <c r="AR105" s="61"/>
      <c r="AS105" s="61"/>
      <c r="AT105" s="61"/>
      <c r="AU105" s="61"/>
    </row>
    <row r="106" spans="1:47" x14ac:dyDescent="0.2">
      <c r="A106" s="40">
        <v>43291.872071759259</v>
      </c>
      <c r="B106" s="50">
        <f t="shared" si="28"/>
        <v>9.6963888889295049</v>
      </c>
      <c r="C106">
        <v>60.15</v>
      </c>
      <c r="D106">
        <v>44.22</v>
      </c>
      <c r="E106" s="32">
        <f t="shared" si="29"/>
        <v>4.2241684134020747E-2</v>
      </c>
      <c r="F106" s="32">
        <f t="shared" si="30"/>
        <v>3.5638033446107331E-2</v>
      </c>
      <c r="H106" s="40">
        <v>43291.872916666667</v>
      </c>
      <c r="I106" s="50">
        <f t="shared" si="31"/>
        <v>9.7166666667326353</v>
      </c>
      <c r="J106">
        <v>128264.49</v>
      </c>
      <c r="K106">
        <v>115196.54</v>
      </c>
      <c r="L106" s="32">
        <f t="shared" si="32"/>
        <v>229.26812673544501</v>
      </c>
      <c r="M106" s="32">
        <f t="shared" si="33"/>
        <v>236.30128242773904</v>
      </c>
      <c r="O106" s="40">
        <v>43291.873773148145</v>
      </c>
      <c r="P106" s="50">
        <f t="shared" si="34"/>
        <v>9.7372222222038545</v>
      </c>
      <c r="Q106">
        <v>1445.11</v>
      </c>
      <c r="R106">
        <v>1267.98</v>
      </c>
      <c r="S106" s="32">
        <f t="shared" si="35"/>
        <v>0.82632288385123676</v>
      </c>
      <c r="T106" s="32">
        <f t="shared" si="36"/>
        <v>0.83205239871471515</v>
      </c>
      <c r="W106" s="40">
        <v>43291.880312499998</v>
      </c>
      <c r="X106" s="50">
        <f t="shared" si="37"/>
        <v>9.8941666666651145</v>
      </c>
      <c r="Y106">
        <v>0</v>
      </c>
      <c r="Z106">
        <v>2.63</v>
      </c>
      <c r="AA106" s="32">
        <f t="shared" si="38"/>
        <v>0</v>
      </c>
      <c r="AB106" s="32">
        <f t="shared" si="39"/>
        <v>2.6790146086512561E-3</v>
      </c>
      <c r="AD106" s="40">
        <v>43291.881157407406</v>
      </c>
      <c r="AE106" s="50">
        <f t="shared" si="40"/>
        <v>9.9144444444682449</v>
      </c>
      <c r="AF106">
        <v>1269.78</v>
      </c>
      <c r="AG106">
        <v>1284.8699999999999</v>
      </c>
      <c r="AH106" s="32">
        <f t="shared" si="41"/>
        <v>1.1270895311411913</v>
      </c>
      <c r="AI106" s="32">
        <f t="shared" si="42"/>
        <v>1.3088157795504711</v>
      </c>
      <c r="AK106" s="40">
        <v>43291.882013888891</v>
      </c>
      <c r="AL106" s="50">
        <f t="shared" si="43"/>
        <v>9.935000000114087</v>
      </c>
      <c r="AM106">
        <v>547.4</v>
      </c>
      <c r="AN106">
        <v>615.99</v>
      </c>
      <c r="AO106" s="32">
        <f t="shared" si="44"/>
        <v>0.48588638137841833</v>
      </c>
      <c r="AP106" s="32">
        <f t="shared" si="45"/>
        <v>0.6274700413623906</v>
      </c>
    </row>
    <row r="107" spans="1:47" x14ac:dyDescent="0.2">
      <c r="A107" s="40">
        <v>43291.888564814813</v>
      </c>
      <c r="B107" s="50">
        <f t="shared" si="28"/>
        <v>10.092222222243436</v>
      </c>
      <c r="C107">
        <v>42.15</v>
      </c>
      <c r="D107">
        <v>47.42</v>
      </c>
      <c r="E107" s="32">
        <f t="shared" si="29"/>
        <v>2.9600781151271394E-2</v>
      </c>
      <c r="F107" s="32">
        <f t="shared" si="30"/>
        <v>3.8216995613170733E-2</v>
      </c>
      <c r="H107" s="40">
        <v>43291.889409722222</v>
      </c>
      <c r="I107" s="50">
        <f t="shared" si="31"/>
        <v>10.112500000046566</v>
      </c>
      <c r="J107">
        <v>129179.42</v>
      </c>
      <c r="K107">
        <v>115154.33</v>
      </c>
      <c r="L107" s="32">
        <f t="shared" si="32"/>
        <v>230.9035309474296</v>
      </c>
      <c r="M107" s="32">
        <f t="shared" si="33"/>
        <v>236.21469756042205</v>
      </c>
      <c r="O107" s="40">
        <v>43291.890266203707</v>
      </c>
      <c r="P107" s="50">
        <f t="shared" si="34"/>
        <v>10.133055555692408</v>
      </c>
      <c r="Q107">
        <v>1459.67</v>
      </c>
      <c r="R107">
        <v>1260.9100000000001</v>
      </c>
      <c r="S107" s="32">
        <f t="shared" si="35"/>
        <v>0.8346483823869012</v>
      </c>
      <c r="T107" s="32">
        <f t="shared" si="36"/>
        <v>0.82741304284245143</v>
      </c>
      <c r="W107" s="40">
        <v>43291.896805555552</v>
      </c>
      <c r="X107" s="50">
        <f t="shared" si="37"/>
        <v>10.289999999979045</v>
      </c>
      <c r="Y107">
        <v>0</v>
      </c>
      <c r="Z107">
        <v>6.95</v>
      </c>
      <c r="AA107" s="32">
        <f t="shared" si="38"/>
        <v>0</v>
      </c>
      <c r="AB107" s="32">
        <f t="shared" si="39"/>
        <v>7.0795252966259431E-3</v>
      </c>
      <c r="AD107" s="40">
        <v>43291.897662037038</v>
      </c>
      <c r="AE107" s="50">
        <f t="shared" si="40"/>
        <v>10.310555555624887</v>
      </c>
      <c r="AF107">
        <v>1246.24</v>
      </c>
      <c r="AG107">
        <v>1292.3599999999999</v>
      </c>
      <c r="AH107" s="32">
        <f t="shared" si="41"/>
        <v>1.1061948190154185</v>
      </c>
      <c r="AI107" s="32">
        <f t="shared" si="42"/>
        <v>1.3164453686830939</v>
      </c>
      <c r="AK107" s="40">
        <v>43291.898506944446</v>
      </c>
      <c r="AL107" s="50">
        <f t="shared" si="43"/>
        <v>10.330833333428018</v>
      </c>
      <c r="AM107">
        <v>555.91</v>
      </c>
      <c r="AN107">
        <v>603</v>
      </c>
      <c r="AO107" s="32">
        <f t="shared" si="44"/>
        <v>0.49344007722337691</v>
      </c>
      <c r="AP107" s="32">
        <f t="shared" si="45"/>
        <v>0.61423795019646665</v>
      </c>
    </row>
    <row r="108" spans="1:47" x14ac:dyDescent="0.2">
      <c r="A108" s="40">
        <v>43291.905069444445</v>
      </c>
      <c r="B108" s="50">
        <f t="shared" si="28"/>
        <v>10.488333333400078</v>
      </c>
      <c r="C108">
        <v>43.66</v>
      </c>
      <c r="D108">
        <v>45.28</v>
      </c>
      <c r="E108" s="32">
        <f t="shared" si="29"/>
        <v>3.0661212457046477E-2</v>
      </c>
      <c r="F108" s="32">
        <f t="shared" si="30"/>
        <v>3.6492314663947083E-2</v>
      </c>
      <c r="H108" s="40">
        <v>43291.905914351853</v>
      </c>
      <c r="I108" s="50">
        <f t="shared" si="31"/>
        <v>10.508611111203209</v>
      </c>
      <c r="J108">
        <v>128439.33</v>
      </c>
      <c r="K108">
        <v>114685.99</v>
      </c>
      <c r="L108" s="32">
        <f t="shared" ref="L108:L137" si="46">(J108/$B$5)/$J$80</f>
        <v>229.58064689810595</v>
      </c>
      <c r="M108" s="32">
        <f t="shared" ref="M108:M137" si="47">(K108/$C$5)/$J$80</f>
        <v>235.25399732921537</v>
      </c>
      <c r="O108" s="40">
        <v>43291.906770833331</v>
      </c>
      <c r="P108" s="50">
        <f t="shared" si="34"/>
        <v>10.529166666674428</v>
      </c>
      <c r="Q108">
        <v>1421.18</v>
      </c>
      <c r="R108">
        <v>1358.03</v>
      </c>
      <c r="S108" s="32">
        <f t="shared" si="35"/>
        <v>0.81263956105189283</v>
      </c>
      <c r="T108" s="32">
        <f t="shared" si="36"/>
        <v>0.89114348729991377</v>
      </c>
      <c r="W108" s="40">
        <v>43291.913310185184</v>
      </c>
      <c r="X108" s="50">
        <f t="shared" si="37"/>
        <v>10.686111111135688</v>
      </c>
      <c r="Y108">
        <v>0</v>
      </c>
      <c r="Z108">
        <v>0.56999999999999995</v>
      </c>
      <c r="AA108" s="32">
        <f t="shared" si="38"/>
        <v>0</v>
      </c>
      <c r="AB108" s="32">
        <f t="shared" si="39"/>
        <v>5.8062293799665998E-4</v>
      </c>
      <c r="AD108" s="40">
        <v>43291.914166666669</v>
      </c>
      <c r="AE108" s="50">
        <f t="shared" si="40"/>
        <v>10.70666666678153</v>
      </c>
      <c r="AF108">
        <v>1254.23</v>
      </c>
      <c r="AG108">
        <v>1309.27</v>
      </c>
      <c r="AH108" s="32">
        <f t="shared" si="41"/>
        <v>1.1132869494268427</v>
      </c>
      <c r="AI108" s="32">
        <f t="shared" si="42"/>
        <v>1.3336705158436615</v>
      </c>
      <c r="AK108" s="40">
        <v>43291.915011574078</v>
      </c>
      <c r="AL108" s="50">
        <f t="shared" si="43"/>
        <v>10.72694444458466</v>
      </c>
      <c r="AM108">
        <v>522.92999999999995</v>
      </c>
      <c r="AN108">
        <v>599.86</v>
      </c>
      <c r="AO108" s="32">
        <f t="shared" si="44"/>
        <v>0.46416617722728581</v>
      </c>
      <c r="AP108" s="32">
        <f t="shared" si="45"/>
        <v>0.6110394308538184</v>
      </c>
    </row>
    <row r="109" spans="1:47" x14ac:dyDescent="0.2">
      <c r="A109" s="40">
        <v>43291.9215625</v>
      </c>
      <c r="B109" s="50">
        <f t="shared" si="28"/>
        <v>10.884166666714009</v>
      </c>
      <c r="C109">
        <v>48.68</v>
      </c>
      <c r="D109">
        <v>47.42</v>
      </c>
      <c r="E109" s="32">
        <f t="shared" si="29"/>
        <v>3.4186619844457693E-2</v>
      </c>
      <c r="F109" s="32">
        <f t="shared" si="30"/>
        <v>3.8216995613170733E-2</v>
      </c>
      <c r="H109" s="40">
        <v>43291.922418981485</v>
      </c>
      <c r="I109" s="50">
        <f t="shared" si="31"/>
        <v>10.904722222359851</v>
      </c>
      <c r="J109">
        <v>128577.02</v>
      </c>
      <c r="K109">
        <v>114841.35</v>
      </c>
      <c r="L109" s="32">
        <f t="shared" si="46"/>
        <v>229.82676278232461</v>
      </c>
      <c r="M109" s="32">
        <f t="shared" si="47"/>
        <v>235.57268543597601</v>
      </c>
      <c r="O109" s="40">
        <v>43291.923263888886</v>
      </c>
      <c r="P109" s="50">
        <f t="shared" si="34"/>
        <v>10.924999999988358</v>
      </c>
      <c r="Q109">
        <v>1462.29</v>
      </c>
      <c r="R109">
        <v>1275.3699999999999</v>
      </c>
      <c r="S109" s="32">
        <f t="shared" si="35"/>
        <v>0.83614651467834633</v>
      </c>
      <c r="T109" s="32">
        <f t="shared" si="36"/>
        <v>0.83690173957695413</v>
      </c>
      <c r="W109" s="40">
        <v>43291.929814814815</v>
      </c>
      <c r="X109" s="50">
        <f t="shared" si="37"/>
        <v>11.08222222229233</v>
      </c>
      <c r="Y109">
        <v>0</v>
      </c>
      <c r="Z109">
        <v>0</v>
      </c>
      <c r="AA109" s="32">
        <f t="shared" si="38"/>
        <v>0</v>
      </c>
      <c r="AB109" s="32">
        <f t="shared" si="39"/>
        <v>0</v>
      </c>
      <c r="AD109" s="40">
        <v>43291.930671296293</v>
      </c>
      <c r="AE109" s="50">
        <f t="shared" si="40"/>
        <v>11.102777777763549</v>
      </c>
      <c r="AF109">
        <v>1172.3499999999999</v>
      </c>
      <c r="AG109">
        <v>1240.48</v>
      </c>
      <c r="AH109" s="32">
        <f t="shared" si="41"/>
        <v>1.0406081461618353</v>
      </c>
      <c r="AI109" s="32">
        <f t="shared" si="42"/>
        <v>1.2635984949580645</v>
      </c>
      <c r="AK109" s="40">
        <v>43291.931516203702</v>
      </c>
      <c r="AL109" s="50">
        <f t="shared" si="43"/>
        <v>11.12305555556668</v>
      </c>
      <c r="AM109">
        <v>554.72</v>
      </c>
      <c r="AN109">
        <v>569.85</v>
      </c>
      <c r="AO109" s="32">
        <f t="shared" si="44"/>
        <v>0.49238380248124997</v>
      </c>
      <c r="AP109" s="32">
        <f t="shared" si="45"/>
        <v>0.58047014248666096</v>
      </c>
    </row>
    <row r="110" spans="1:47" x14ac:dyDescent="0.2">
      <c r="A110" s="40">
        <v>43291.938055555554</v>
      </c>
      <c r="B110" s="50">
        <f t="shared" si="28"/>
        <v>11.28000000002794</v>
      </c>
      <c r="C110">
        <v>77.14</v>
      </c>
      <c r="D110">
        <v>37.81</v>
      </c>
      <c r="E110" s="32">
        <f t="shared" ref="E110:E137" si="48">(C110/$B$5)/$C$80</f>
        <v>5.4173292004960273E-2</v>
      </c>
      <c r="F110" s="32">
        <f t="shared" ref="F110:F137" si="49">(D110/$C$5)/$C$80</f>
        <v>3.0472049855208464E-2</v>
      </c>
      <c r="H110" s="40">
        <v>43291.93891203704</v>
      </c>
      <c r="I110" s="50">
        <f t="shared" si="31"/>
        <v>11.300555555673782</v>
      </c>
      <c r="J110">
        <v>128546.78</v>
      </c>
      <c r="K110">
        <v>114372.79</v>
      </c>
      <c r="L110" s="32">
        <f t="shared" si="46"/>
        <v>229.77270987841894</v>
      </c>
      <c r="M110" s="32">
        <f t="shared" si="47"/>
        <v>234.61153392140494</v>
      </c>
      <c r="O110" s="40">
        <v>43291.939768518518</v>
      </c>
      <c r="P110" s="50">
        <f t="shared" si="34"/>
        <v>11.321111111145001</v>
      </c>
      <c r="Q110">
        <v>1512.7</v>
      </c>
      <c r="R110">
        <v>1313.66</v>
      </c>
      <c r="S110" s="32">
        <f t="shared" si="35"/>
        <v>0.86497126613321196</v>
      </c>
      <c r="T110" s="32">
        <f t="shared" si="36"/>
        <v>0.86202775603366988</v>
      </c>
      <c r="W110" s="40">
        <v>43291.94630787037</v>
      </c>
      <c r="X110" s="50">
        <f t="shared" si="37"/>
        <v>11.478055555606261</v>
      </c>
      <c r="Y110">
        <v>0</v>
      </c>
      <c r="Z110">
        <v>0</v>
      </c>
      <c r="AA110" s="32">
        <f t="shared" si="38"/>
        <v>0</v>
      </c>
      <c r="AB110" s="32">
        <f t="shared" si="39"/>
        <v>0</v>
      </c>
      <c r="AD110" s="40">
        <v>43291.947152777779</v>
      </c>
      <c r="AE110" s="50">
        <f t="shared" si="40"/>
        <v>11.498333333409391</v>
      </c>
      <c r="AF110">
        <v>1247.67</v>
      </c>
      <c r="AG110">
        <v>1274.1600000000001</v>
      </c>
      <c r="AH110" s="32">
        <f t="shared" si="41"/>
        <v>1.1074641239576382</v>
      </c>
      <c r="AI110" s="32">
        <f t="shared" si="42"/>
        <v>1.2979061801365341</v>
      </c>
      <c r="AK110" s="40">
        <v>43291.948009259257</v>
      </c>
      <c r="AL110" s="50">
        <f t="shared" si="43"/>
        <v>11.51888888888061</v>
      </c>
      <c r="AM110">
        <v>558.87</v>
      </c>
      <c r="AN110">
        <v>644.82000000000005</v>
      </c>
      <c r="AO110" s="32">
        <f t="shared" si="44"/>
        <v>0.49606744969118854</v>
      </c>
      <c r="AP110" s="32">
        <f t="shared" si="45"/>
        <v>0.65683733838422176</v>
      </c>
    </row>
    <row r="111" spans="1:47" x14ac:dyDescent="0.2">
      <c r="A111" s="40">
        <v>43291.954548611109</v>
      </c>
      <c r="B111" s="50">
        <f t="shared" si="28"/>
        <v>11.67583333334187</v>
      </c>
      <c r="C111">
        <v>57.15</v>
      </c>
      <c r="D111">
        <v>50.62</v>
      </c>
      <c r="E111" s="32">
        <f t="shared" si="48"/>
        <v>4.0134866970229187E-2</v>
      </c>
      <c r="F111" s="32">
        <f t="shared" si="49"/>
        <v>4.0795957780234128E-2</v>
      </c>
      <c r="H111" s="40">
        <v>43291.955405092594</v>
      </c>
      <c r="I111" s="50">
        <f t="shared" si="31"/>
        <v>11.696388888987713</v>
      </c>
      <c r="J111">
        <v>128139.03</v>
      </c>
      <c r="K111">
        <v>114782.97</v>
      </c>
      <c r="L111" s="32">
        <f t="shared" si="46"/>
        <v>229.04387153293158</v>
      </c>
      <c r="M111" s="32">
        <f t="shared" si="47"/>
        <v>235.45293124137839</v>
      </c>
      <c r="O111" s="40">
        <v>43291.956261574072</v>
      </c>
      <c r="P111" s="50">
        <f t="shared" si="34"/>
        <v>11.716944444458932</v>
      </c>
      <c r="Q111">
        <v>1483.25</v>
      </c>
      <c r="R111">
        <v>1326.88</v>
      </c>
      <c r="S111" s="32">
        <f t="shared" si="35"/>
        <v>0.84813157300990727</v>
      </c>
      <c r="T111" s="32">
        <f t="shared" si="36"/>
        <v>0.87070276093201893</v>
      </c>
      <c r="W111" s="40">
        <v>43291.962789351855</v>
      </c>
      <c r="X111" s="50">
        <f t="shared" si="37"/>
        <v>11.873611111252103</v>
      </c>
      <c r="Y111">
        <v>0.17</v>
      </c>
      <c r="Z111">
        <v>8.2200000000000006</v>
      </c>
      <c r="AA111" s="32">
        <f t="shared" si="38"/>
        <v>1.5089639173242807E-4</v>
      </c>
      <c r="AB111" s="32">
        <f t="shared" si="39"/>
        <v>8.3731939479518343E-3</v>
      </c>
      <c r="AD111" s="40">
        <v>43291.963645833333</v>
      </c>
      <c r="AE111" s="50">
        <f t="shared" si="40"/>
        <v>11.894166666723322</v>
      </c>
      <c r="AF111">
        <v>1260.42</v>
      </c>
      <c r="AG111">
        <v>1286.02</v>
      </c>
      <c r="AH111" s="32">
        <f t="shared" si="41"/>
        <v>1.1187813533375703</v>
      </c>
      <c r="AI111" s="32">
        <f t="shared" si="42"/>
        <v>1.3099872117937978</v>
      </c>
      <c r="AK111" s="40">
        <v>43291.964502314811</v>
      </c>
      <c r="AL111" s="50">
        <f t="shared" si="43"/>
        <v>11.914722222194541</v>
      </c>
      <c r="AM111">
        <v>607.29999999999995</v>
      </c>
      <c r="AN111">
        <v>676.42</v>
      </c>
      <c r="AO111" s="32">
        <f t="shared" si="44"/>
        <v>0.53905516881825621</v>
      </c>
      <c r="AP111" s="32">
        <f t="shared" si="45"/>
        <v>0.6890262591573697</v>
      </c>
    </row>
    <row r="112" spans="1:47" x14ac:dyDescent="0.2">
      <c r="A112" s="40">
        <v>43291.971041666664</v>
      </c>
      <c r="B112" s="50">
        <f t="shared" si="28"/>
        <v>12.071666666655801</v>
      </c>
      <c r="C112">
        <v>50.15</v>
      </c>
      <c r="D112">
        <v>36.340000000000003</v>
      </c>
      <c r="E112" s="32">
        <f t="shared" si="48"/>
        <v>3.5218960254715555E-2</v>
      </c>
      <c r="F112" s="32">
        <f t="shared" si="49"/>
        <v>2.9287339109713716E-2</v>
      </c>
      <c r="H112" s="40">
        <v>43291.971898148149</v>
      </c>
      <c r="I112" s="50">
        <f t="shared" si="31"/>
        <v>12.092222222301643</v>
      </c>
      <c r="J112">
        <v>127748.08</v>
      </c>
      <c r="K112">
        <v>114407.15</v>
      </c>
      <c r="L112" s="32">
        <f t="shared" si="46"/>
        <v>228.34506257850293</v>
      </c>
      <c r="M112" s="32">
        <f t="shared" si="47"/>
        <v>234.68201617776626</v>
      </c>
      <c r="O112" s="40">
        <v>43291.972754629627</v>
      </c>
      <c r="P112" s="50">
        <f t="shared" si="34"/>
        <v>12.112777777772862</v>
      </c>
      <c r="Q112">
        <v>1497.17</v>
      </c>
      <c r="R112">
        <v>1296.94</v>
      </c>
      <c r="S112" s="32">
        <f t="shared" si="35"/>
        <v>0.85609111556598205</v>
      </c>
      <c r="T112" s="32">
        <f t="shared" si="36"/>
        <v>0.85105604030746762</v>
      </c>
      <c r="W112" s="40">
        <v>43291.97928240741</v>
      </c>
      <c r="X112" s="50">
        <f t="shared" si="37"/>
        <v>12.269444444566034</v>
      </c>
      <c r="Y112">
        <v>0</v>
      </c>
      <c r="Z112">
        <v>1.85</v>
      </c>
      <c r="AA112" s="32">
        <f t="shared" si="38"/>
        <v>0</v>
      </c>
      <c r="AB112" s="32">
        <f t="shared" si="39"/>
        <v>1.8844779566558267E-3</v>
      </c>
      <c r="AD112" s="40">
        <v>43291.980138888888</v>
      </c>
      <c r="AE112" s="50">
        <f t="shared" si="40"/>
        <v>12.290000000037253</v>
      </c>
      <c r="AF112">
        <v>1273.25</v>
      </c>
      <c r="AG112">
        <v>1301.0999999999999</v>
      </c>
      <c r="AH112" s="32">
        <f t="shared" si="41"/>
        <v>1.1301695927841999</v>
      </c>
      <c r="AI112" s="32">
        <f t="shared" si="42"/>
        <v>1.325348253732376</v>
      </c>
      <c r="AK112" s="40">
        <v>43291.980983796297</v>
      </c>
      <c r="AL112" s="50">
        <f t="shared" si="43"/>
        <v>12.310277777840383</v>
      </c>
      <c r="AM112">
        <v>602.25</v>
      </c>
      <c r="AN112">
        <v>630.05999999999995</v>
      </c>
      <c r="AO112" s="32">
        <f t="shared" si="44"/>
        <v>0.5345726583579693</v>
      </c>
      <c r="AP112" s="32">
        <f t="shared" si="45"/>
        <v>0.64180226020030806</v>
      </c>
    </row>
    <row r="113" spans="1:42" x14ac:dyDescent="0.2">
      <c r="A113" s="40">
        <v>43291.987534722219</v>
      </c>
      <c r="B113" s="50">
        <f t="shared" si="28"/>
        <v>12.467499999969732</v>
      </c>
      <c r="C113">
        <v>60.12</v>
      </c>
      <c r="D113">
        <v>39.94</v>
      </c>
      <c r="E113" s="32">
        <f t="shared" si="48"/>
        <v>4.2220615962382829E-2</v>
      </c>
      <c r="F113" s="32">
        <f t="shared" si="49"/>
        <v>3.2188671547660037E-2</v>
      </c>
      <c r="H113" s="40">
        <v>43291.988391203704</v>
      </c>
      <c r="I113" s="50">
        <f t="shared" si="31"/>
        <v>12.488055555615574</v>
      </c>
      <c r="J113">
        <v>127267.45</v>
      </c>
      <c r="K113">
        <v>113848.82</v>
      </c>
      <c r="L113" s="32">
        <f t="shared" si="46"/>
        <v>227.48595387466094</v>
      </c>
      <c r="M113" s="32">
        <f t="shared" si="47"/>
        <v>233.53672053765524</v>
      </c>
      <c r="O113" s="40">
        <v>43291.989236111112</v>
      </c>
      <c r="P113" s="50">
        <f t="shared" si="34"/>
        <v>12.508333333418705</v>
      </c>
      <c r="Q113">
        <v>1524.13</v>
      </c>
      <c r="R113">
        <v>1327.95</v>
      </c>
      <c r="S113" s="32">
        <f t="shared" si="35"/>
        <v>0.87150701120619578</v>
      </c>
      <c r="T113" s="32">
        <f t="shared" si="36"/>
        <v>0.87140489824224832</v>
      </c>
      <c r="W113" s="40">
        <v>43291.995775462965</v>
      </c>
      <c r="X113" s="50">
        <f t="shared" si="37"/>
        <v>12.665277777879965</v>
      </c>
      <c r="Y113">
        <v>0</v>
      </c>
      <c r="Z113">
        <v>0</v>
      </c>
      <c r="AA113" s="32">
        <f t="shared" si="38"/>
        <v>0</v>
      </c>
      <c r="AB113" s="32">
        <f t="shared" si="39"/>
        <v>0</v>
      </c>
      <c r="AD113" s="40">
        <v>43291.996631944443</v>
      </c>
      <c r="AE113" s="50">
        <f t="shared" si="40"/>
        <v>12.685833333351184</v>
      </c>
      <c r="AF113">
        <v>1238.3</v>
      </c>
      <c r="AG113">
        <v>1271.53</v>
      </c>
      <c r="AH113" s="32">
        <f t="shared" si="41"/>
        <v>1.0991470698956805</v>
      </c>
      <c r="AI113" s="32">
        <f t="shared" si="42"/>
        <v>1.2952271655278826</v>
      </c>
      <c r="AK113" s="40">
        <v>43291.997476851851</v>
      </c>
      <c r="AL113" s="50">
        <f t="shared" si="43"/>
        <v>12.706111111154314</v>
      </c>
      <c r="AM113">
        <v>586.22</v>
      </c>
      <c r="AN113">
        <v>645.15</v>
      </c>
      <c r="AO113" s="32">
        <f t="shared" si="44"/>
        <v>0.52034401624343507</v>
      </c>
      <c r="AP113" s="32">
        <f t="shared" si="45"/>
        <v>0.65717348850621971</v>
      </c>
    </row>
    <row r="114" spans="1:42" x14ac:dyDescent="0.2">
      <c r="A114" s="40">
        <v>43292.004027777781</v>
      </c>
      <c r="B114" s="50">
        <f t="shared" si="28"/>
        <v>12.863333333458286</v>
      </c>
      <c r="C114">
        <v>36.67</v>
      </c>
      <c r="D114">
        <v>46.35</v>
      </c>
      <c r="E114" s="32">
        <f t="shared" si="48"/>
        <v>2.5752328465412151E-2</v>
      </c>
      <c r="F114" s="32">
        <f t="shared" si="49"/>
        <v>3.7354655138558908E-2</v>
      </c>
      <c r="H114" s="40">
        <v>43292.004884259259</v>
      </c>
      <c r="I114" s="50">
        <f t="shared" si="31"/>
        <v>12.883888888929505</v>
      </c>
      <c r="J114">
        <v>127584.99</v>
      </c>
      <c r="K114">
        <v>114025.78</v>
      </c>
      <c r="L114" s="32">
        <f t="shared" si="46"/>
        <v>228.05354511494556</v>
      </c>
      <c r="M114" s="32">
        <f t="shared" si="47"/>
        <v>233.89971646564416</v>
      </c>
      <c r="O114" s="40">
        <v>43292.005729166667</v>
      </c>
      <c r="P114" s="50">
        <f t="shared" si="34"/>
        <v>12.904166666732635</v>
      </c>
      <c r="Q114">
        <v>1486.11</v>
      </c>
      <c r="R114">
        <v>1219.07</v>
      </c>
      <c r="S114" s="32">
        <f t="shared" si="35"/>
        <v>0.84976693879369836</v>
      </c>
      <c r="T114" s="32">
        <f t="shared" si="36"/>
        <v>0.79995750540319854</v>
      </c>
      <c r="W114" s="40">
        <v>43292.01226851852</v>
      </c>
      <c r="X114" s="50">
        <f t="shared" si="37"/>
        <v>13.061111111193895</v>
      </c>
      <c r="Y114">
        <v>0</v>
      </c>
      <c r="Z114">
        <v>1.85</v>
      </c>
      <c r="AA114" s="32">
        <f t="shared" si="38"/>
        <v>0</v>
      </c>
      <c r="AB114" s="32">
        <f t="shared" si="39"/>
        <v>1.8844779566558267E-3</v>
      </c>
      <c r="AD114" s="40">
        <v>43292.013124999998</v>
      </c>
      <c r="AE114" s="50">
        <f t="shared" si="40"/>
        <v>13.081666666665114</v>
      </c>
      <c r="AF114">
        <v>1171.69</v>
      </c>
      <c r="AG114">
        <v>1344.03</v>
      </c>
      <c r="AH114" s="32">
        <f t="shared" si="41"/>
        <v>1.04002231311158</v>
      </c>
      <c r="AI114" s="32">
        <f t="shared" si="42"/>
        <v>1.3690783286941246</v>
      </c>
      <c r="AK114" s="40">
        <v>43292.013969907406</v>
      </c>
      <c r="AL114" s="50">
        <f t="shared" si="43"/>
        <v>13.101944444468245</v>
      </c>
      <c r="AM114">
        <v>573.95000000000005</v>
      </c>
      <c r="AN114">
        <v>621.03</v>
      </c>
      <c r="AO114" s="32">
        <f t="shared" si="44"/>
        <v>0.50945284726368878</v>
      </c>
      <c r="AP114" s="32">
        <f t="shared" si="45"/>
        <v>0.63260397049836103</v>
      </c>
    </row>
    <row r="115" spans="1:42" x14ac:dyDescent="0.2">
      <c r="A115" s="40">
        <v>43292.020520833335</v>
      </c>
      <c r="B115" s="50">
        <f t="shared" si="28"/>
        <v>13.259166666772217</v>
      </c>
      <c r="C115">
        <v>47.15</v>
      </c>
      <c r="D115">
        <v>45.28</v>
      </c>
      <c r="E115" s="32">
        <f t="shared" si="48"/>
        <v>3.3112143090923994E-2</v>
      </c>
      <c r="F115" s="32">
        <f t="shared" si="49"/>
        <v>3.6492314663947083E-2</v>
      </c>
      <c r="H115" s="40">
        <v>43292.021377314813</v>
      </c>
      <c r="I115" s="50">
        <f t="shared" si="31"/>
        <v>13.279722222243436</v>
      </c>
      <c r="J115">
        <v>126866.25</v>
      </c>
      <c r="K115">
        <v>113589.89</v>
      </c>
      <c r="L115" s="32">
        <f t="shared" si="46"/>
        <v>226.76882341675898</v>
      </c>
      <c r="M115" s="32">
        <f t="shared" si="47"/>
        <v>233.00558053068093</v>
      </c>
      <c r="O115" s="40">
        <v>43292.022222222222</v>
      </c>
      <c r="P115" s="50">
        <f t="shared" si="34"/>
        <v>13.300000000046566</v>
      </c>
      <c r="Q115">
        <v>1413.61</v>
      </c>
      <c r="R115">
        <v>1327.54</v>
      </c>
      <c r="S115" s="32">
        <f t="shared" si="35"/>
        <v>0.80831098798080903</v>
      </c>
      <c r="T115" s="32">
        <f t="shared" si="36"/>
        <v>0.8711358549738426</v>
      </c>
      <c r="W115" s="40">
        <v>43292.028761574074</v>
      </c>
      <c r="X115" s="50">
        <f t="shared" si="37"/>
        <v>13.456944444507826</v>
      </c>
      <c r="Y115">
        <v>0</v>
      </c>
      <c r="Z115">
        <v>0</v>
      </c>
      <c r="AA115" s="32">
        <f t="shared" si="38"/>
        <v>0</v>
      </c>
      <c r="AB115" s="32">
        <f t="shared" si="39"/>
        <v>0</v>
      </c>
      <c r="AD115" s="40">
        <v>43292.029606481483</v>
      </c>
      <c r="AE115" s="50">
        <f t="shared" si="40"/>
        <v>13.477222222310957</v>
      </c>
      <c r="AF115">
        <v>1225.7</v>
      </c>
      <c r="AG115">
        <v>1294.33</v>
      </c>
      <c r="AH115" s="32">
        <f t="shared" si="41"/>
        <v>1.0879629843908063</v>
      </c>
      <c r="AI115" s="32">
        <f t="shared" si="42"/>
        <v>1.3184520830477491</v>
      </c>
      <c r="AK115" s="40">
        <v>43292.030462962961</v>
      </c>
      <c r="AL115" s="50">
        <f t="shared" si="43"/>
        <v>13.497777777782176</v>
      </c>
      <c r="AM115">
        <v>541.94000000000005</v>
      </c>
      <c r="AN115">
        <v>568.52</v>
      </c>
      <c r="AO115" s="32">
        <f t="shared" si="44"/>
        <v>0.48103994432630626</v>
      </c>
      <c r="AP115" s="32">
        <f t="shared" si="45"/>
        <v>0.57911535563133532</v>
      </c>
    </row>
    <row r="116" spans="1:42" x14ac:dyDescent="0.2">
      <c r="A116" s="40">
        <v>43292.03701388889</v>
      </c>
      <c r="B116" s="50">
        <f t="shared" si="28"/>
        <v>13.655000000086147</v>
      </c>
      <c r="C116">
        <v>47.18</v>
      </c>
      <c r="D116">
        <v>45.28</v>
      </c>
      <c r="E116" s="32">
        <f t="shared" si="48"/>
        <v>3.3133211262561905E-2</v>
      </c>
      <c r="F116" s="32">
        <f t="shared" si="49"/>
        <v>3.6492314663947083E-2</v>
      </c>
      <c r="H116" s="40">
        <v>43292.037858796299</v>
      </c>
      <c r="I116" s="50">
        <f t="shared" si="31"/>
        <v>13.675277777889278</v>
      </c>
      <c r="J116">
        <v>127523.55</v>
      </c>
      <c r="K116">
        <v>113709.95</v>
      </c>
      <c r="L116" s="32">
        <f t="shared" si="46"/>
        <v>227.94372334193088</v>
      </c>
      <c r="M116" s="32">
        <f t="shared" si="47"/>
        <v>233.25185817034156</v>
      </c>
      <c r="O116" s="40">
        <v>43292.038715277777</v>
      </c>
      <c r="P116" s="50">
        <f t="shared" si="34"/>
        <v>13.695833333360497</v>
      </c>
      <c r="Q116">
        <v>1512.84</v>
      </c>
      <c r="R116">
        <v>1336.9</v>
      </c>
      <c r="S116" s="32">
        <f t="shared" si="35"/>
        <v>0.86505131900374721</v>
      </c>
      <c r="T116" s="32">
        <f t="shared" si="36"/>
        <v>0.87727791593061621</v>
      </c>
      <c r="W116" s="40">
        <v>43292.045254629629</v>
      </c>
      <c r="X116" s="50">
        <f t="shared" si="37"/>
        <v>13.852777777821757</v>
      </c>
      <c r="Y116">
        <v>0</v>
      </c>
      <c r="Z116">
        <v>0</v>
      </c>
      <c r="AA116" s="32">
        <f t="shared" si="38"/>
        <v>0</v>
      </c>
      <c r="AB116" s="32">
        <f t="shared" si="39"/>
        <v>0</v>
      </c>
      <c r="AD116" s="40">
        <v>43292.046099537038</v>
      </c>
      <c r="AE116" s="50">
        <f t="shared" si="40"/>
        <v>13.873055555624887</v>
      </c>
      <c r="AF116">
        <v>1166.2</v>
      </c>
      <c r="AG116">
        <v>1221</v>
      </c>
      <c r="AH116" s="32">
        <f t="shared" si="41"/>
        <v>1.0351492472844563</v>
      </c>
      <c r="AI116" s="32">
        <f t="shared" si="42"/>
        <v>1.2437554513928455</v>
      </c>
      <c r="AK116" s="40">
        <v>43292.046956018516</v>
      </c>
      <c r="AL116" s="50">
        <f t="shared" si="43"/>
        <v>13.893611111096106</v>
      </c>
      <c r="AM116">
        <v>578.91</v>
      </c>
      <c r="AN116">
        <v>564.34</v>
      </c>
      <c r="AO116" s="32">
        <f t="shared" si="44"/>
        <v>0.51385547139894072</v>
      </c>
      <c r="AP116" s="32">
        <f t="shared" si="45"/>
        <v>0.57485745408602662</v>
      </c>
    </row>
    <row r="117" spans="1:42" x14ac:dyDescent="0.2">
      <c r="A117" s="40">
        <v>43292.053495370368</v>
      </c>
      <c r="B117" s="50">
        <f t="shared" si="28"/>
        <v>14.050555555557366</v>
      </c>
      <c r="C117">
        <v>50.15</v>
      </c>
      <c r="D117">
        <v>43.15</v>
      </c>
      <c r="E117" s="32">
        <f t="shared" si="48"/>
        <v>3.5218960254715555E-2</v>
      </c>
      <c r="F117" s="32">
        <f t="shared" si="49"/>
        <v>3.4775692971495513E-2</v>
      </c>
      <c r="H117" s="40">
        <v>43292.054351851853</v>
      </c>
      <c r="I117" s="50">
        <f t="shared" si="31"/>
        <v>14.071111111203209</v>
      </c>
      <c r="J117">
        <v>127376.74</v>
      </c>
      <c r="K117">
        <v>113735.43</v>
      </c>
      <c r="L117" s="32">
        <f t="shared" si="46"/>
        <v>227.68130578828035</v>
      </c>
      <c r="M117" s="32">
        <f t="shared" si="47"/>
        <v>233.3041249890868</v>
      </c>
      <c r="O117" s="40">
        <v>43292.055208333331</v>
      </c>
      <c r="P117" s="50">
        <f t="shared" si="34"/>
        <v>14.091666666674428</v>
      </c>
      <c r="Q117">
        <v>1441.15</v>
      </c>
      <c r="R117">
        <v>1254.69</v>
      </c>
      <c r="S117" s="32">
        <f t="shared" si="35"/>
        <v>0.82405853122752593</v>
      </c>
      <c r="T117" s="32">
        <f t="shared" si="36"/>
        <v>0.82333145959980925</v>
      </c>
      <c r="W117" s="40">
        <v>43292.061747685184</v>
      </c>
      <c r="X117" s="50">
        <f t="shared" si="37"/>
        <v>14.248611111135688</v>
      </c>
      <c r="Y117">
        <v>0</v>
      </c>
      <c r="Z117">
        <v>4.3899999999999997</v>
      </c>
      <c r="AA117" s="32">
        <f t="shared" si="38"/>
        <v>0</v>
      </c>
      <c r="AB117" s="32">
        <f t="shared" si="39"/>
        <v>4.4718152593076098E-3</v>
      </c>
      <c r="AD117" s="40">
        <v>43292.062592592592</v>
      </c>
      <c r="AE117" s="50">
        <f t="shared" si="40"/>
        <v>14.268888888938818</v>
      </c>
      <c r="AF117">
        <v>1180.46</v>
      </c>
      <c r="AG117">
        <v>1254.3800000000001</v>
      </c>
      <c r="AH117" s="32">
        <f t="shared" si="41"/>
        <v>1.047806791673306</v>
      </c>
      <c r="AI117" s="32">
        <f t="shared" si="42"/>
        <v>1.2777575455513166</v>
      </c>
      <c r="AK117" s="40">
        <v>43292.063449074078</v>
      </c>
      <c r="AL117" s="50">
        <f t="shared" si="43"/>
        <v>14.28944444458466</v>
      </c>
      <c r="AM117">
        <v>597.91</v>
      </c>
      <c r="AN117">
        <v>573.62</v>
      </c>
      <c r="AO117" s="32">
        <f t="shared" si="44"/>
        <v>0.53072036223962382</v>
      </c>
      <c r="AP117" s="32">
        <f t="shared" si="45"/>
        <v>0.58431040297130543</v>
      </c>
    </row>
    <row r="118" spans="1:42" x14ac:dyDescent="0.2">
      <c r="A118" s="40">
        <v>43292.069988425923</v>
      </c>
      <c r="B118" s="50">
        <f t="shared" si="28"/>
        <v>14.446388888871297</v>
      </c>
      <c r="C118">
        <v>39.159999999999997</v>
      </c>
      <c r="D118">
        <v>41.02</v>
      </c>
      <c r="E118" s="32">
        <f t="shared" si="48"/>
        <v>2.750098671135914E-2</v>
      </c>
      <c r="F118" s="32">
        <f t="shared" si="49"/>
        <v>3.3059071279043936E-2</v>
      </c>
      <c r="H118" s="40">
        <v>43292.070844907408</v>
      </c>
      <c r="I118" s="50">
        <f t="shared" si="31"/>
        <v>14.466944444517139</v>
      </c>
      <c r="J118">
        <v>126632.81</v>
      </c>
      <c r="K118">
        <v>113261.49</v>
      </c>
      <c r="L118" s="32">
        <f t="shared" si="46"/>
        <v>226.35155787814327</v>
      </c>
      <c r="M118" s="32">
        <f t="shared" si="47"/>
        <v>232.33193754496912</v>
      </c>
      <c r="O118" s="40">
        <v>43292.071701388886</v>
      </c>
      <c r="P118" s="50">
        <f t="shared" si="34"/>
        <v>14.487499999988358</v>
      </c>
      <c r="Q118">
        <v>1395.57</v>
      </c>
      <c r="R118">
        <v>1340.77</v>
      </c>
      <c r="S118" s="32">
        <f t="shared" si="35"/>
        <v>0.79799560380612589</v>
      </c>
      <c r="T118" s="32">
        <f t="shared" si="36"/>
        <v>0.87981742190312828</v>
      </c>
      <c r="W118" s="40">
        <v>43292.078240740739</v>
      </c>
      <c r="X118" s="50">
        <f t="shared" si="37"/>
        <v>14.644444444449618</v>
      </c>
      <c r="Y118">
        <v>0</v>
      </c>
      <c r="Z118">
        <v>0</v>
      </c>
      <c r="AA118" s="32">
        <f t="shared" si="38"/>
        <v>0</v>
      </c>
      <c r="AB118" s="32">
        <f t="shared" si="39"/>
        <v>0</v>
      </c>
      <c r="AD118" s="40">
        <v>43292.079097222224</v>
      </c>
      <c r="AE118" s="50">
        <f t="shared" si="40"/>
        <v>14.665000000095461</v>
      </c>
      <c r="AF118">
        <v>1176.28</v>
      </c>
      <c r="AG118">
        <v>1266.83</v>
      </c>
      <c r="AH118" s="32">
        <f t="shared" si="41"/>
        <v>1.0440965156883557</v>
      </c>
      <c r="AI118" s="32">
        <f t="shared" si="42"/>
        <v>1.2904395728812437</v>
      </c>
      <c r="AK118" s="40">
        <v>43292.079953703702</v>
      </c>
      <c r="AL118" s="50">
        <f t="shared" si="43"/>
        <v>14.68555555556668</v>
      </c>
      <c r="AM118">
        <v>600.45000000000005</v>
      </c>
      <c r="AN118">
        <v>608.41</v>
      </c>
      <c r="AO118" s="32">
        <f t="shared" si="44"/>
        <v>0.53297493185727307</v>
      </c>
      <c r="AP118" s="32">
        <f t="shared" si="45"/>
        <v>0.61974877492376834</v>
      </c>
    </row>
    <row r="119" spans="1:42" x14ac:dyDescent="0.2">
      <c r="A119" s="40">
        <v>43292.086493055554</v>
      </c>
      <c r="B119" s="50">
        <f t="shared" si="28"/>
        <v>14.84250000002794</v>
      </c>
      <c r="C119">
        <v>26.16</v>
      </c>
      <c r="D119">
        <v>45.28</v>
      </c>
      <c r="E119" s="32">
        <f t="shared" si="48"/>
        <v>1.837144566826239E-2</v>
      </c>
      <c r="F119" s="32">
        <f t="shared" si="49"/>
        <v>3.6492314663947083E-2</v>
      </c>
      <c r="H119" s="40">
        <v>43292.08734953704</v>
      </c>
      <c r="I119" s="50">
        <f t="shared" si="31"/>
        <v>14.863055555673782</v>
      </c>
      <c r="J119">
        <v>126967.69</v>
      </c>
      <c r="K119">
        <v>113120.88</v>
      </c>
      <c r="L119" s="32">
        <f t="shared" si="46"/>
        <v>226.95014373991347</v>
      </c>
      <c r="M119" s="32">
        <f t="shared" si="47"/>
        <v>232.04350593650099</v>
      </c>
      <c r="O119" s="40">
        <v>43292.088206018518</v>
      </c>
      <c r="P119" s="50">
        <f t="shared" si="34"/>
        <v>14.883611111145001</v>
      </c>
      <c r="Q119">
        <v>1494.64</v>
      </c>
      <c r="R119">
        <v>1267.93</v>
      </c>
      <c r="S119" s="32">
        <f t="shared" si="35"/>
        <v>0.85464444583416677</v>
      </c>
      <c r="T119" s="32">
        <f t="shared" si="36"/>
        <v>0.83201958856003166</v>
      </c>
      <c r="W119" s="40">
        <v>43292.094733796293</v>
      </c>
      <c r="X119" s="50">
        <f t="shared" si="37"/>
        <v>15.040277777763549</v>
      </c>
      <c r="Y119">
        <v>0</v>
      </c>
      <c r="Z119">
        <v>0</v>
      </c>
      <c r="AA119" s="32">
        <f t="shared" si="38"/>
        <v>0</v>
      </c>
      <c r="AB119" s="32">
        <f t="shared" si="39"/>
        <v>0</v>
      </c>
      <c r="AD119" s="40">
        <v>43292.095590277779</v>
      </c>
      <c r="AE119" s="50">
        <f t="shared" si="40"/>
        <v>15.060833333409391</v>
      </c>
      <c r="AF119">
        <v>1153.75</v>
      </c>
      <c r="AG119">
        <v>1299.6400000000001</v>
      </c>
      <c r="AH119" s="32">
        <f t="shared" si="41"/>
        <v>1.0240983056546404</v>
      </c>
      <c r="AI119" s="32">
        <f t="shared" si="42"/>
        <v>1.323861044101718</v>
      </c>
      <c r="AK119" s="40">
        <v>43292.096446759257</v>
      </c>
      <c r="AL119" s="50">
        <f t="shared" si="43"/>
        <v>15.08138888888061</v>
      </c>
      <c r="AM119">
        <v>541.87</v>
      </c>
      <c r="AN119">
        <v>606.95000000000005</v>
      </c>
      <c r="AO119" s="32">
        <f t="shared" si="44"/>
        <v>0.48097781051794575</v>
      </c>
      <c r="AP119" s="32">
        <f t="shared" si="45"/>
        <v>0.61826156529311027</v>
      </c>
    </row>
    <row r="120" spans="1:42" x14ac:dyDescent="0.2">
      <c r="A120" s="40">
        <v>43292.102986111109</v>
      </c>
      <c r="B120" s="50">
        <f t="shared" si="28"/>
        <v>15.23833333334187</v>
      </c>
      <c r="C120">
        <v>49.65</v>
      </c>
      <c r="D120">
        <v>41.67</v>
      </c>
      <c r="E120" s="32">
        <f t="shared" si="48"/>
        <v>3.4867824060750292E-2</v>
      </c>
      <c r="F120" s="32">
        <f t="shared" si="49"/>
        <v>3.3582922969228692E-2</v>
      </c>
      <c r="H120" s="40">
        <v>43292.103842592594</v>
      </c>
      <c r="I120" s="50">
        <f t="shared" si="31"/>
        <v>15.258888888987713</v>
      </c>
      <c r="J120">
        <v>126480.78</v>
      </c>
      <c r="K120">
        <v>113136.83</v>
      </c>
      <c r="L120" s="32">
        <f t="shared" si="46"/>
        <v>226.0798097636995</v>
      </c>
      <c r="M120" s="32">
        <f t="shared" si="47"/>
        <v>232.07622398041727</v>
      </c>
      <c r="O120" s="40">
        <v>43292.104699074072</v>
      </c>
      <c r="P120" s="50">
        <f t="shared" si="34"/>
        <v>15.279444444458932</v>
      </c>
      <c r="Q120">
        <v>1435.76</v>
      </c>
      <c r="R120">
        <v>1308.83</v>
      </c>
      <c r="S120" s="32">
        <f t="shared" si="35"/>
        <v>0.82097649571191944</v>
      </c>
      <c r="T120" s="32">
        <f t="shared" si="36"/>
        <v>0.85885829509123224</v>
      </c>
      <c r="W120" s="40">
        <v>43292.111238425925</v>
      </c>
      <c r="X120" s="50">
        <f t="shared" si="37"/>
        <v>15.436388888920192</v>
      </c>
      <c r="Y120">
        <v>0</v>
      </c>
      <c r="Z120">
        <v>0.56999999999999995</v>
      </c>
      <c r="AA120" s="32">
        <f t="shared" si="38"/>
        <v>0</v>
      </c>
      <c r="AB120" s="32">
        <f t="shared" si="39"/>
        <v>5.8062293799665998E-4</v>
      </c>
      <c r="AD120" s="40">
        <v>43292.11209490741</v>
      </c>
      <c r="AE120" s="50">
        <f t="shared" si="40"/>
        <v>15.456944444566034</v>
      </c>
      <c r="AF120">
        <v>1227.22</v>
      </c>
      <c r="AG120">
        <v>1256.46</v>
      </c>
      <c r="AH120" s="32">
        <f t="shared" si="41"/>
        <v>1.0893121756580608</v>
      </c>
      <c r="AI120" s="32">
        <f t="shared" si="42"/>
        <v>1.2798763099566377</v>
      </c>
      <c r="AK120" s="40">
        <v>43292.112951388888</v>
      </c>
      <c r="AL120" s="50">
        <f t="shared" si="43"/>
        <v>15.477500000037253</v>
      </c>
      <c r="AM120">
        <v>568.85</v>
      </c>
      <c r="AN120">
        <v>589.39</v>
      </c>
      <c r="AO120" s="32">
        <f t="shared" si="44"/>
        <v>0.50492595551171593</v>
      </c>
      <c r="AP120" s="32">
        <f t="shared" si="45"/>
        <v>0.60037430425587979</v>
      </c>
    </row>
    <row r="121" spans="1:42" x14ac:dyDescent="0.2">
      <c r="A121" s="40">
        <v>43292.119490740741</v>
      </c>
      <c r="B121" s="50">
        <f t="shared" si="28"/>
        <v>15.634444444498513</v>
      </c>
      <c r="C121">
        <v>47.15</v>
      </c>
      <c r="D121">
        <v>51.68</v>
      </c>
      <c r="E121" s="32">
        <f t="shared" si="48"/>
        <v>3.3112143090923994E-2</v>
      </c>
      <c r="F121" s="32">
        <f t="shared" si="49"/>
        <v>4.165023899807388E-2</v>
      </c>
      <c r="H121" s="40">
        <v>43292.120347222219</v>
      </c>
      <c r="I121" s="50">
        <f t="shared" si="31"/>
        <v>15.654999999969732</v>
      </c>
      <c r="J121">
        <v>126956.85</v>
      </c>
      <c r="K121">
        <v>113263.55</v>
      </c>
      <c r="L121" s="32">
        <f t="shared" si="46"/>
        <v>226.93076763282559</v>
      </c>
      <c r="M121" s="32">
        <f t="shared" si="47"/>
        <v>232.33616319829</v>
      </c>
      <c r="O121" s="40">
        <v>43292.121192129627</v>
      </c>
      <c r="P121" s="50">
        <f t="shared" si="34"/>
        <v>15.675277777772862</v>
      </c>
      <c r="Q121">
        <v>1424.34</v>
      </c>
      <c r="R121">
        <v>1377.69</v>
      </c>
      <c r="S121" s="32">
        <f t="shared" si="35"/>
        <v>0.8144464687011167</v>
      </c>
      <c r="T121" s="32">
        <f t="shared" si="36"/>
        <v>0.90404444012151297</v>
      </c>
      <c r="W121" s="40">
        <v>43292.127743055556</v>
      </c>
      <c r="X121" s="50">
        <f t="shared" si="37"/>
        <v>15.832500000076834</v>
      </c>
      <c r="Y121">
        <v>0</v>
      </c>
      <c r="Z121">
        <v>0</v>
      </c>
      <c r="AA121" s="32">
        <f t="shared" si="38"/>
        <v>0</v>
      </c>
      <c r="AB121" s="32">
        <f t="shared" si="39"/>
        <v>0</v>
      </c>
      <c r="AD121" s="40">
        <v>43292.128599537034</v>
      </c>
      <c r="AE121" s="50">
        <f t="shared" si="40"/>
        <v>15.853055555548053</v>
      </c>
      <c r="AF121">
        <v>1217.8800000000001</v>
      </c>
      <c r="AG121">
        <v>1289.1500000000001</v>
      </c>
      <c r="AH121" s="32">
        <f t="shared" si="41"/>
        <v>1.0810217503711146</v>
      </c>
      <c r="AI121" s="32">
        <f t="shared" si="42"/>
        <v>1.3131755447691129</v>
      </c>
      <c r="AK121" s="40">
        <v>43292.129444444443</v>
      </c>
      <c r="AL121" s="50">
        <f t="shared" si="43"/>
        <v>15.873333333351184</v>
      </c>
      <c r="AM121">
        <v>553.72</v>
      </c>
      <c r="AN121">
        <v>579.13</v>
      </c>
      <c r="AO121" s="32">
        <f t="shared" si="44"/>
        <v>0.49149617664752976</v>
      </c>
      <c r="AP121" s="32">
        <f t="shared" si="45"/>
        <v>0.58992309137193988</v>
      </c>
    </row>
    <row r="122" spans="1:42" x14ac:dyDescent="0.2">
      <c r="A122" s="40">
        <v>43292.135312500002</v>
      </c>
      <c r="B122" s="50">
        <f t="shared" si="28"/>
        <v>16.014166666776873</v>
      </c>
      <c r="C122">
        <v>52.65</v>
      </c>
      <c r="D122">
        <v>53.8</v>
      </c>
      <c r="E122" s="32">
        <f t="shared" si="48"/>
        <v>3.6974641224541846E-2</v>
      </c>
      <c r="F122" s="32">
        <f t="shared" si="49"/>
        <v>4.3358801433753376E-2</v>
      </c>
      <c r="H122" s="40">
        <v>43292.13616898148</v>
      </c>
      <c r="I122" s="50">
        <f t="shared" si="31"/>
        <v>16.034722222248092</v>
      </c>
      <c r="J122">
        <v>125602.27</v>
      </c>
      <c r="K122">
        <v>113818.57</v>
      </c>
      <c r="L122" s="32">
        <f t="shared" si="46"/>
        <v>224.50950498161714</v>
      </c>
      <c r="M122" s="32">
        <f t="shared" si="47"/>
        <v>233.4746690750554</v>
      </c>
      <c r="O122" s="40">
        <v>43292.137025462966</v>
      </c>
      <c r="P122" s="50">
        <f t="shared" si="34"/>
        <v>16.055277777893934</v>
      </c>
      <c r="Q122">
        <v>1398.66</v>
      </c>
      <c r="R122">
        <v>1322.64</v>
      </c>
      <c r="S122" s="32">
        <f t="shared" si="35"/>
        <v>0.79976248502008218</v>
      </c>
      <c r="T122" s="32">
        <f t="shared" si="36"/>
        <v>0.867920459814848</v>
      </c>
      <c r="W122" s="40">
        <v>43292.143414351849</v>
      </c>
      <c r="X122" s="50">
        <f t="shared" si="37"/>
        <v>16.208611111098435</v>
      </c>
      <c r="Y122">
        <v>0</v>
      </c>
      <c r="Z122">
        <v>0</v>
      </c>
      <c r="AA122" s="32">
        <f t="shared" si="38"/>
        <v>0</v>
      </c>
      <c r="AB122" s="32">
        <f t="shared" si="39"/>
        <v>0</v>
      </c>
      <c r="AD122" s="40">
        <v>43292.144270833334</v>
      </c>
      <c r="AE122" s="50">
        <f t="shared" si="40"/>
        <v>16.229166666744277</v>
      </c>
      <c r="AF122">
        <v>1208.68</v>
      </c>
      <c r="AG122">
        <v>1269.08</v>
      </c>
      <c r="AH122" s="32">
        <f t="shared" si="41"/>
        <v>1.0728555927008889</v>
      </c>
      <c r="AI122" s="32">
        <f t="shared" si="42"/>
        <v>1.2927315055312303</v>
      </c>
      <c r="AK122" s="40">
        <v>43292.145127314812</v>
      </c>
      <c r="AL122" s="50">
        <f t="shared" si="43"/>
        <v>16.249722222215496</v>
      </c>
      <c r="AM122">
        <v>597.41</v>
      </c>
      <c r="AN122">
        <v>564.57000000000005</v>
      </c>
      <c r="AO122" s="32">
        <f t="shared" si="44"/>
        <v>0.5302765493227638</v>
      </c>
      <c r="AP122" s="32">
        <f t="shared" si="45"/>
        <v>0.57509174053469192</v>
      </c>
    </row>
    <row r="123" spans="1:42" x14ac:dyDescent="0.2">
      <c r="A123" s="40">
        <v>43292.151666666665</v>
      </c>
      <c r="B123" s="50">
        <f t="shared" si="28"/>
        <v>16.406666666676756</v>
      </c>
      <c r="C123">
        <v>29.16</v>
      </c>
      <c r="D123">
        <v>50.62</v>
      </c>
      <c r="E123" s="32">
        <f t="shared" si="48"/>
        <v>2.0478262832053947E-2</v>
      </c>
      <c r="F123" s="32">
        <f t="shared" si="49"/>
        <v>4.0795957780234128E-2</v>
      </c>
      <c r="H123" s="40">
        <v>43292.15252314815</v>
      </c>
      <c r="I123" s="50">
        <f t="shared" si="31"/>
        <v>16.427222222322598</v>
      </c>
      <c r="J123">
        <v>126565.44</v>
      </c>
      <c r="K123">
        <v>113119.59</v>
      </c>
      <c r="L123" s="32">
        <f t="shared" si="46"/>
        <v>226.23113644507035</v>
      </c>
      <c r="M123" s="32">
        <f t="shared" si="47"/>
        <v>232.04085977495544</v>
      </c>
      <c r="O123" s="40">
        <v>43292.153368055559</v>
      </c>
      <c r="P123" s="50">
        <f t="shared" si="34"/>
        <v>16.447500000125729</v>
      </c>
      <c r="Q123">
        <v>1521.63</v>
      </c>
      <c r="R123">
        <v>1216.32</v>
      </c>
      <c r="S123" s="32">
        <f t="shared" si="35"/>
        <v>0.87007749566092385</v>
      </c>
      <c r="T123" s="32">
        <f t="shared" si="36"/>
        <v>0.79815294689559957</v>
      </c>
      <c r="W123" s="40">
        <v>43292.159907407404</v>
      </c>
      <c r="X123" s="50">
        <f t="shared" si="37"/>
        <v>16.604444444412366</v>
      </c>
      <c r="Y123">
        <v>0</v>
      </c>
      <c r="Z123">
        <v>6.95</v>
      </c>
      <c r="AA123" s="32">
        <f t="shared" si="38"/>
        <v>0</v>
      </c>
      <c r="AB123" s="32">
        <f t="shared" si="39"/>
        <v>7.0795252966259431E-3</v>
      </c>
      <c r="AD123" s="40">
        <v>43292.160763888889</v>
      </c>
      <c r="AE123" s="50">
        <f t="shared" si="40"/>
        <v>16.625000000058208</v>
      </c>
      <c r="AF123">
        <v>1131.6300000000001</v>
      </c>
      <c r="AG123">
        <v>1241.8900000000001</v>
      </c>
      <c r="AH123" s="32">
        <f t="shared" si="41"/>
        <v>1.0044640222127503</v>
      </c>
      <c r="AI123" s="32">
        <f t="shared" si="42"/>
        <v>1.2650347727520566</v>
      </c>
      <c r="AK123" s="40">
        <v>43292.161608796298</v>
      </c>
      <c r="AL123" s="50">
        <f t="shared" si="43"/>
        <v>16.645277777861338</v>
      </c>
      <c r="AM123">
        <v>530.9</v>
      </c>
      <c r="AN123">
        <v>572.53</v>
      </c>
      <c r="AO123" s="32">
        <f t="shared" si="44"/>
        <v>0.47124055512203555</v>
      </c>
      <c r="AP123" s="32">
        <f t="shared" si="45"/>
        <v>0.5832000889319785</v>
      </c>
    </row>
    <row r="124" spans="1:42" x14ac:dyDescent="0.2">
      <c r="A124" s="40">
        <v>43292.16815972222</v>
      </c>
      <c r="B124" s="50">
        <f t="shared" si="28"/>
        <v>16.802499999990687</v>
      </c>
      <c r="C124">
        <v>28.68</v>
      </c>
      <c r="D124">
        <v>62.35</v>
      </c>
      <c r="E124" s="32">
        <f t="shared" si="48"/>
        <v>2.0141172085847297E-2</v>
      </c>
      <c r="F124" s="32">
        <f t="shared" si="49"/>
        <v>5.0249465973875897E-2</v>
      </c>
      <c r="H124" s="40">
        <v>43292.169016203705</v>
      </c>
      <c r="I124" s="50">
        <f t="shared" si="31"/>
        <v>16.823055555636529</v>
      </c>
      <c r="J124">
        <v>126781.67</v>
      </c>
      <c r="K124">
        <v>113224.12</v>
      </c>
      <c r="L124" s="32">
        <f t="shared" si="46"/>
        <v>226.61763973248844</v>
      </c>
      <c r="M124" s="32">
        <f t="shared" si="47"/>
        <v>232.25528091166811</v>
      </c>
      <c r="O124" s="40">
        <v>43292.169872685183</v>
      </c>
      <c r="P124" s="50">
        <f t="shared" si="34"/>
        <v>16.843611111107748</v>
      </c>
      <c r="Q124">
        <v>1488.31</v>
      </c>
      <c r="R124">
        <v>1265.6500000000001</v>
      </c>
      <c r="S124" s="32">
        <f t="shared" si="35"/>
        <v>0.85102491247353773</v>
      </c>
      <c r="T124" s="32">
        <f t="shared" si="36"/>
        <v>0.83052344550645862</v>
      </c>
      <c r="W124" s="40">
        <v>43292.176400462966</v>
      </c>
      <c r="X124" s="50">
        <f t="shared" si="37"/>
        <v>17.000277777900919</v>
      </c>
      <c r="Y124">
        <v>0</v>
      </c>
      <c r="Z124">
        <v>10.77</v>
      </c>
      <c r="AA124" s="32">
        <f t="shared" si="38"/>
        <v>0</v>
      </c>
      <c r="AB124" s="32">
        <f t="shared" si="39"/>
        <v>1.0970717617936892E-2</v>
      </c>
      <c r="AD124" s="40">
        <v>43292.177256944444</v>
      </c>
      <c r="AE124" s="50">
        <f t="shared" si="40"/>
        <v>17.020833333372138</v>
      </c>
      <c r="AF124">
        <v>1189.42</v>
      </c>
      <c r="AG124">
        <v>1282.98</v>
      </c>
      <c r="AH124" s="32">
        <f t="shared" si="41"/>
        <v>1.0557599191434386</v>
      </c>
      <c r="AI124" s="32">
        <f t="shared" si="42"/>
        <v>1.3068905561244823</v>
      </c>
      <c r="AK124" s="40">
        <v>43292.178113425929</v>
      </c>
      <c r="AL124" s="50">
        <f t="shared" si="43"/>
        <v>17.041388889017981</v>
      </c>
      <c r="AM124">
        <v>550.29999999999995</v>
      </c>
      <c r="AN124">
        <v>571.91</v>
      </c>
      <c r="AO124" s="32">
        <f t="shared" si="44"/>
        <v>0.48846049629620675</v>
      </c>
      <c r="AP124" s="32">
        <f t="shared" si="45"/>
        <v>0.58256853415731547</v>
      </c>
    </row>
    <row r="125" spans="1:42" x14ac:dyDescent="0.2">
      <c r="A125" s="40">
        <v>43292.184652777774</v>
      </c>
      <c r="B125" s="50">
        <f t="shared" si="28"/>
        <v>17.198333333304618</v>
      </c>
      <c r="C125">
        <v>43.67</v>
      </c>
      <c r="D125">
        <v>46.35</v>
      </c>
      <c r="E125" s="32">
        <f t="shared" si="48"/>
        <v>3.0668235180925787E-2</v>
      </c>
      <c r="F125" s="32">
        <f t="shared" si="49"/>
        <v>3.7354655138558908E-2</v>
      </c>
      <c r="H125" s="40">
        <v>43292.18550925926</v>
      </c>
      <c r="I125" s="50">
        <f t="shared" si="31"/>
        <v>17.21888888895046</v>
      </c>
      <c r="J125">
        <v>126168.2</v>
      </c>
      <c r="K125">
        <v>113013.18</v>
      </c>
      <c r="L125" s="32">
        <f t="shared" si="46"/>
        <v>225.5210843436322</v>
      </c>
      <c r="M125" s="32">
        <f t="shared" si="47"/>
        <v>231.82258221676543</v>
      </c>
      <c r="O125" s="40">
        <v>43292.186365740738</v>
      </c>
      <c r="P125" s="50">
        <f t="shared" si="34"/>
        <v>17.239444444421679</v>
      </c>
      <c r="Q125">
        <v>1435.1</v>
      </c>
      <c r="R125">
        <v>1210.58</v>
      </c>
      <c r="S125" s="32">
        <f t="shared" si="35"/>
        <v>0.82059910360796751</v>
      </c>
      <c r="T125" s="32">
        <f t="shared" si="36"/>
        <v>0.79438634113791995</v>
      </c>
      <c r="W125" s="40">
        <v>43292.19290509259</v>
      </c>
      <c r="X125" s="50">
        <f t="shared" si="37"/>
        <v>17.396388888882939</v>
      </c>
      <c r="Y125">
        <v>0</v>
      </c>
      <c r="Z125">
        <v>6.95</v>
      </c>
      <c r="AA125" s="32">
        <f t="shared" si="38"/>
        <v>0</v>
      </c>
      <c r="AB125" s="32">
        <f t="shared" si="39"/>
        <v>7.0795252966259431E-3</v>
      </c>
      <c r="AD125" s="40">
        <v>43292.193749999999</v>
      </c>
      <c r="AE125" s="50">
        <f t="shared" si="40"/>
        <v>17.416666666686069</v>
      </c>
      <c r="AF125">
        <v>1191.69</v>
      </c>
      <c r="AG125">
        <v>1296.54</v>
      </c>
      <c r="AH125" s="32">
        <f t="shared" si="41"/>
        <v>1.0577748297859835</v>
      </c>
      <c r="AI125" s="32">
        <f t="shared" si="42"/>
        <v>1.3207032702284027</v>
      </c>
      <c r="AK125" s="40">
        <v>43292.194606481484</v>
      </c>
      <c r="AL125" s="50">
        <f t="shared" si="43"/>
        <v>17.437222222331911</v>
      </c>
      <c r="AM125">
        <v>541.88</v>
      </c>
      <c r="AN125">
        <v>586.9</v>
      </c>
      <c r="AO125" s="32">
        <f t="shared" si="44"/>
        <v>0.48098668677628303</v>
      </c>
      <c r="AP125" s="32">
        <f t="shared" si="45"/>
        <v>0.59783789878989435</v>
      </c>
    </row>
    <row r="126" spans="1:42" x14ac:dyDescent="0.2">
      <c r="A126" s="40">
        <v>43292.201249999998</v>
      </c>
      <c r="B126" s="50">
        <f t="shared" si="28"/>
        <v>17.596666666679084</v>
      </c>
      <c r="C126">
        <v>48.65</v>
      </c>
      <c r="D126">
        <v>57</v>
      </c>
      <c r="E126" s="32">
        <f t="shared" si="48"/>
        <v>3.4165551672819774E-2</v>
      </c>
      <c r="F126" s="32">
        <f t="shared" si="49"/>
        <v>4.5937763600816778E-2</v>
      </c>
      <c r="H126" s="40">
        <v>43292.202094907407</v>
      </c>
      <c r="I126" s="50">
        <f t="shared" si="31"/>
        <v>17.616944444482215</v>
      </c>
      <c r="J126">
        <v>125573.49</v>
      </c>
      <c r="K126">
        <v>113151.71</v>
      </c>
      <c r="L126" s="32">
        <f t="shared" si="46"/>
        <v>224.45806177479156</v>
      </c>
      <c r="M126" s="32">
        <f t="shared" si="47"/>
        <v>232.10674714615234</v>
      </c>
      <c r="O126" s="40">
        <v>43292.202951388892</v>
      </c>
      <c r="P126" s="50">
        <f t="shared" si="34"/>
        <v>17.637500000128057</v>
      </c>
      <c r="Q126">
        <v>1451.1</v>
      </c>
      <c r="R126">
        <v>1244.7</v>
      </c>
      <c r="S126" s="32">
        <f t="shared" si="35"/>
        <v>0.82974800309770869</v>
      </c>
      <c r="T126" s="32">
        <f t="shared" si="36"/>
        <v>0.81677599069402196</v>
      </c>
      <c r="W126" s="40">
        <v>43292.209363425929</v>
      </c>
      <c r="X126" s="50">
        <f t="shared" si="37"/>
        <v>17.791388889017981</v>
      </c>
      <c r="Y126">
        <v>0</v>
      </c>
      <c r="Z126">
        <v>0</v>
      </c>
      <c r="AA126" s="32">
        <f t="shared" si="38"/>
        <v>0</v>
      </c>
      <c r="AB126" s="32">
        <f t="shared" si="39"/>
        <v>0</v>
      </c>
      <c r="AD126" s="40">
        <v>43292.21020833333</v>
      </c>
      <c r="AE126" s="50">
        <f t="shared" si="40"/>
        <v>17.811666666646488</v>
      </c>
      <c r="AF126">
        <v>1153.67</v>
      </c>
      <c r="AG126">
        <v>1145.95</v>
      </c>
      <c r="AH126" s="32">
        <f t="shared" si="41"/>
        <v>1.0240272955879428</v>
      </c>
      <c r="AI126" s="32">
        <f t="shared" si="42"/>
        <v>1.1673067645566186</v>
      </c>
      <c r="AK126" s="40">
        <v>43292.211064814815</v>
      </c>
      <c r="AL126" s="50">
        <f t="shared" si="43"/>
        <v>17.83222222229233</v>
      </c>
      <c r="AM126">
        <v>562.38</v>
      </c>
      <c r="AN126">
        <v>654.96</v>
      </c>
      <c r="AO126" s="32">
        <f t="shared" si="44"/>
        <v>0.49918301636754636</v>
      </c>
      <c r="AP126" s="32">
        <f t="shared" si="45"/>
        <v>0.66716631486016231</v>
      </c>
    </row>
    <row r="127" spans="1:42" x14ac:dyDescent="0.2">
      <c r="A127" s="40">
        <v>43292.217627314814</v>
      </c>
      <c r="B127" s="50">
        <f t="shared" si="28"/>
        <v>17.98972222226439</v>
      </c>
      <c r="C127">
        <v>42.17</v>
      </c>
      <c r="D127">
        <v>41.02</v>
      </c>
      <c r="E127" s="32">
        <f t="shared" si="48"/>
        <v>2.9614826599030006E-2</v>
      </c>
      <c r="F127" s="32">
        <f t="shared" si="49"/>
        <v>3.3059071279043936E-2</v>
      </c>
      <c r="H127" s="40">
        <v>43292.218472222223</v>
      </c>
      <c r="I127" s="50">
        <f t="shared" si="31"/>
        <v>18.010000000067521</v>
      </c>
      <c r="J127">
        <v>126661.12</v>
      </c>
      <c r="K127">
        <v>112831.26</v>
      </c>
      <c r="L127" s="32">
        <f t="shared" si="46"/>
        <v>226.40216097700468</v>
      </c>
      <c r="M127" s="32">
        <f t="shared" si="47"/>
        <v>231.44941190019816</v>
      </c>
      <c r="O127" s="40">
        <v>43292.219328703701</v>
      </c>
      <c r="P127" s="50">
        <f t="shared" si="34"/>
        <v>18.03055555553874</v>
      </c>
      <c r="Q127">
        <v>1472.6</v>
      </c>
      <c r="R127">
        <v>1283.9100000000001</v>
      </c>
      <c r="S127" s="32">
        <f t="shared" si="35"/>
        <v>0.84204183678704836</v>
      </c>
      <c r="T127" s="32">
        <f t="shared" si="36"/>
        <v>0.84250571399691643</v>
      </c>
      <c r="W127" s="40">
        <v>43292.225868055553</v>
      </c>
      <c r="X127" s="50">
        <f t="shared" si="37"/>
        <v>18.1875</v>
      </c>
      <c r="Y127">
        <v>0</v>
      </c>
      <c r="Z127">
        <v>0</v>
      </c>
      <c r="AA127" s="32">
        <f t="shared" si="38"/>
        <v>0</v>
      </c>
      <c r="AB127" s="32">
        <f t="shared" si="39"/>
        <v>0</v>
      </c>
      <c r="AD127" s="40">
        <v>43292.226724537039</v>
      </c>
      <c r="AE127" s="50">
        <f t="shared" si="40"/>
        <v>18.208055555645842</v>
      </c>
      <c r="AF127">
        <v>1194.26</v>
      </c>
      <c r="AG127">
        <v>1278.79</v>
      </c>
      <c r="AH127" s="32">
        <f t="shared" si="41"/>
        <v>1.0600560281786442</v>
      </c>
      <c r="AI127" s="32">
        <f t="shared" si="42"/>
        <v>1.3026224682118401</v>
      </c>
      <c r="AK127" s="40">
        <v>43292.227581018517</v>
      </c>
      <c r="AL127" s="50">
        <f t="shared" si="43"/>
        <v>18.228611111117061</v>
      </c>
      <c r="AM127">
        <v>550.38</v>
      </c>
      <c r="AN127">
        <v>588.01</v>
      </c>
      <c r="AO127" s="32">
        <f t="shared" si="44"/>
        <v>0.48853150636290443</v>
      </c>
      <c r="AP127" s="32">
        <f t="shared" si="45"/>
        <v>0.59896858556388777</v>
      </c>
    </row>
    <row r="128" spans="1:42" x14ac:dyDescent="0.2">
      <c r="A128" s="40">
        <v>43292.234131944446</v>
      </c>
      <c r="B128" s="50">
        <f t="shared" si="28"/>
        <v>18.385833333421033</v>
      </c>
      <c r="C128">
        <v>46.15</v>
      </c>
      <c r="D128">
        <v>46.6</v>
      </c>
      <c r="E128" s="32">
        <f t="shared" si="48"/>
        <v>3.2409870702993476E-2</v>
      </c>
      <c r="F128" s="32">
        <f t="shared" si="49"/>
        <v>3.7556136557860734E-2</v>
      </c>
      <c r="H128" s="40">
        <v>43292.234976851854</v>
      </c>
      <c r="I128" s="50">
        <f t="shared" si="31"/>
        <v>18.406111111224163</v>
      </c>
      <c r="J128">
        <v>126447.49</v>
      </c>
      <c r="K128">
        <v>112994.91</v>
      </c>
      <c r="L128" s="32">
        <f t="shared" si="46"/>
        <v>226.02030509534569</v>
      </c>
      <c r="M128" s="32">
        <f t="shared" si="47"/>
        <v>231.78510518464316</v>
      </c>
      <c r="O128" s="40">
        <v>43292.235833333332</v>
      </c>
      <c r="P128" s="50">
        <f t="shared" si="34"/>
        <v>18.426666666695382</v>
      </c>
      <c r="Q128">
        <v>1528.68</v>
      </c>
      <c r="R128">
        <v>1370.98</v>
      </c>
      <c r="S128" s="32">
        <f t="shared" si="35"/>
        <v>0.87410872949859098</v>
      </c>
      <c r="T128" s="32">
        <f t="shared" si="36"/>
        <v>0.89964131736297126</v>
      </c>
      <c r="W128" s="40">
        <v>43292.242372685185</v>
      </c>
      <c r="X128" s="50">
        <f t="shared" si="37"/>
        <v>18.583611111156642</v>
      </c>
      <c r="Y128">
        <v>0</v>
      </c>
      <c r="Z128">
        <v>8.23</v>
      </c>
      <c r="AA128" s="32">
        <f t="shared" si="38"/>
        <v>0</v>
      </c>
      <c r="AB128" s="32">
        <f t="shared" si="39"/>
        <v>8.3833803152851098E-3</v>
      </c>
      <c r="AD128" s="40">
        <v>43292.24322916667</v>
      </c>
      <c r="AE128" s="50">
        <f t="shared" si="40"/>
        <v>18.604166666802485</v>
      </c>
      <c r="AF128">
        <v>1220.1199999999999</v>
      </c>
      <c r="AG128">
        <v>1204.04</v>
      </c>
      <c r="AH128" s="32">
        <f t="shared" si="41"/>
        <v>1.0830100322386478</v>
      </c>
      <c r="AI128" s="32">
        <f t="shared" si="42"/>
        <v>1.2264793723956116</v>
      </c>
      <c r="AK128" s="40">
        <v>43292.244074074071</v>
      </c>
      <c r="AL128" s="50">
        <f t="shared" si="43"/>
        <v>18.624444444430992</v>
      </c>
      <c r="AM128">
        <v>545.23</v>
      </c>
      <c r="AN128">
        <v>594.92999999999995</v>
      </c>
      <c r="AO128" s="32">
        <f t="shared" si="44"/>
        <v>0.48396023331924559</v>
      </c>
      <c r="AP128" s="32">
        <f t="shared" si="45"/>
        <v>0.60601755175851391</v>
      </c>
    </row>
    <row r="129" spans="1:47" x14ac:dyDescent="0.2">
      <c r="A129" s="40">
        <v>43292.250636574077</v>
      </c>
      <c r="B129" s="50">
        <f t="shared" si="28"/>
        <v>18.781944444577675</v>
      </c>
      <c r="C129">
        <v>53.67</v>
      </c>
      <c r="D129">
        <v>34.619999999999997</v>
      </c>
      <c r="E129" s="32">
        <f t="shared" si="48"/>
        <v>3.7690959060230983E-2</v>
      </c>
      <c r="F129" s="32">
        <f t="shared" si="49"/>
        <v>2.7901146944917139E-2</v>
      </c>
      <c r="H129" s="40">
        <v>43292.251493055555</v>
      </c>
      <c r="I129" s="50">
        <f t="shared" si="31"/>
        <v>18.802500000048894</v>
      </c>
      <c r="J129">
        <v>125320.05</v>
      </c>
      <c r="K129">
        <v>112117.93</v>
      </c>
      <c r="L129" s="32">
        <f t="shared" si="46"/>
        <v>224.00504696110593</v>
      </c>
      <c r="M129" s="32">
        <f t="shared" si="47"/>
        <v>229.98616661701359</v>
      </c>
      <c r="O129" s="40">
        <v>43292.252337962964</v>
      </c>
      <c r="P129" s="50">
        <f t="shared" si="34"/>
        <v>18.822777777852025</v>
      </c>
      <c r="Q129">
        <v>1404.68</v>
      </c>
      <c r="R129">
        <v>1298.55</v>
      </c>
      <c r="S129" s="32">
        <f t="shared" si="35"/>
        <v>0.80320475845309725</v>
      </c>
      <c r="T129" s="32">
        <f t="shared" si="36"/>
        <v>0.85211252728828002</v>
      </c>
      <c r="W129" s="40">
        <v>43292.258877314816</v>
      </c>
      <c r="X129" s="50">
        <f t="shared" si="37"/>
        <v>18.979722222313285</v>
      </c>
      <c r="Y129">
        <v>0</v>
      </c>
      <c r="Z129">
        <v>3.12</v>
      </c>
      <c r="AA129" s="32">
        <f t="shared" si="38"/>
        <v>0</v>
      </c>
      <c r="AB129" s="32">
        <f t="shared" si="39"/>
        <v>3.1781466079817181E-3</v>
      </c>
      <c r="AD129" s="40">
        <v>43292.259722222225</v>
      </c>
      <c r="AE129" s="50">
        <f t="shared" si="40"/>
        <v>19.000000000116415</v>
      </c>
      <c r="AF129">
        <v>1131.6600000000001</v>
      </c>
      <c r="AG129">
        <v>1225.51</v>
      </c>
      <c r="AH129" s="32">
        <f t="shared" si="41"/>
        <v>1.004490650987762</v>
      </c>
      <c r="AI129" s="32">
        <f t="shared" si="42"/>
        <v>1.2483495030601524</v>
      </c>
      <c r="AK129" s="40">
        <v>43292.260578703703</v>
      </c>
      <c r="AL129" s="50">
        <f t="shared" si="43"/>
        <v>19.020555555587634</v>
      </c>
      <c r="AM129">
        <v>540.94000000000005</v>
      </c>
      <c r="AN129">
        <v>631.63</v>
      </c>
      <c r="AO129" s="32">
        <f t="shared" si="44"/>
        <v>0.48015231849258611</v>
      </c>
      <c r="AP129" s="32">
        <f t="shared" si="45"/>
        <v>0.64340151987163219</v>
      </c>
    </row>
    <row r="130" spans="1:47" x14ac:dyDescent="0.2">
      <c r="A130" s="40">
        <v>43292.267129629632</v>
      </c>
      <c r="B130" s="50">
        <f t="shared" si="28"/>
        <v>19.177777777891606</v>
      </c>
      <c r="C130">
        <v>58.66</v>
      </c>
      <c r="D130">
        <v>54.47</v>
      </c>
      <c r="E130" s="32">
        <f t="shared" si="48"/>
        <v>4.1195298276004273E-2</v>
      </c>
      <c r="F130" s="32">
        <f t="shared" si="49"/>
        <v>4.3898771637482278E-2</v>
      </c>
      <c r="H130" s="40">
        <v>43292.267974537041</v>
      </c>
      <c r="I130" s="50">
        <f t="shared" si="31"/>
        <v>19.198055555694737</v>
      </c>
      <c r="J130">
        <v>125322.96</v>
      </c>
      <c r="K130">
        <v>113183.37</v>
      </c>
      <c r="L130" s="32">
        <f t="shared" si="46"/>
        <v>224.01024848062863</v>
      </c>
      <c r="M130" s="32">
        <f t="shared" si="47"/>
        <v>232.17169092486009</v>
      </c>
      <c r="O130" s="40">
        <v>43292.268831018519</v>
      </c>
      <c r="P130" s="50">
        <f t="shared" si="34"/>
        <v>19.218611111165956</v>
      </c>
      <c r="Q130">
        <v>1433.27</v>
      </c>
      <c r="R130">
        <v>1225.92</v>
      </c>
      <c r="S130" s="32">
        <f t="shared" si="35"/>
        <v>0.81955269822882837</v>
      </c>
      <c r="T130" s="32">
        <f t="shared" si="36"/>
        <v>0.80445249659485452</v>
      </c>
      <c r="W130" s="40">
        <v>43292.275370370371</v>
      </c>
      <c r="X130" s="50">
        <f t="shared" si="37"/>
        <v>19.375555555627216</v>
      </c>
      <c r="Y130">
        <v>0</v>
      </c>
      <c r="Z130">
        <v>8.23</v>
      </c>
      <c r="AA130" s="32">
        <f t="shared" si="38"/>
        <v>0</v>
      </c>
      <c r="AB130" s="32">
        <f t="shared" si="39"/>
        <v>8.3833803152851098E-3</v>
      </c>
      <c r="AD130" s="40">
        <v>43292.27621527778</v>
      </c>
      <c r="AE130" s="50">
        <f t="shared" si="40"/>
        <v>19.395833333430346</v>
      </c>
      <c r="AF130">
        <v>1175.29</v>
      </c>
      <c r="AG130">
        <v>1241.17</v>
      </c>
      <c r="AH130" s="32">
        <f t="shared" si="41"/>
        <v>1.0432177661129727</v>
      </c>
      <c r="AI130" s="32">
        <f t="shared" si="42"/>
        <v>1.2643013543040607</v>
      </c>
      <c r="AK130" s="40">
        <v>43292.277071759258</v>
      </c>
      <c r="AL130" s="50">
        <f t="shared" si="43"/>
        <v>19.416388888901565</v>
      </c>
      <c r="AM130">
        <v>510.75</v>
      </c>
      <c r="AN130">
        <v>575.03</v>
      </c>
      <c r="AO130" s="32">
        <f t="shared" si="44"/>
        <v>0.45335489457257427</v>
      </c>
      <c r="AP130" s="32">
        <f t="shared" si="45"/>
        <v>0.58574668076529723</v>
      </c>
    </row>
    <row r="131" spans="1:47" x14ac:dyDescent="0.2">
      <c r="A131" s="40">
        <v>43292.283622685187</v>
      </c>
      <c r="B131" s="50">
        <f t="shared" si="28"/>
        <v>19.573611111205537</v>
      </c>
      <c r="C131">
        <v>46.67</v>
      </c>
      <c r="D131">
        <v>42.08</v>
      </c>
      <c r="E131" s="32">
        <f t="shared" si="48"/>
        <v>3.2775052344717344E-2</v>
      </c>
      <c r="F131" s="32">
        <f t="shared" si="49"/>
        <v>3.3913352496883688E-2</v>
      </c>
      <c r="H131" s="40">
        <v>43292.284467592595</v>
      </c>
      <c r="I131" s="50">
        <f t="shared" si="31"/>
        <v>19.593888889008667</v>
      </c>
      <c r="J131">
        <v>125582.54</v>
      </c>
      <c r="K131">
        <v>112304.5</v>
      </c>
      <c r="L131" s="32">
        <f t="shared" si="46"/>
        <v>224.47423832176068</v>
      </c>
      <c r="M131" s="32">
        <f t="shared" si="47"/>
        <v>230.36887542287309</v>
      </c>
      <c r="O131" s="40">
        <v>43292.285324074073</v>
      </c>
      <c r="P131" s="50">
        <f t="shared" si="34"/>
        <v>19.614444444479886</v>
      </c>
      <c r="Q131">
        <v>1439.67</v>
      </c>
      <c r="R131">
        <v>1286.76</v>
      </c>
      <c r="S131" s="32">
        <f t="shared" si="35"/>
        <v>0.82321225802472497</v>
      </c>
      <c r="T131" s="32">
        <f t="shared" si="36"/>
        <v>0.8443758928138827</v>
      </c>
      <c r="W131" s="40">
        <v>43292.291863425926</v>
      </c>
      <c r="X131" s="50">
        <f t="shared" si="37"/>
        <v>19.771388888941146</v>
      </c>
      <c r="Y131">
        <v>0</v>
      </c>
      <c r="Z131">
        <v>0</v>
      </c>
      <c r="AA131" s="32">
        <f t="shared" si="38"/>
        <v>0</v>
      </c>
      <c r="AB131" s="32">
        <f t="shared" si="39"/>
        <v>0</v>
      </c>
      <c r="AD131" s="40">
        <v>43292.292708333334</v>
      </c>
      <c r="AE131" s="50">
        <f t="shared" si="40"/>
        <v>19.791666666744277</v>
      </c>
      <c r="AF131">
        <v>1206.33</v>
      </c>
      <c r="AG131">
        <v>1196.5999999999999</v>
      </c>
      <c r="AH131" s="32">
        <f t="shared" si="41"/>
        <v>1.0707696719916464</v>
      </c>
      <c r="AI131" s="32">
        <f t="shared" si="42"/>
        <v>1.2189007150996551</v>
      </c>
      <c r="AK131" s="40">
        <v>43292.293564814812</v>
      </c>
      <c r="AL131" s="50">
        <f t="shared" si="43"/>
        <v>19.812222222215496</v>
      </c>
      <c r="AM131">
        <v>505.89</v>
      </c>
      <c r="AN131">
        <v>597.67999999999995</v>
      </c>
      <c r="AO131" s="32">
        <f t="shared" si="44"/>
        <v>0.44904103302069426</v>
      </c>
      <c r="AP131" s="32">
        <f t="shared" si="45"/>
        <v>0.60881880277516442</v>
      </c>
    </row>
    <row r="132" spans="1:47" x14ac:dyDescent="0.2">
      <c r="A132" s="40">
        <v>43292.300115740742</v>
      </c>
      <c r="B132" s="50">
        <f t="shared" si="28"/>
        <v>19.969444444519468</v>
      </c>
      <c r="C132">
        <v>56.15</v>
      </c>
      <c r="D132">
        <v>45.28</v>
      </c>
      <c r="E132" s="32">
        <f t="shared" si="48"/>
        <v>3.9432594582298669E-2</v>
      </c>
      <c r="F132" s="32">
        <f t="shared" si="49"/>
        <v>3.6492314663947083E-2</v>
      </c>
      <c r="G132" s="61"/>
      <c r="H132" s="40">
        <v>43292.30096064815</v>
      </c>
      <c r="I132" s="50">
        <f t="shared" si="31"/>
        <v>19.989722222322598</v>
      </c>
      <c r="J132">
        <v>124778.25</v>
      </c>
      <c r="K132">
        <v>112007.54</v>
      </c>
      <c r="L132" s="32">
        <f t="shared" si="46"/>
        <v>223.03659909946268</v>
      </c>
      <c r="M132" s="32">
        <f t="shared" si="47"/>
        <v>229.75972493250467</v>
      </c>
      <c r="N132" s="61"/>
      <c r="O132" s="40">
        <v>43292.301817129628</v>
      </c>
      <c r="P132" s="50">
        <f t="shared" si="34"/>
        <v>20.010277777793817</v>
      </c>
      <c r="Q132">
        <v>1418.15</v>
      </c>
      <c r="R132">
        <v>1333.11</v>
      </c>
      <c r="S132" s="32">
        <f t="shared" si="35"/>
        <v>0.81090698821102303</v>
      </c>
      <c r="T132" s="32">
        <f t="shared" si="36"/>
        <v>0.87479090620559785</v>
      </c>
      <c r="U132" s="61"/>
      <c r="V132" s="61"/>
      <c r="W132" s="40">
        <v>43292.308449074073</v>
      </c>
      <c r="X132" s="50">
        <f t="shared" si="37"/>
        <v>20.169444444472902</v>
      </c>
      <c r="Y132">
        <v>0</v>
      </c>
      <c r="Z132">
        <v>13.36</v>
      </c>
      <c r="AA132" s="32">
        <f t="shared" si="38"/>
        <v>0</v>
      </c>
      <c r="AB132" s="32">
        <f t="shared" si="39"/>
        <v>1.3608986757255049E-2</v>
      </c>
      <c r="AC132" s="61"/>
      <c r="AD132" s="40">
        <v>43292.309305555558</v>
      </c>
      <c r="AE132" s="50">
        <f t="shared" si="40"/>
        <v>20.190000000118744</v>
      </c>
      <c r="AF132">
        <v>1174.24</v>
      </c>
      <c r="AG132">
        <v>1195.05</v>
      </c>
      <c r="AH132" s="32">
        <f t="shared" si="41"/>
        <v>1.0422857589875665</v>
      </c>
      <c r="AI132" s="32">
        <f t="shared" si="42"/>
        <v>1.2173218281629976</v>
      </c>
      <c r="AJ132" s="61"/>
      <c r="AK132" s="40">
        <v>43292.310150462959</v>
      </c>
      <c r="AL132" s="50">
        <f t="shared" si="43"/>
        <v>20.210277777747251</v>
      </c>
      <c r="AM132">
        <v>552.47</v>
      </c>
      <c r="AN132">
        <v>578.58000000000004</v>
      </c>
      <c r="AO132" s="32">
        <f t="shared" si="44"/>
        <v>0.4903866443553796</v>
      </c>
      <c r="AP132" s="32">
        <f t="shared" si="45"/>
        <v>0.58936284116860982</v>
      </c>
      <c r="AQ132" s="61"/>
      <c r="AR132" s="61"/>
      <c r="AS132" s="61"/>
      <c r="AT132" s="61"/>
      <c r="AU132" s="61"/>
    </row>
    <row r="133" spans="1:47" x14ac:dyDescent="0.2">
      <c r="A133" s="40">
        <v>43292.316562499997</v>
      </c>
      <c r="B133" s="50">
        <f t="shared" si="28"/>
        <v>20.364166666637175</v>
      </c>
      <c r="C133">
        <v>47.63</v>
      </c>
      <c r="D133">
        <v>44.2</v>
      </c>
      <c r="E133" s="32">
        <f t="shared" si="48"/>
        <v>3.3449233837130644E-2</v>
      </c>
      <c r="F133" s="32">
        <f t="shared" si="49"/>
        <v>3.5621914932563191E-2</v>
      </c>
      <c r="G133" s="61"/>
      <c r="H133" s="40">
        <v>43292.317418981482</v>
      </c>
      <c r="I133" s="50">
        <f t="shared" si="31"/>
        <v>20.384722222283017</v>
      </c>
      <c r="J133">
        <v>125081.99</v>
      </c>
      <c r="K133">
        <v>112284</v>
      </c>
      <c r="L133" s="32">
        <f t="shared" si="46"/>
        <v>223.57952333994908</v>
      </c>
      <c r="M133" s="32">
        <f t="shared" si="47"/>
        <v>230.3268240184666</v>
      </c>
      <c r="N133" s="61"/>
      <c r="O133" s="40">
        <v>43292.31826388889</v>
      </c>
      <c r="P133" s="50">
        <f t="shared" si="34"/>
        <v>20.405000000086147</v>
      </c>
      <c r="Q133">
        <v>1426.76</v>
      </c>
      <c r="R133">
        <v>1234.3900000000001</v>
      </c>
      <c r="S133" s="32">
        <f t="shared" si="35"/>
        <v>0.81583023974893998</v>
      </c>
      <c r="T133" s="32">
        <f t="shared" si="36"/>
        <v>0.81001053679825974</v>
      </c>
      <c r="U133" s="61"/>
      <c r="V133" s="61"/>
      <c r="W133" s="40">
        <v>43292.324803240743</v>
      </c>
      <c r="X133" s="50">
        <f t="shared" si="37"/>
        <v>20.561944444547407</v>
      </c>
      <c r="Y133">
        <v>0</v>
      </c>
      <c r="Z133">
        <v>8.23</v>
      </c>
      <c r="AA133" s="32">
        <f t="shared" si="38"/>
        <v>0</v>
      </c>
      <c r="AB133" s="32">
        <f t="shared" si="39"/>
        <v>8.3833803152851098E-3</v>
      </c>
      <c r="AC133" s="61"/>
      <c r="AD133" s="40">
        <v>43292.325659722221</v>
      </c>
      <c r="AE133" s="50">
        <f t="shared" si="40"/>
        <v>20.582500000018626</v>
      </c>
      <c r="AF133">
        <v>1179.18</v>
      </c>
      <c r="AG133">
        <v>1262.46</v>
      </c>
      <c r="AH133" s="32">
        <f t="shared" si="41"/>
        <v>1.0466706306061442</v>
      </c>
      <c r="AI133" s="32">
        <f t="shared" si="42"/>
        <v>1.2859881303566025</v>
      </c>
      <c r="AJ133" s="61"/>
      <c r="AK133" s="40">
        <v>43292.326504629629</v>
      </c>
      <c r="AL133" s="50">
        <f t="shared" si="43"/>
        <v>20.602777777821757</v>
      </c>
      <c r="AM133">
        <v>518.87</v>
      </c>
      <c r="AN133">
        <v>595.86</v>
      </c>
      <c r="AO133" s="32">
        <f t="shared" si="44"/>
        <v>0.46056241634238204</v>
      </c>
      <c r="AP133" s="32">
        <f t="shared" si="45"/>
        <v>0.60696488392050862</v>
      </c>
      <c r="AQ133" s="61"/>
      <c r="AR133" s="61"/>
      <c r="AS133" s="61"/>
      <c r="AT133" s="61"/>
      <c r="AU133" s="61"/>
    </row>
    <row r="134" spans="1:47" x14ac:dyDescent="0.2">
      <c r="A134" s="40">
        <v>43292.333067129628</v>
      </c>
      <c r="B134" s="50">
        <f t="shared" si="28"/>
        <v>20.760277777793817</v>
      </c>
      <c r="C134">
        <v>52.67</v>
      </c>
      <c r="D134">
        <v>48.07</v>
      </c>
      <c r="E134" s="32">
        <f t="shared" si="48"/>
        <v>3.6988686672300458E-2</v>
      </c>
      <c r="F134" s="32">
        <f t="shared" si="49"/>
        <v>3.8740847303355481E-2</v>
      </c>
      <c r="G134" s="61"/>
      <c r="H134" s="40">
        <v>43292.333923611113</v>
      </c>
      <c r="I134" s="50">
        <f t="shared" si="31"/>
        <v>20.780833333439659</v>
      </c>
      <c r="J134">
        <v>125550.83</v>
      </c>
      <c r="K134">
        <v>112111.1</v>
      </c>
      <c r="L134" s="32">
        <f t="shared" si="46"/>
        <v>224.41755784613738</v>
      </c>
      <c r="M134" s="32">
        <f t="shared" si="47"/>
        <v>229.97215631983821</v>
      </c>
      <c r="N134" s="61"/>
      <c r="O134" s="40">
        <v>43292.334768518522</v>
      </c>
      <c r="P134" s="50">
        <f t="shared" si="34"/>
        <v>20.80111111124279</v>
      </c>
      <c r="Q134">
        <v>1484.08</v>
      </c>
      <c r="R134">
        <v>1255.72</v>
      </c>
      <c r="S134" s="32">
        <f t="shared" si="35"/>
        <v>0.84860617217093759</v>
      </c>
      <c r="T134" s="32">
        <f t="shared" si="36"/>
        <v>0.82400734878629178</v>
      </c>
      <c r="U134" s="61"/>
      <c r="V134" s="61"/>
      <c r="W134" s="40">
        <v>43292.341307870367</v>
      </c>
      <c r="X134" s="50">
        <f t="shared" si="37"/>
        <v>20.958055555529427</v>
      </c>
      <c r="Y134">
        <v>2.69</v>
      </c>
      <c r="Z134">
        <v>0</v>
      </c>
      <c r="AA134" s="32">
        <f t="shared" si="38"/>
        <v>2.3877134927072436E-3</v>
      </c>
      <c r="AB134" s="32">
        <f t="shared" si="39"/>
        <v>0</v>
      </c>
      <c r="AC134" s="61"/>
      <c r="AD134" s="40">
        <v>43292.342164351852</v>
      </c>
      <c r="AE134" s="50">
        <f t="shared" si="40"/>
        <v>20.978611111175269</v>
      </c>
      <c r="AF134">
        <v>1181.74</v>
      </c>
      <c r="AG134">
        <v>1196.75</v>
      </c>
      <c r="AH134" s="32">
        <f t="shared" si="41"/>
        <v>1.0489429527404679</v>
      </c>
      <c r="AI134" s="32">
        <f t="shared" si="42"/>
        <v>1.2190535106096543</v>
      </c>
      <c r="AJ134" s="61"/>
      <c r="AK134" s="40">
        <v>43292.34302083333</v>
      </c>
      <c r="AL134" s="50">
        <f t="shared" si="43"/>
        <v>20.999166666646488</v>
      </c>
      <c r="AM134">
        <v>595.47</v>
      </c>
      <c r="AN134">
        <v>531.51</v>
      </c>
      <c r="AO134" s="32">
        <f t="shared" si="44"/>
        <v>0.52855455520534667</v>
      </c>
      <c r="AP134" s="32">
        <f t="shared" si="45"/>
        <v>0.54141561013088557</v>
      </c>
      <c r="AQ134" s="61"/>
      <c r="AR134" s="61"/>
      <c r="AS134" s="61"/>
      <c r="AT134" s="61"/>
      <c r="AU134" s="61"/>
    </row>
    <row r="135" spans="1:47" x14ac:dyDescent="0.2">
      <c r="A135" s="40">
        <v>43292.349560185183</v>
      </c>
      <c r="B135" s="50">
        <f t="shared" si="28"/>
        <v>21.156111111107748</v>
      </c>
      <c r="C135">
        <v>75.63</v>
      </c>
      <c r="D135">
        <v>35.68</v>
      </c>
      <c r="E135" s="32">
        <f t="shared" si="48"/>
        <v>5.311286069918518E-2</v>
      </c>
      <c r="F135" s="32">
        <f t="shared" si="49"/>
        <v>2.8755428162756891E-2</v>
      </c>
      <c r="G135" s="61"/>
      <c r="H135" s="40">
        <v>43292.350405092591</v>
      </c>
      <c r="I135" s="50">
        <f t="shared" si="31"/>
        <v>21.176388888910878</v>
      </c>
      <c r="J135">
        <v>124704.9</v>
      </c>
      <c r="K135">
        <v>111914.65</v>
      </c>
      <c r="L135" s="32">
        <f t="shared" si="46"/>
        <v>222.90548863314385</v>
      </c>
      <c r="M135" s="32">
        <f t="shared" si="47"/>
        <v>229.56918078834281</v>
      </c>
      <c r="N135" s="61"/>
      <c r="O135" s="40">
        <v>43292.351261574076</v>
      </c>
      <c r="P135" s="50">
        <f t="shared" si="34"/>
        <v>21.196944444556721</v>
      </c>
      <c r="Q135">
        <v>1445.18</v>
      </c>
      <c r="R135">
        <v>1255.2</v>
      </c>
      <c r="S135" s="32">
        <f t="shared" si="35"/>
        <v>0.82636291028650444</v>
      </c>
      <c r="T135" s="32">
        <f t="shared" si="36"/>
        <v>0.82366612317758203</v>
      </c>
      <c r="U135" s="61"/>
      <c r="V135" s="61"/>
      <c r="W135" s="40">
        <v>43292.357800925929</v>
      </c>
      <c r="X135" s="50">
        <f t="shared" si="37"/>
        <v>21.353888889017981</v>
      </c>
      <c r="Y135">
        <v>16.170000000000002</v>
      </c>
      <c r="Z135">
        <v>5.67</v>
      </c>
      <c r="AA135" s="32">
        <f t="shared" si="38"/>
        <v>1.4352909731255067E-2</v>
      </c>
      <c r="AB135" s="32">
        <f t="shared" si="39"/>
        <v>5.7756702779667764E-3</v>
      </c>
      <c r="AC135" s="61"/>
      <c r="AD135" s="40">
        <v>43292.358657407407</v>
      </c>
      <c r="AE135" s="50">
        <f t="shared" si="40"/>
        <v>21.3744444444892</v>
      </c>
      <c r="AF135">
        <v>1205.42</v>
      </c>
      <c r="AG135">
        <v>1267.5899999999999</v>
      </c>
      <c r="AH135" s="32">
        <f t="shared" si="41"/>
        <v>1.0699619324829612</v>
      </c>
      <c r="AI135" s="32">
        <f t="shared" si="42"/>
        <v>1.2912137367985725</v>
      </c>
      <c r="AJ135" s="61"/>
      <c r="AK135" s="40">
        <v>43292.359513888892</v>
      </c>
      <c r="AL135" s="50">
        <f t="shared" si="43"/>
        <v>21.395000000135042</v>
      </c>
      <c r="AM135">
        <v>538.38</v>
      </c>
      <c r="AN135">
        <v>606.74</v>
      </c>
      <c r="AO135" s="32">
        <f t="shared" si="44"/>
        <v>0.47787999635826239</v>
      </c>
      <c r="AP135" s="32">
        <f t="shared" si="45"/>
        <v>0.61804765157911146</v>
      </c>
      <c r="AQ135" s="61"/>
      <c r="AR135" s="61"/>
      <c r="AS135" s="61"/>
      <c r="AT135" s="61"/>
      <c r="AU135" s="61"/>
    </row>
    <row r="136" spans="1:47" x14ac:dyDescent="0.2">
      <c r="A136" s="40">
        <v>43292.366076388891</v>
      </c>
      <c r="B136" s="50">
        <f t="shared" si="28"/>
        <v>21.552500000107102</v>
      </c>
      <c r="C136">
        <v>57.15</v>
      </c>
      <c r="D136">
        <v>49.55</v>
      </c>
      <c r="E136" s="32">
        <f t="shared" si="48"/>
        <v>4.0134866970229187E-2</v>
      </c>
      <c r="F136" s="32">
        <f t="shared" si="49"/>
        <v>3.9933617305622303E-2</v>
      </c>
      <c r="G136" s="61"/>
      <c r="H136" s="40">
        <v>43292.3669212963</v>
      </c>
      <c r="I136" s="50">
        <f t="shared" si="31"/>
        <v>21.572777777910233</v>
      </c>
      <c r="J136">
        <v>124958.18</v>
      </c>
      <c r="K136">
        <v>111402.18</v>
      </c>
      <c r="L136" s="32">
        <f t="shared" si="46"/>
        <v>223.35821745262891</v>
      </c>
      <c r="M136" s="32">
        <f t="shared" si="47"/>
        <v>228.51795721682109</v>
      </c>
      <c r="N136" s="61"/>
      <c r="O136" s="40">
        <v>43292.367777777778</v>
      </c>
      <c r="P136" s="50">
        <f t="shared" si="34"/>
        <v>21.593333333381452</v>
      </c>
      <c r="Q136">
        <v>1379.39</v>
      </c>
      <c r="R136">
        <v>1275.78</v>
      </c>
      <c r="S136" s="32">
        <f t="shared" si="35"/>
        <v>0.78874377919712524</v>
      </c>
      <c r="T136" s="32">
        <f t="shared" si="36"/>
        <v>0.83717078284535984</v>
      </c>
      <c r="U136" s="61"/>
      <c r="V136" s="61"/>
      <c r="W136" s="40">
        <v>43292.37431712963</v>
      </c>
      <c r="X136" s="50">
        <f t="shared" si="37"/>
        <v>21.750277777842712</v>
      </c>
      <c r="Y136">
        <v>0</v>
      </c>
      <c r="Z136">
        <v>8.23</v>
      </c>
      <c r="AA136" s="32">
        <f t="shared" si="38"/>
        <v>0</v>
      </c>
      <c r="AB136" s="32">
        <f t="shared" si="39"/>
        <v>8.3833803152851098E-3</v>
      </c>
      <c r="AC136" s="61"/>
      <c r="AD136" s="40">
        <v>43292.375162037039</v>
      </c>
      <c r="AE136" s="50">
        <f t="shared" si="40"/>
        <v>21.770555555645842</v>
      </c>
      <c r="AF136">
        <v>1155.69</v>
      </c>
      <c r="AG136">
        <v>1250.4100000000001</v>
      </c>
      <c r="AH136" s="32">
        <f t="shared" si="41"/>
        <v>1.0258202997720576</v>
      </c>
      <c r="AI136" s="32">
        <f t="shared" si="42"/>
        <v>1.2737135577200065</v>
      </c>
      <c r="AJ136" s="61"/>
      <c r="AK136" s="40">
        <v>43292.376018518517</v>
      </c>
      <c r="AL136" s="50">
        <f t="shared" si="43"/>
        <v>21.791111111117061</v>
      </c>
      <c r="AM136">
        <v>528.4</v>
      </c>
      <c r="AN136">
        <v>574.69000000000005</v>
      </c>
      <c r="AO136" s="32">
        <f t="shared" si="44"/>
        <v>0.46902149053773512</v>
      </c>
      <c r="AP136" s="32">
        <f t="shared" si="45"/>
        <v>0.58540034427596599</v>
      </c>
      <c r="AQ136" s="61"/>
      <c r="AR136" s="61"/>
      <c r="AS136" s="61"/>
      <c r="AT136" s="61"/>
      <c r="AU136" s="61"/>
    </row>
    <row r="137" spans="1:47" x14ac:dyDescent="0.2">
      <c r="A137" s="40">
        <v>43292.382569444446</v>
      </c>
      <c r="B137" s="50">
        <f t="shared" si="28"/>
        <v>21.948333333421033</v>
      </c>
      <c r="C137">
        <v>36.659999999999997</v>
      </c>
      <c r="D137">
        <v>38.67</v>
      </c>
      <c r="E137" s="32">
        <f t="shared" si="48"/>
        <v>2.5745305741532842E-2</v>
      </c>
      <c r="F137" s="32">
        <f t="shared" si="49"/>
        <v>3.1165145937606754E-2</v>
      </c>
      <c r="G137" s="61"/>
      <c r="H137" s="40">
        <v>43292.383414351854</v>
      </c>
      <c r="I137" s="50">
        <f t="shared" si="31"/>
        <v>21.968611111224163</v>
      </c>
      <c r="J137">
        <v>124636.97</v>
      </c>
      <c r="K137">
        <v>111338.11</v>
      </c>
      <c r="L137" s="32">
        <f t="shared" si="46"/>
        <v>222.784066220369</v>
      </c>
      <c r="M137" s="32">
        <f t="shared" si="47"/>
        <v>228.38653119339065</v>
      </c>
      <c r="N137" s="61"/>
      <c r="O137" s="40">
        <v>43292.384270833332</v>
      </c>
      <c r="P137" s="50">
        <f t="shared" si="34"/>
        <v>21.989166666695382</v>
      </c>
      <c r="Q137">
        <v>1397.65</v>
      </c>
      <c r="R137">
        <v>1303.42</v>
      </c>
      <c r="S137" s="32">
        <f t="shared" si="35"/>
        <v>0.79918496073979228</v>
      </c>
      <c r="T137" s="32">
        <f t="shared" si="36"/>
        <v>0.85530823635446473</v>
      </c>
      <c r="U137" s="61"/>
      <c r="V137" s="61"/>
      <c r="W137" s="40">
        <v>43292.390810185185</v>
      </c>
      <c r="X137" s="50">
        <f t="shared" si="37"/>
        <v>22.146111111156642</v>
      </c>
      <c r="Y137">
        <v>27.66</v>
      </c>
      <c r="Z137">
        <v>0</v>
      </c>
      <c r="AA137" s="32">
        <f t="shared" si="38"/>
        <v>2.4551730560699765E-2</v>
      </c>
      <c r="AB137" s="32">
        <f t="shared" si="39"/>
        <v>0</v>
      </c>
      <c r="AC137" s="61"/>
      <c r="AD137" s="40">
        <v>43292.391655092593</v>
      </c>
      <c r="AE137" s="50">
        <f t="shared" si="40"/>
        <v>22.166388888959773</v>
      </c>
      <c r="AF137">
        <v>1189.2</v>
      </c>
      <c r="AG137">
        <v>1206.28</v>
      </c>
      <c r="AH137" s="32">
        <f t="shared" si="41"/>
        <v>1.0555646414600202</v>
      </c>
      <c r="AI137" s="32">
        <f t="shared" si="42"/>
        <v>1.2287611186782652</v>
      </c>
      <c r="AJ137" s="61"/>
      <c r="AK137" s="40">
        <v>43292.392511574071</v>
      </c>
      <c r="AL137" s="50">
        <f t="shared" si="43"/>
        <v>22.186944444430992</v>
      </c>
      <c r="AM137">
        <v>550.4</v>
      </c>
      <c r="AN137">
        <v>591.05999999999995</v>
      </c>
      <c r="AO137" s="32">
        <f t="shared" si="44"/>
        <v>0.48854925887957884</v>
      </c>
      <c r="AP137" s="32">
        <f t="shared" si="45"/>
        <v>0.60207542760053656</v>
      </c>
      <c r="AQ137" s="61"/>
      <c r="AR137" s="61"/>
      <c r="AS137" s="61"/>
      <c r="AT137" s="61"/>
      <c r="AU137" s="61"/>
    </row>
    <row r="138" spans="1:47" x14ac:dyDescent="0.2">
      <c r="A138" s="61"/>
      <c r="B138" s="61"/>
      <c r="C138" s="61"/>
      <c r="D138" s="61"/>
      <c r="E138" s="61"/>
      <c r="F138" s="61"/>
      <c r="G138" s="61"/>
      <c r="H138" s="61"/>
      <c r="I138" s="61"/>
      <c r="J138" s="61"/>
      <c r="K138" s="61"/>
      <c r="L138" s="61"/>
      <c r="M138" s="61"/>
      <c r="N138" s="61"/>
      <c r="O138" s="61"/>
      <c r="P138" s="61"/>
      <c r="Q138" s="61"/>
      <c r="R138" s="61"/>
      <c r="S138" s="61"/>
      <c r="T138" s="61"/>
      <c r="U138" s="61"/>
      <c r="V138" s="61"/>
      <c r="W138" s="61"/>
      <c r="X138" s="61"/>
      <c r="Y138" s="61"/>
      <c r="Z138" s="61"/>
      <c r="AA138" s="61"/>
      <c r="AB138" s="61"/>
      <c r="AC138" s="61"/>
      <c r="AD138" s="61"/>
      <c r="AE138" s="61"/>
      <c r="AF138" s="61"/>
      <c r="AG138" s="61"/>
      <c r="AH138" s="61"/>
      <c r="AI138" s="61"/>
      <c r="AJ138" s="61"/>
      <c r="AK138" s="61"/>
      <c r="AL138" s="61"/>
      <c r="AM138" s="61"/>
      <c r="AN138" s="61"/>
      <c r="AO138" s="61"/>
      <c r="AP138" s="61"/>
      <c r="AQ138" s="61"/>
      <c r="AR138" s="61"/>
      <c r="AS138" s="61"/>
      <c r="AT138" s="61"/>
      <c r="AU138" s="61"/>
    </row>
    <row r="139" spans="1:47" x14ac:dyDescent="0.2">
      <c r="A139" s="61"/>
      <c r="B139" s="61"/>
      <c r="C139" s="61"/>
      <c r="D139" s="61"/>
      <c r="E139" s="61"/>
      <c r="F139" s="61"/>
      <c r="G139" s="61"/>
      <c r="H139" s="61"/>
      <c r="I139" s="61"/>
      <c r="J139" s="61"/>
      <c r="K139" s="61"/>
      <c r="L139" s="61"/>
      <c r="M139" s="61"/>
      <c r="N139" s="61"/>
      <c r="O139" s="61"/>
      <c r="P139" s="61"/>
      <c r="Q139" s="61"/>
      <c r="R139" s="61"/>
      <c r="S139" s="61"/>
      <c r="T139" s="61"/>
      <c r="U139" s="61"/>
      <c r="V139" s="61"/>
      <c r="W139" s="61"/>
      <c r="X139" s="61"/>
      <c r="Y139" s="61"/>
      <c r="Z139" s="61"/>
      <c r="AA139" s="61"/>
      <c r="AB139" s="61"/>
      <c r="AC139" s="61"/>
      <c r="AD139" s="61"/>
      <c r="AE139" s="61"/>
      <c r="AF139" s="61"/>
      <c r="AG139" s="61"/>
      <c r="AH139" s="61"/>
      <c r="AI139" s="61"/>
      <c r="AJ139" s="61"/>
      <c r="AK139" s="61"/>
      <c r="AL139" s="61"/>
      <c r="AM139" s="61"/>
      <c r="AN139" s="61"/>
      <c r="AO139" s="61"/>
      <c r="AP139" s="61"/>
      <c r="AQ139" s="61"/>
      <c r="AR139" s="61"/>
      <c r="AS139" s="61"/>
      <c r="AT139" s="61"/>
      <c r="AU139" s="61"/>
    </row>
    <row r="140" spans="1:47" x14ac:dyDescent="0.2">
      <c r="A140" s="61"/>
      <c r="B140" s="61"/>
      <c r="C140" s="61"/>
      <c r="D140" s="61"/>
      <c r="E140" s="61"/>
      <c r="F140" s="61"/>
      <c r="G140" s="61"/>
      <c r="H140" s="61"/>
      <c r="I140" s="61"/>
      <c r="J140" s="61"/>
      <c r="K140" s="61"/>
      <c r="L140" s="61"/>
      <c r="M140" s="61"/>
      <c r="N140" s="61"/>
      <c r="O140" s="61"/>
      <c r="P140" s="61"/>
      <c r="Q140" s="61"/>
      <c r="R140" s="61"/>
      <c r="S140" s="61"/>
      <c r="T140" s="61"/>
      <c r="U140" s="61"/>
      <c r="V140" s="61"/>
      <c r="W140" s="61"/>
      <c r="X140" s="61"/>
      <c r="Y140" s="61"/>
      <c r="Z140" s="61"/>
      <c r="AA140" s="61"/>
      <c r="AB140" s="61"/>
      <c r="AC140" s="61"/>
      <c r="AD140" s="61"/>
      <c r="AE140" s="61"/>
      <c r="AF140" s="61"/>
      <c r="AG140" s="61"/>
      <c r="AH140" s="61"/>
      <c r="AI140" s="61"/>
      <c r="AJ140" s="61"/>
      <c r="AK140" s="61"/>
      <c r="AL140" s="61"/>
      <c r="AM140" s="61"/>
      <c r="AN140" s="61"/>
      <c r="AO140" s="61"/>
      <c r="AP140" s="61"/>
      <c r="AQ140" s="61"/>
      <c r="AR140" s="61"/>
      <c r="AS140" s="61"/>
      <c r="AT140" s="61"/>
      <c r="AU140" s="61"/>
    </row>
    <row r="141" spans="1:47" x14ac:dyDescent="0.2">
      <c r="A141" s="61" t="s">
        <v>82</v>
      </c>
      <c r="B141" s="61"/>
      <c r="C141" s="61"/>
      <c r="D141" s="61"/>
      <c r="E141" s="61"/>
      <c r="F141" s="61"/>
      <c r="G141" s="61"/>
      <c r="H141" s="61" t="s">
        <v>83</v>
      </c>
      <c r="I141" s="61"/>
      <c r="J141" s="61"/>
      <c r="K141" s="61"/>
      <c r="L141" s="61"/>
      <c r="M141" s="61"/>
      <c r="N141" s="61"/>
      <c r="O141" s="61" t="s">
        <v>84</v>
      </c>
      <c r="P141" s="61"/>
      <c r="Q141" s="61"/>
      <c r="R141" s="61"/>
      <c r="S141" s="61"/>
      <c r="T141" s="61"/>
      <c r="U141" s="61"/>
      <c r="V141" s="61"/>
      <c r="W141" s="61" t="s">
        <v>91</v>
      </c>
      <c r="X141" s="61"/>
      <c r="Y141" s="61"/>
      <c r="Z141" s="61"/>
      <c r="AA141" s="61"/>
      <c r="AB141" s="61"/>
      <c r="AC141" s="61"/>
      <c r="AD141" s="61" t="s">
        <v>92</v>
      </c>
      <c r="AE141" s="61"/>
      <c r="AF141" s="61"/>
      <c r="AG141" s="61"/>
      <c r="AH141" s="61"/>
      <c r="AI141" s="61"/>
      <c r="AJ141" s="61"/>
      <c r="AK141" s="61" t="s">
        <v>93</v>
      </c>
      <c r="AL141" s="61"/>
      <c r="AM141" s="61"/>
      <c r="AN141" s="61"/>
      <c r="AO141" s="61"/>
      <c r="AP141" s="61"/>
      <c r="AQ141" s="61"/>
      <c r="AR141" s="61"/>
      <c r="AS141" s="61"/>
      <c r="AT141" s="61"/>
      <c r="AU141" s="61"/>
    </row>
    <row r="142" spans="1:47" x14ac:dyDescent="0.2">
      <c r="A142" s="60" t="s">
        <v>16</v>
      </c>
      <c r="B142" s="61" t="s">
        <v>67</v>
      </c>
      <c r="C142" s="61">
        <f>BioD!D58</f>
        <v>0.35729999999999995</v>
      </c>
      <c r="D142" s="61"/>
      <c r="E142" s="61"/>
      <c r="F142" s="61"/>
      <c r="G142" s="61"/>
      <c r="H142" s="60" t="s">
        <v>20</v>
      </c>
      <c r="I142" s="61" t="s">
        <v>67</v>
      </c>
      <c r="J142" s="61">
        <f>BioD!D60</f>
        <v>0.16099999999999959</v>
      </c>
      <c r="K142" s="61"/>
      <c r="L142" s="61"/>
      <c r="M142" s="61"/>
      <c r="N142" s="61"/>
      <c r="O142" s="60" t="s">
        <v>68</v>
      </c>
      <c r="P142" s="61" t="s">
        <v>67</v>
      </c>
      <c r="Q142" s="61">
        <f>BioD!D66</f>
        <v>0.41629999999999967</v>
      </c>
      <c r="R142" s="61"/>
      <c r="S142" s="61"/>
      <c r="T142" s="61"/>
      <c r="U142" s="61"/>
      <c r="V142" s="61"/>
      <c r="W142" s="60" t="s">
        <v>16</v>
      </c>
      <c r="X142" s="61" t="s">
        <v>67</v>
      </c>
      <c r="Y142" s="61">
        <f>BioD!D112</f>
        <v>0.20250000000000012</v>
      </c>
      <c r="Z142" s="61"/>
      <c r="AA142" s="61"/>
      <c r="AB142" s="61"/>
      <c r="AC142" s="61"/>
      <c r="AD142" s="60" t="s">
        <v>20</v>
      </c>
      <c r="AE142" s="61" t="s">
        <v>67</v>
      </c>
      <c r="AF142" s="61">
        <f>BioD!D114</f>
        <v>0.17350000000000065</v>
      </c>
      <c r="AG142" s="61"/>
      <c r="AH142" s="61"/>
      <c r="AI142" s="61"/>
      <c r="AJ142" s="61"/>
      <c r="AK142" s="60" t="s">
        <v>68</v>
      </c>
      <c r="AL142" s="61" t="s">
        <v>67</v>
      </c>
      <c r="AM142" s="61">
        <f>BioD!D120</f>
        <v>0.43990000000000062</v>
      </c>
      <c r="AN142" s="61"/>
      <c r="AO142" s="61"/>
      <c r="AP142" s="61"/>
      <c r="AQ142" s="61"/>
      <c r="AR142" s="61"/>
      <c r="AS142" s="61"/>
      <c r="AT142" s="61"/>
      <c r="AU142" s="61"/>
    </row>
    <row r="143" spans="1:47" x14ac:dyDescent="0.2">
      <c r="A143" s="61" t="s">
        <v>69</v>
      </c>
      <c r="B143" s="61"/>
      <c r="C143" s="61"/>
      <c r="D143" s="61"/>
      <c r="E143" s="61">
        <v>0.34128999999999998</v>
      </c>
      <c r="F143" s="68"/>
      <c r="G143" s="61"/>
      <c r="H143" s="61" t="s">
        <v>69</v>
      </c>
      <c r="I143" s="61"/>
      <c r="J143" s="61"/>
      <c r="K143" s="61"/>
      <c r="L143" s="61" t="s">
        <v>64</v>
      </c>
      <c r="M143" s="61">
        <f>92.26157*C18/J142</f>
        <v>159.36610321118042</v>
      </c>
      <c r="N143" s="61"/>
      <c r="O143" s="61" t="s">
        <v>69</v>
      </c>
      <c r="P143" s="61"/>
      <c r="Q143" s="61"/>
      <c r="R143" s="61"/>
      <c r="S143" s="61">
        <v>6.9243699999999997</v>
      </c>
      <c r="T143" s="61">
        <f>36.50034*C18/Q142</f>
        <v>24.383244184482344</v>
      </c>
      <c r="U143" s="61"/>
      <c r="V143" s="61"/>
      <c r="W143" t="s">
        <v>69</v>
      </c>
      <c r="AA143" t="s">
        <v>64</v>
      </c>
      <c r="AB143" t="s">
        <v>64</v>
      </c>
      <c r="AD143" t="s">
        <v>69</v>
      </c>
      <c r="AH143" t="s">
        <v>64</v>
      </c>
      <c r="AI143" t="s">
        <v>64</v>
      </c>
      <c r="AK143" s="61" t="s">
        <v>69</v>
      </c>
      <c r="AL143" s="61"/>
      <c r="AM143" s="61"/>
      <c r="AN143" s="61"/>
      <c r="AO143" s="61" t="s">
        <v>64</v>
      </c>
      <c r="AP143" s="61" t="s">
        <v>64</v>
      </c>
      <c r="AQ143" s="61"/>
      <c r="AR143" s="61"/>
      <c r="AS143" s="61"/>
      <c r="AT143" s="61"/>
      <c r="AU143" s="61"/>
    </row>
    <row r="144" spans="1:47" x14ac:dyDescent="0.2">
      <c r="A144" s="61" t="s">
        <v>70</v>
      </c>
      <c r="B144" s="61" t="s">
        <v>71</v>
      </c>
      <c r="C144" s="61" t="s">
        <v>72</v>
      </c>
      <c r="D144" s="61" t="s">
        <v>37</v>
      </c>
      <c r="E144" s="61" t="s">
        <v>38</v>
      </c>
      <c r="F144" s="61" t="s">
        <v>39</v>
      </c>
      <c r="G144" s="61"/>
      <c r="H144" s="61" t="s">
        <v>70</v>
      </c>
      <c r="I144" s="61" t="s">
        <v>71</v>
      </c>
      <c r="J144" s="61" t="s">
        <v>72</v>
      </c>
      <c r="K144" s="61" t="s">
        <v>37</v>
      </c>
      <c r="L144" s="61" t="s">
        <v>38</v>
      </c>
      <c r="M144" s="61" t="s">
        <v>39</v>
      </c>
      <c r="N144" s="61"/>
      <c r="O144" s="61" t="s">
        <v>70</v>
      </c>
      <c r="P144" s="61" t="s">
        <v>71</v>
      </c>
      <c r="Q144" s="61" t="s">
        <v>72</v>
      </c>
      <c r="R144" s="61" t="s">
        <v>37</v>
      </c>
      <c r="S144" s="61" t="s">
        <v>38</v>
      </c>
      <c r="T144" s="61" t="s">
        <v>39</v>
      </c>
      <c r="U144" s="61"/>
      <c r="V144" s="61"/>
      <c r="W144" s="61" t="s">
        <v>70</v>
      </c>
      <c r="X144" s="61" t="s">
        <v>71</v>
      </c>
      <c r="Y144" s="61" t="s">
        <v>72</v>
      </c>
      <c r="Z144" s="61" t="s">
        <v>37</v>
      </c>
      <c r="AA144" s="61" t="s">
        <v>38</v>
      </c>
      <c r="AB144" s="61" t="s">
        <v>39</v>
      </c>
      <c r="AC144" s="61"/>
      <c r="AD144" s="61" t="s">
        <v>70</v>
      </c>
      <c r="AE144" s="61" t="s">
        <v>71</v>
      </c>
      <c r="AF144" s="61" t="s">
        <v>72</v>
      </c>
      <c r="AG144" s="61" t="s">
        <v>37</v>
      </c>
      <c r="AH144" s="61" t="s">
        <v>38</v>
      </c>
      <c r="AI144" s="61" t="s">
        <v>39</v>
      </c>
      <c r="AJ144" s="61"/>
      <c r="AK144" s="61" t="s">
        <v>70</v>
      </c>
      <c r="AL144" s="61" t="s">
        <v>71</v>
      </c>
      <c r="AM144" s="61" t="s">
        <v>72</v>
      </c>
      <c r="AN144" s="61" t="s">
        <v>37</v>
      </c>
      <c r="AO144" s="61" t="s">
        <v>38</v>
      </c>
      <c r="AP144" s="61" t="s">
        <v>39</v>
      </c>
      <c r="AQ144" s="61"/>
      <c r="AR144" s="61"/>
      <c r="AS144" s="61"/>
      <c r="AT144" s="61"/>
      <c r="AU144" s="61"/>
    </row>
    <row r="145" spans="1:47" x14ac:dyDescent="0.2">
      <c r="A145" s="40">
        <v>43291.496307870373</v>
      </c>
      <c r="B145" s="50">
        <f>(A145-$B$12)*24</f>
        <v>0.67805555567611009</v>
      </c>
      <c r="C145">
        <v>188.15</v>
      </c>
      <c r="D145">
        <v>776.11</v>
      </c>
      <c r="E145" s="32">
        <f>(C145/$B$5)/$C$142</f>
        <v>0.12998766093164918</v>
      </c>
      <c r="F145" s="32">
        <f>(D145/$C$5)/$C$142</f>
        <v>0.61533353633944743</v>
      </c>
      <c r="G145" s="61"/>
      <c r="H145" s="40">
        <v>43291.497164351851</v>
      </c>
      <c r="I145" s="50">
        <f>(H145-$B$12)*24</f>
        <v>0.69861111114732921</v>
      </c>
      <c r="J145">
        <v>182302.81</v>
      </c>
      <c r="K145">
        <v>138283.69</v>
      </c>
      <c r="L145" s="32">
        <f>(J145/$B$5)/$J$142</f>
        <v>279.51068162334269</v>
      </c>
      <c r="M145" s="32">
        <f>(K145/$C$5)/$J$142</f>
        <v>243.31305182147003</v>
      </c>
      <c r="N145" s="61"/>
      <c r="O145" s="40">
        <v>43291.498020833336</v>
      </c>
      <c r="P145" s="50">
        <f>(O145-$B$12)*24</f>
        <v>0.71916666679317132</v>
      </c>
      <c r="Q145">
        <v>4460.0600000000004</v>
      </c>
      <c r="R145">
        <v>18683.11</v>
      </c>
      <c r="S145" s="32">
        <f>(Q145/$B$5)/$Q$142</f>
        <v>2.644631781790677</v>
      </c>
      <c r="T145" s="32">
        <f>(R145/$C$5)/$Q$142</f>
        <v>12.713440126830855</v>
      </c>
      <c r="U145" s="61"/>
      <c r="V145" s="61"/>
      <c r="W145" s="40">
        <v>43291.504259259258</v>
      </c>
      <c r="X145" s="50">
        <f>(W145-$B$12)*24</f>
        <v>0.86888888891553506</v>
      </c>
      <c r="Y145">
        <v>0</v>
      </c>
      <c r="Z145">
        <v>15.34</v>
      </c>
      <c r="AA145" s="32">
        <f>(Y145/$B$5)/$C$18</f>
        <v>0</v>
      </c>
      <c r="AB145" s="32">
        <f>(Z145/$C$5)/$C$18</f>
        <v>1.5625887489243449E-2</v>
      </c>
      <c r="AC145" s="61"/>
      <c r="AD145" s="40">
        <v>43291.505104166667</v>
      </c>
      <c r="AE145" s="50">
        <f>(AD145-$B$12)*24</f>
        <v>0.88916666671866551</v>
      </c>
      <c r="AF145">
        <v>1820.88</v>
      </c>
      <c r="AG145">
        <v>1825.29</v>
      </c>
      <c r="AH145" s="32">
        <f>(AF145/$B$5)/$C$18</f>
        <v>1.616260128104374</v>
      </c>
      <c r="AI145" s="32">
        <f>(AG145/$C$5)/$C$18</f>
        <v>1.8593074429753047</v>
      </c>
      <c r="AJ145" s="61"/>
      <c r="AK145" s="40">
        <v>43291.505960648145</v>
      </c>
      <c r="AL145" s="50">
        <f>(AK145-$B$12)*24</f>
        <v>0.90972222218988463</v>
      </c>
      <c r="AM145">
        <v>641.91999999999996</v>
      </c>
      <c r="AN145">
        <v>869.66</v>
      </c>
      <c r="AO145" s="32">
        <f>(AM145/$B$5)/$C$18</f>
        <v>0.56978477518164827</v>
      </c>
      <c r="AP145" s="32">
        <f>(AN145/$C$5)/$C$18</f>
        <v>0.88586762150557086</v>
      </c>
      <c r="AQ145" s="61"/>
      <c r="AR145" s="61"/>
      <c r="AS145" s="61"/>
      <c r="AT145" s="61"/>
      <c r="AU145" s="61"/>
    </row>
    <row r="146" spans="1:47" x14ac:dyDescent="0.2">
      <c r="A146" s="40">
        <v>43291.512650462966</v>
      </c>
      <c r="B146" s="50">
        <f t="shared" ref="B146:B199" si="50">(A146-$B$12)*24</f>
        <v>1.0702777779079042</v>
      </c>
      <c r="C146">
        <v>151.22999999999999</v>
      </c>
      <c r="D146">
        <v>547.49</v>
      </c>
      <c r="E146" s="32">
        <f t="shared" ref="E146:E199" si="51">(C146/$B$5)/$C$142</f>
        <v>0.1044806482205331</v>
      </c>
      <c r="F146" s="32">
        <f t="shared" ref="F146:F199" si="52">(D146/$C$5)/$C$142</f>
        <v>0.43407372384131637</v>
      </c>
      <c r="G146" s="61"/>
      <c r="H146" s="40">
        <v>43291.513495370367</v>
      </c>
      <c r="I146" s="50">
        <f t="shared" ref="I146:I199" si="53">(H146-$B$12)*24</f>
        <v>1.0905555555364117</v>
      </c>
      <c r="J146">
        <v>184335.15</v>
      </c>
      <c r="K146">
        <v>149972.13</v>
      </c>
      <c r="L146" s="32">
        <f t="shared" ref="L146:L199" si="54">(J146/$B$5)/$J$142</f>
        <v>282.62671005258295</v>
      </c>
      <c r="M146" s="32">
        <f t="shared" ref="M146:M199" si="55">(K146/$C$5)/$J$142</f>
        <v>263.87910706220117</v>
      </c>
      <c r="N146" s="61"/>
      <c r="O146" s="40">
        <v>43291.514351851853</v>
      </c>
      <c r="P146" s="50">
        <f t="shared" ref="P146:P199" si="56">(O146-$B$12)*24</f>
        <v>1.1111111111822538</v>
      </c>
      <c r="Q146">
        <v>3443.19</v>
      </c>
      <c r="R146">
        <v>13295.86</v>
      </c>
      <c r="S146" s="32">
        <f t="shared" ref="S146:S199" si="57">(Q146/$B$5)/$Q$142</f>
        <v>2.0416697768065544</v>
      </c>
      <c r="T146" s="32">
        <f t="shared" ref="T146:T199" si="58">(R146/$C$5)/$Q$142</f>
        <v>9.0475365206716276</v>
      </c>
      <c r="U146" s="61"/>
      <c r="V146" s="61"/>
      <c r="W146" s="40">
        <v>43291.520868055559</v>
      </c>
      <c r="X146" s="50">
        <f t="shared" ref="X146:X199" si="59">(W146-$B$12)*24</f>
        <v>1.2675000001327135</v>
      </c>
      <c r="Y146">
        <v>0.21</v>
      </c>
      <c r="Z146">
        <v>0</v>
      </c>
      <c r="AA146" s="32">
        <f t="shared" ref="AA146:AA199" si="60">(Y146/$B$5)/$C$18</f>
        <v>1.8640142508123464E-4</v>
      </c>
      <c r="AB146" s="32">
        <f t="shared" ref="AB146:AB199" si="61">(Z146/$C$5)/$C$18</f>
        <v>0</v>
      </c>
      <c r="AC146" s="61"/>
      <c r="AD146" s="40">
        <v>43291.52171296296</v>
      </c>
      <c r="AE146" s="50">
        <f t="shared" ref="AE146:AE199" si="62">(AD146-$B$12)*24</f>
        <v>1.2877777777612209</v>
      </c>
      <c r="AF146">
        <v>1749.42</v>
      </c>
      <c r="AG146">
        <v>1785.28</v>
      </c>
      <c r="AH146" s="32">
        <f t="shared" ref="AH146:AH199" si="63">(AF146/$B$5)/$C$18</f>
        <v>1.552830386026731</v>
      </c>
      <c r="AI146" s="32">
        <f t="shared" ref="AI146:AI199" si="64">(AG146/$C$5)/$C$18</f>
        <v>1.8185517872748724</v>
      </c>
      <c r="AJ146" s="61"/>
      <c r="AK146" s="40">
        <v>43291.522569444445</v>
      </c>
      <c r="AL146" s="50">
        <f t="shared" ref="AL146:AL199" si="65">(AK146-$B$12)*24</f>
        <v>1.308333333407063</v>
      </c>
      <c r="AM146">
        <v>633.09</v>
      </c>
      <c r="AN146">
        <v>821.72</v>
      </c>
      <c r="AO146" s="32">
        <f t="shared" ref="AO146:AO199" si="66">(AM146/$B$5)/$C$18</f>
        <v>0.56194703906989929</v>
      </c>
      <c r="AP146" s="32">
        <f t="shared" ref="AP146:AP199" si="67">(AN146/$C$5)/$C$18</f>
        <v>0.83703417650985179</v>
      </c>
      <c r="AQ146" s="61"/>
      <c r="AR146" s="61"/>
      <c r="AS146" s="61"/>
      <c r="AT146" s="61"/>
      <c r="AU146" s="61"/>
    </row>
    <row r="147" spans="1:47" x14ac:dyDescent="0.2">
      <c r="A147" s="40">
        <v>43291.528958333336</v>
      </c>
      <c r="B147" s="50">
        <f t="shared" si="50"/>
        <v>1.4616666667861864</v>
      </c>
      <c r="C147">
        <v>99.67</v>
      </c>
      <c r="D147">
        <v>393.67</v>
      </c>
      <c r="E147" s="32">
        <f t="shared" si="51"/>
        <v>6.8859262105009159E-2</v>
      </c>
      <c r="F147" s="32">
        <f t="shared" si="52"/>
        <v>0.31211858274052684</v>
      </c>
      <c r="G147" s="61"/>
      <c r="H147" s="40">
        <v>43291.529814814814</v>
      </c>
      <c r="I147" s="50">
        <f t="shared" si="53"/>
        <v>1.4822222222574055</v>
      </c>
      <c r="J147">
        <v>186346.08</v>
      </c>
      <c r="K147">
        <v>156920.72</v>
      </c>
      <c r="L147" s="32">
        <f t="shared" si="54"/>
        <v>285.70991219848969</v>
      </c>
      <c r="M147" s="32">
        <f t="shared" si="55"/>
        <v>276.10529685187305</v>
      </c>
      <c r="N147" s="61"/>
      <c r="O147" s="40">
        <v>43291.530659722222</v>
      </c>
      <c r="P147" s="50">
        <f t="shared" si="56"/>
        <v>1.502500000060536</v>
      </c>
      <c r="Q147">
        <v>2717.28</v>
      </c>
      <c r="R147">
        <v>9659.3799999999992</v>
      </c>
      <c r="S147" s="32">
        <f t="shared" si="57"/>
        <v>1.6112350614171496</v>
      </c>
      <c r="T147" s="32">
        <f t="shared" si="58"/>
        <v>6.5729928953106525</v>
      </c>
      <c r="U147" s="61"/>
      <c r="V147" s="61"/>
      <c r="W147" s="40">
        <v>43291.537303240744</v>
      </c>
      <c r="X147" s="50">
        <f t="shared" si="59"/>
        <v>1.6619444445823319</v>
      </c>
      <c r="Y147">
        <v>0</v>
      </c>
      <c r="Z147">
        <v>7.12</v>
      </c>
      <c r="AA147" s="32">
        <f t="shared" si="60"/>
        <v>0</v>
      </c>
      <c r="AB147" s="32">
        <f t="shared" si="61"/>
        <v>7.2526935412916124E-3</v>
      </c>
      <c r="AC147" s="61"/>
      <c r="AD147" s="40">
        <v>43291.538159722222</v>
      </c>
      <c r="AE147" s="50">
        <f t="shared" si="62"/>
        <v>1.682500000053551</v>
      </c>
      <c r="AF147">
        <v>1705.97</v>
      </c>
      <c r="AG147">
        <v>1799.05</v>
      </c>
      <c r="AH147" s="32">
        <f t="shared" si="63"/>
        <v>1.5142630435515898</v>
      </c>
      <c r="AI147" s="32">
        <f t="shared" si="64"/>
        <v>1.8325784150927917</v>
      </c>
      <c r="AJ147" s="61"/>
      <c r="AK147" s="40">
        <v>43291.5390162037</v>
      </c>
      <c r="AL147" s="50">
        <f t="shared" si="65"/>
        <v>1.7030555555247702</v>
      </c>
      <c r="AM147">
        <v>590.54999999999995</v>
      </c>
      <c r="AN147">
        <v>779.33</v>
      </c>
      <c r="AO147" s="32">
        <f t="shared" si="66"/>
        <v>0.52418743610344343</v>
      </c>
      <c r="AP147" s="32">
        <f t="shared" si="67"/>
        <v>0.79385416538410014</v>
      </c>
      <c r="AQ147" s="61"/>
      <c r="AR147" s="61"/>
      <c r="AS147" s="61"/>
      <c r="AT147" s="61"/>
      <c r="AU147" s="61"/>
    </row>
    <row r="148" spans="1:47" x14ac:dyDescent="0.2">
      <c r="A148" s="40">
        <v>43291.545520833337</v>
      </c>
      <c r="B148" s="50">
        <f t="shared" si="50"/>
        <v>1.8591666668071412</v>
      </c>
      <c r="C148">
        <v>92.66</v>
      </c>
      <c r="D148">
        <v>312.89999999999998</v>
      </c>
      <c r="E148" s="32">
        <f t="shared" si="51"/>
        <v>6.4016245877898545E-2</v>
      </c>
      <c r="F148" s="32">
        <f t="shared" si="52"/>
        <v>0.24808063743620504</v>
      </c>
      <c r="G148" s="61"/>
      <c r="H148" s="40">
        <v>43291.546377314815</v>
      </c>
      <c r="I148" s="50">
        <f t="shared" si="53"/>
        <v>1.8797222222783603</v>
      </c>
      <c r="J148">
        <v>187832.94</v>
      </c>
      <c r="K148">
        <v>161836.69</v>
      </c>
      <c r="L148" s="32">
        <f t="shared" si="54"/>
        <v>287.98959868318229</v>
      </c>
      <c r="M148" s="32">
        <f t="shared" si="55"/>
        <v>284.7550491354778</v>
      </c>
      <c r="N148" s="61"/>
      <c r="O148" s="40">
        <v>43291.547233796293</v>
      </c>
      <c r="P148" s="50">
        <f t="shared" si="56"/>
        <v>1.9002777777495794</v>
      </c>
      <c r="Q148">
        <v>2393.9699999999998</v>
      </c>
      <c r="R148">
        <v>7063.07</v>
      </c>
      <c r="S148" s="32">
        <f t="shared" si="57"/>
        <v>1.4195255549596704</v>
      </c>
      <c r="T148" s="32">
        <f t="shared" si="58"/>
        <v>4.8062617817170272</v>
      </c>
      <c r="U148" s="61"/>
      <c r="V148" s="61"/>
      <c r="W148" s="40">
        <v>43291.553726851853</v>
      </c>
      <c r="X148" s="50">
        <f t="shared" si="59"/>
        <v>2.0561111111892387</v>
      </c>
      <c r="Y148">
        <v>8.69</v>
      </c>
      <c r="Z148">
        <v>0.61</v>
      </c>
      <c r="AA148" s="32">
        <f t="shared" si="60"/>
        <v>7.713468495028233E-3</v>
      </c>
      <c r="AB148" s="32">
        <f t="shared" si="61"/>
        <v>6.2136840732975897E-4</v>
      </c>
      <c r="AC148" s="61"/>
      <c r="AD148" s="40">
        <v>43291.554583333331</v>
      </c>
      <c r="AE148" s="50">
        <f t="shared" si="62"/>
        <v>2.0766666666604578</v>
      </c>
      <c r="AF148">
        <v>1672.94</v>
      </c>
      <c r="AG148">
        <v>1845.63</v>
      </c>
      <c r="AH148" s="32">
        <f t="shared" si="63"/>
        <v>1.4849447622638128</v>
      </c>
      <c r="AI148" s="32">
        <f t="shared" si="64"/>
        <v>1.8800265141311856</v>
      </c>
      <c r="AJ148" s="61"/>
      <c r="AK148" s="40">
        <v>43291.555439814816</v>
      </c>
      <c r="AL148" s="50">
        <f t="shared" si="65"/>
        <v>2.0972222223063</v>
      </c>
      <c r="AM148">
        <v>634.54999999999995</v>
      </c>
      <c r="AN148">
        <v>723.41</v>
      </c>
      <c r="AO148" s="32">
        <f t="shared" si="66"/>
        <v>0.56324297278713065</v>
      </c>
      <c r="AP148" s="32">
        <f t="shared" si="67"/>
        <v>0.73689199925642779</v>
      </c>
      <c r="AQ148" s="61"/>
      <c r="AR148" s="61"/>
      <c r="AS148" s="61"/>
      <c r="AT148" s="61"/>
      <c r="AU148" s="61"/>
    </row>
    <row r="149" spans="1:47" x14ac:dyDescent="0.2">
      <c r="A149" s="40">
        <v>43291.561840277776</v>
      </c>
      <c r="B149" s="50">
        <f t="shared" si="50"/>
        <v>2.250833333353512</v>
      </c>
      <c r="C149">
        <v>91.67</v>
      </c>
      <c r="D149">
        <v>215.06</v>
      </c>
      <c r="E149" s="32">
        <f t="shared" si="51"/>
        <v>6.3332282102600473E-2</v>
      </c>
      <c r="F149" s="32">
        <f t="shared" si="52"/>
        <v>0.17050885869936164</v>
      </c>
      <c r="G149" s="61"/>
      <c r="H149" s="40">
        <v>43291.562696759262</v>
      </c>
      <c r="I149" s="50">
        <f t="shared" si="53"/>
        <v>2.2713888889993541</v>
      </c>
      <c r="J149">
        <v>188400.6</v>
      </c>
      <c r="K149">
        <v>166667.35</v>
      </c>
      <c r="L149" s="32">
        <f t="shared" si="54"/>
        <v>288.85994749201473</v>
      </c>
      <c r="M149" s="32">
        <f t="shared" si="55"/>
        <v>293.25469668546657</v>
      </c>
      <c r="N149" s="61"/>
      <c r="O149" s="40">
        <v>43291.56355324074</v>
      </c>
      <c r="P149" s="50">
        <f t="shared" si="56"/>
        <v>2.2919444444705732</v>
      </c>
      <c r="Q149">
        <v>2083.4299999999998</v>
      </c>
      <c r="R149">
        <v>5239.38</v>
      </c>
      <c r="S149" s="32">
        <f t="shared" si="57"/>
        <v>1.2353881322529627</v>
      </c>
      <c r="T149" s="32">
        <f t="shared" si="58"/>
        <v>3.5652813654533446</v>
      </c>
      <c r="U149" s="61"/>
      <c r="V149" s="61"/>
      <c r="W149" s="40">
        <v>43291.569814814815</v>
      </c>
      <c r="X149" s="50">
        <f t="shared" si="59"/>
        <v>2.4422222222783603</v>
      </c>
      <c r="Y149">
        <v>13.67</v>
      </c>
      <c r="Z149">
        <v>0</v>
      </c>
      <c r="AA149" s="32">
        <f t="shared" si="60"/>
        <v>1.2133845146954656E-2</v>
      </c>
      <c r="AB149" s="32">
        <f t="shared" si="61"/>
        <v>0</v>
      </c>
      <c r="AC149" s="61"/>
      <c r="AD149" s="40">
        <v>43291.570659722223</v>
      </c>
      <c r="AE149" s="50">
        <f t="shared" si="62"/>
        <v>2.4625000000814907</v>
      </c>
      <c r="AF149">
        <v>1739.47</v>
      </c>
      <c r="AG149">
        <v>1930.45</v>
      </c>
      <c r="AH149" s="32">
        <f t="shared" si="63"/>
        <v>1.5439985089812154</v>
      </c>
      <c r="AI149" s="32">
        <f t="shared" si="64"/>
        <v>1.9664272818520216</v>
      </c>
      <c r="AJ149" s="61"/>
      <c r="AK149" s="40">
        <v>43291.571516203701</v>
      </c>
      <c r="AL149" s="50">
        <f t="shared" si="65"/>
        <v>2.4830555555527098</v>
      </c>
      <c r="AM149">
        <v>617.99</v>
      </c>
      <c r="AN149">
        <v>687.65</v>
      </c>
      <c r="AO149" s="32">
        <f t="shared" si="66"/>
        <v>0.5485438889807247</v>
      </c>
      <c r="AP149" s="32">
        <f t="shared" si="67"/>
        <v>0.7004655496726373</v>
      </c>
      <c r="AQ149" s="61"/>
      <c r="AR149" s="61"/>
      <c r="AS149" s="61"/>
      <c r="AT149" s="61"/>
      <c r="AU149" s="61"/>
    </row>
    <row r="150" spans="1:47" x14ac:dyDescent="0.2">
      <c r="A150" s="40">
        <v>43291.577789351853</v>
      </c>
      <c r="B150" s="50">
        <f t="shared" si="50"/>
        <v>2.6336111112032086</v>
      </c>
      <c r="C150">
        <v>53.16</v>
      </c>
      <c r="D150">
        <v>179.41</v>
      </c>
      <c r="E150" s="32">
        <f t="shared" si="51"/>
        <v>3.6726782116005684E-2</v>
      </c>
      <c r="F150" s="32">
        <f t="shared" si="52"/>
        <v>0.14224399860156456</v>
      </c>
      <c r="G150" s="61"/>
      <c r="H150" s="40">
        <v>43291.578634259262</v>
      </c>
      <c r="I150" s="50">
        <f t="shared" si="53"/>
        <v>2.653888889006339</v>
      </c>
      <c r="J150">
        <v>187684.94</v>
      </c>
      <c r="K150">
        <v>168286.55</v>
      </c>
      <c r="L150" s="32">
        <f t="shared" si="54"/>
        <v>287.76268182501508</v>
      </c>
      <c r="M150" s="32">
        <f t="shared" si="55"/>
        <v>296.10371303373813</v>
      </c>
      <c r="N150" s="61"/>
      <c r="O150" s="40">
        <v>43291.57949074074</v>
      </c>
      <c r="P150" s="50">
        <f t="shared" si="56"/>
        <v>2.6744444444775581</v>
      </c>
      <c r="Q150">
        <v>1797.68</v>
      </c>
      <c r="R150">
        <v>4095.13</v>
      </c>
      <c r="S150" s="32">
        <f t="shared" si="57"/>
        <v>1.065950157955154</v>
      </c>
      <c r="T150" s="32">
        <f t="shared" si="58"/>
        <v>2.7866447324127965</v>
      </c>
      <c r="U150" s="61"/>
      <c r="V150" s="61"/>
      <c r="W150" s="40">
        <v>43291.586134259262</v>
      </c>
      <c r="X150" s="50">
        <f t="shared" si="59"/>
        <v>2.8338888889993541</v>
      </c>
      <c r="Y150">
        <v>0</v>
      </c>
      <c r="Z150">
        <v>0.94</v>
      </c>
      <c r="AA150" s="32">
        <f t="shared" si="60"/>
        <v>0</v>
      </c>
      <c r="AB150" s="32">
        <f t="shared" si="61"/>
        <v>9.5751852932782536E-4</v>
      </c>
      <c r="AC150" s="61"/>
      <c r="AD150" s="40">
        <v>43291.58699074074</v>
      </c>
      <c r="AE150" s="50">
        <f t="shared" si="62"/>
        <v>2.8544444444705732</v>
      </c>
      <c r="AF150">
        <v>1705.5</v>
      </c>
      <c r="AG150">
        <v>2020.02</v>
      </c>
      <c r="AH150" s="32">
        <f t="shared" si="63"/>
        <v>1.5138458594097413</v>
      </c>
      <c r="AI150" s="32">
        <f t="shared" si="64"/>
        <v>2.0576665740561637</v>
      </c>
      <c r="AJ150" s="61"/>
      <c r="AK150" s="40">
        <v>43291.587835648148</v>
      </c>
      <c r="AL150" s="50">
        <f t="shared" si="65"/>
        <v>2.8747222222737037</v>
      </c>
      <c r="AM150">
        <v>659.41</v>
      </c>
      <c r="AN150">
        <v>696.27</v>
      </c>
      <c r="AO150" s="32">
        <f t="shared" si="66"/>
        <v>0.58530935101341397</v>
      </c>
      <c r="AP150" s="32">
        <f t="shared" si="67"/>
        <v>0.70924619831392011</v>
      </c>
      <c r="AQ150" s="61"/>
      <c r="AR150" s="61"/>
      <c r="AS150" s="61"/>
      <c r="AT150" s="61"/>
      <c r="AU150" s="61"/>
    </row>
    <row r="151" spans="1:47" x14ac:dyDescent="0.2">
      <c r="A151" s="40">
        <v>43291.594247685185</v>
      </c>
      <c r="B151" s="50">
        <f t="shared" si="50"/>
        <v>3.0286111111636274</v>
      </c>
      <c r="C151">
        <v>50.65</v>
      </c>
      <c r="D151">
        <v>119.84</v>
      </c>
      <c r="E151" s="32">
        <f t="shared" si="51"/>
        <v>3.4992692140249963E-2</v>
      </c>
      <c r="F151" s="32">
        <f t="shared" si="52"/>
        <v>9.501432914782619E-2</v>
      </c>
      <c r="G151" s="61"/>
      <c r="H151" s="40">
        <v>43291.595104166663</v>
      </c>
      <c r="I151" s="50">
        <f t="shared" si="53"/>
        <v>3.0491666666348465</v>
      </c>
      <c r="J151">
        <v>189696.46</v>
      </c>
      <c r="K151">
        <v>170808.29</v>
      </c>
      <c r="L151" s="32">
        <f t="shared" si="54"/>
        <v>290.84678857191045</v>
      </c>
      <c r="M151" s="32">
        <f t="shared" si="55"/>
        <v>300.5407674347328</v>
      </c>
      <c r="N151" s="61"/>
      <c r="O151" s="40">
        <v>43291.595949074072</v>
      </c>
      <c r="P151" s="50">
        <f t="shared" si="56"/>
        <v>3.0694444444379769</v>
      </c>
      <c r="Q151">
        <v>1672.77</v>
      </c>
      <c r="R151">
        <v>3171.13</v>
      </c>
      <c r="S151" s="32">
        <f t="shared" si="57"/>
        <v>0.99188367547207679</v>
      </c>
      <c r="T151" s="32">
        <f t="shared" si="58"/>
        <v>2.1578833175738477</v>
      </c>
      <c r="U151" s="61"/>
      <c r="V151" s="61"/>
      <c r="W151" s="40">
        <v>43291.602500000001</v>
      </c>
      <c r="X151" s="50">
        <f t="shared" si="59"/>
        <v>3.2266666667419486</v>
      </c>
      <c r="Y151">
        <v>24.18</v>
      </c>
      <c r="Z151">
        <v>1.95</v>
      </c>
      <c r="AA151" s="32">
        <f t="shared" si="60"/>
        <v>2.146279265935359E-2</v>
      </c>
      <c r="AB151" s="32">
        <f t="shared" si="61"/>
        <v>1.9863416299885739E-3</v>
      </c>
      <c r="AC151" s="61"/>
      <c r="AD151" s="40">
        <v>43291.603356481479</v>
      </c>
      <c r="AE151" s="50">
        <f t="shared" si="62"/>
        <v>3.2472222222131677</v>
      </c>
      <c r="AF151">
        <v>1863.02</v>
      </c>
      <c r="AG151">
        <v>1939.62</v>
      </c>
      <c r="AH151" s="32">
        <f t="shared" si="63"/>
        <v>1.6536646807373419</v>
      </c>
      <c r="AI151" s="32">
        <f t="shared" si="64"/>
        <v>1.9757681806966345</v>
      </c>
      <c r="AJ151" s="61"/>
      <c r="AK151" s="40">
        <v>43291.604212962964</v>
      </c>
      <c r="AL151" s="50">
        <f t="shared" si="65"/>
        <v>3.2677777778590098</v>
      </c>
      <c r="AM151">
        <v>649.6</v>
      </c>
      <c r="AN151">
        <v>747.74</v>
      </c>
      <c r="AO151" s="32">
        <f t="shared" si="66"/>
        <v>0.57660174158461919</v>
      </c>
      <c r="AP151" s="32">
        <f t="shared" si="67"/>
        <v>0.76167543097828527</v>
      </c>
      <c r="AQ151" s="61"/>
      <c r="AR151" s="61"/>
      <c r="AS151" s="61"/>
      <c r="AT151" s="61"/>
      <c r="AU151" s="61"/>
    </row>
    <row r="152" spans="1:47" x14ac:dyDescent="0.2">
      <c r="A152" s="40">
        <v>43291.610752314817</v>
      </c>
      <c r="B152" s="50">
        <f t="shared" si="50"/>
        <v>3.4247222223202698</v>
      </c>
      <c r="C152">
        <v>72.17</v>
      </c>
      <c r="D152">
        <v>91.86</v>
      </c>
      <c r="E152" s="32">
        <f t="shared" si="51"/>
        <v>4.9860268346729318E-2</v>
      </c>
      <c r="F152" s="32">
        <f t="shared" si="52"/>
        <v>7.2830576397858088E-2</v>
      </c>
      <c r="G152" s="61"/>
      <c r="H152" s="40">
        <v>43291.611608796295</v>
      </c>
      <c r="I152" s="50">
        <f t="shared" si="53"/>
        <v>3.4452777777914889</v>
      </c>
      <c r="J152">
        <v>188991.03</v>
      </c>
      <c r="K152">
        <v>171801.33</v>
      </c>
      <c r="L152" s="32">
        <f t="shared" si="54"/>
        <v>289.76520776612057</v>
      </c>
      <c r="M152" s="32">
        <f t="shared" si="55"/>
        <v>302.2880421348857</v>
      </c>
      <c r="N152" s="61"/>
      <c r="O152" s="40">
        <v>43291.61246527778</v>
      </c>
      <c r="P152" s="50">
        <f t="shared" si="56"/>
        <v>3.465833333437331</v>
      </c>
      <c r="Q152">
        <v>1545.67</v>
      </c>
      <c r="R152">
        <v>2676.86</v>
      </c>
      <c r="S152" s="32">
        <f t="shared" si="57"/>
        <v>0.91651861323847572</v>
      </c>
      <c r="T152" s="32">
        <f t="shared" si="58"/>
        <v>1.8215435940755282</v>
      </c>
      <c r="U152" s="61"/>
      <c r="V152" s="61"/>
      <c r="W152" s="40">
        <v>43291.618993055556</v>
      </c>
      <c r="X152" s="50">
        <f t="shared" si="59"/>
        <v>3.6225000000558794</v>
      </c>
      <c r="Y152">
        <v>10.17</v>
      </c>
      <c r="Z152">
        <v>0.6</v>
      </c>
      <c r="AA152" s="32">
        <f t="shared" si="60"/>
        <v>9.0271547289340788E-3</v>
      </c>
      <c r="AB152" s="32">
        <f t="shared" si="61"/>
        <v>6.1118203999648425E-4</v>
      </c>
      <c r="AC152" s="61"/>
      <c r="AD152" s="40">
        <v>43291.619849537034</v>
      </c>
      <c r="AE152" s="50">
        <f t="shared" si="62"/>
        <v>3.6430555555270985</v>
      </c>
      <c r="AF152">
        <v>1756.98</v>
      </c>
      <c r="AG152">
        <v>1909.18</v>
      </c>
      <c r="AH152" s="32">
        <f t="shared" si="63"/>
        <v>1.5595408373296553</v>
      </c>
      <c r="AI152" s="32">
        <f t="shared" si="64"/>
        <v>1.9447608785341464</v>
      </c>
      <c r="AJ152" s="61"/>
      <c r="AK152" s="40">
        <v>43291.620706018519</v>
      </c>
      <c r="AL152" s="50">
        <f t="shared" si="65"/>
        <v>3.6636111111729406</v>
      </c>
      <c r="AM152">
        <v>653.05999999999995</v>
      </c>
      <c r="AN152">
        <v>683.37</v>
      </c>
      <c r="AO152" s="32">
        <f t="shared" si="66"/>
        <v>0.57967292696929085</v>
      </c>
      <c r="AP152" s="32">
        <f t="shared" si="67"/>
        <v>0.69610578445399585</v>
      </c>
      <c r="AQ152" s="61"/>
      <c r="AR152" s="61"/>
      <c r="AS152" s="61"/>
      <c r="AT152" s="61"/>
      <c r="AU152" s="61"/>
    </row>
    <row r="153" spans="1:47" x14ac:dyDescent="0.2">
      <c r="A153" s="40">
        <v>43291.627245370371</v>
      </c>
      <c r="B153" s="50">
        <f t="shared" si="50"/>
        <v>3.8205555556342006</v>
      </c>
      <c r="C153">
        <v>75.150000000000006</v>
      </c>
      <c r="D153">
        <v>86.21</v>
      </c>
      <c r="E153" s="32">
        <f t="shared" si="51"/>
        <v>5.1919068397626555E-2</v>
      </c>
      <c r="F153" s="32">
        <f t="shared" si="52"/>
        <v>6.8351012315037513E-2</v>
      </c>
      <c r="G153" s="61"/>
      <c r="H153" s="40">
        <v>43291.628101851849</v>
      </c>
      <c r="I153" s="50">
        <f t="shared" si="53"/>
        <v>3.8411111111054197</v>
      </c>
      <c r="J153">
        <v>189393.35</v>
      </c>
      <c r="K153">
        <v>172625.05</v>
      </c>
      <c r="L153" s="32">
        <f t="shared" si="54"/>
        <v>290.38205364705192</v>
      </c>
      <c r="M153" s="32">
        <f t="shared" si="55"/>
        <v>303.73739474506249</v>
      </c>
      <c r="N153" s="61"/>
      <c r="O153" s="40">
        <v>43291.628958333335</v>
      </c>
      <c r="P153" s="50">
        <f t="shared" si="56"/>
        <v>3.8616666667512618</v>
      </c>
      <c r="Q153">
        <v>1470.55</v>
      </c>
      <c r="R153">
        <v>2217.3200000000002</v>
      </c>
      <c r="S153" s="32">
        <f t="shared" si="57"/>
        <v>0.87197554891913553</v>
      </c>
      <c r="T153" s="32">
        <f t="shared" si="58"/>
        <v>1.5088368618514045</v>
      </c>
      <c r="U153" s="61"/>
      <c r="V153" s="61"/>
      <c r="W153" s="40">
        <v>43291.63548611111</v>
      </c>
      <c r="X153" s="50">
        <f t="shared" si="59"/>
        <v>4.0183333333698101</v>
      </c>
      <c r="Y153">
        <v>0</v>
      </c>
      <c r="Z153">
        <v>2.78</v>
      </c>
      <c r="AA153" s="32">
        <f t="shared" si="60"/>
        <v>0</v>
      </c>
      <c r="AB153" s="32">
        <f t="shared" si="61"/>
        <v>2.831810118650377E-3</v>
      </c>
      <c r="AC153" s="61"/>
      <c r="AD153" s="40">
        <v>43291.636342592596</v>
      </c>
      <c r="AE153" s="50">
        <f t="shared" si="62"/>
        <v>4.0388888890156522</v>
      </c>
      <c r="AF153">
        <v>1714.84</v>
      </c>
      <c r="AG153">
        <v>1931.83</v>
      </c>
      <c r="AH153" s="32">
        <f t="shared" si="63"/>
        <v>1.5221362846966877</v>
      </c>
      <c r="AI153" s="32">
        <f t="shared" si="64"/>
        <v>1.9678330005440137</v>
      </c>
      <c r="AJ153" s="61"/>
      <c r="AK153" s="40">
        <v>43291.637187499997</v>
      </c>
      <c r="AL153" s="50">
        <f t="shared" si="65"/>
        <v>4.0591666666441597</v>
      </c>
      <c r="AM153">
        <v>629.07000000000005</v>
      </c>
      <c r="AN153">
        <v>696.83</v>
      </c>
      <c r="AO153" s="32">
        <f t="shared" si="66"/>
        <v>0.55837878321834433</v>
      </c>
      <c r="AP153" s="32">
        <f t="shared" si="67"/>
        <v>0.70981663488458357</v>
      </c>
      <c r="AQ153" s="61"/>
      <c r="AR153" s="61"/>
      <c r="AS153" s="61"/>
      <c r="AT153" s="61"/>
      <c r="AU153" s="61"/>
    </row>
    <row r="154" spans="1:47" x14ac:dyDescent="0.2">
      <c r="A154" s="40">
        <v>43291.643738425926</v>
      </c>
      <c r="B154" s="50">
        <f t="shared" si="50"/>
        <v>4.2163888889481314</v>
      </c>
      <c r="C154">
        <v>27.2</v>
      </c>
      <c r="D154">
        <v>79.45</v>
      </c>
      <c r="E154" s="32">
        <f t="shared" si="51"/>
        <v>1.8791732008189517E-2</v>
      </c>
      <c r="F154" s="32">
        <f t="shared" si="52"/>
        <v>6.29913922796628E-2</v>
      </c>
      <c r="G154" s="61"/>
      <c r="H154" s="40">
        <v>43291.644594907404</v>
      </c>
      <c r="I154" s="50">
        <f t="shared" si="53"/>
        <v>4.2369444444193505</v>
      </c>
      <c r="J154">
        <v>189177.44</v>
      </c>
      <c r="K154">
        <v>172429.19</v>
      </c>
      <c r="L154" s="32">
        <f t="shared" si="54"/>
        <v>290.0510156818703</v>
      </c>
      <c r="M154" s="32">
        <f t="shared" si="55"/>
        <v>303.39277496864668</v>
      </c>
      <c r="N154" s="61"/>
      <c r="O154" s="40">
        <v>43291.645439814813</v>
      </c>
      <c r="P154" s="50">
        <f t="shared" si="56"/>
        <v>4.2572222222224809</v>
      </c>
      <c r="Q154">
        <v>1403.52</v>
      </c>
      <c r="R154">
        <v>1848.38</v>
      </c>
      <c r="S154" s="32">
        <f t="shared" si="57"/>
        <v>0.83222952121246141</v>
      </c>
      <c r="T154" s="32">
        <f t="shared" si="58"/>
        <v>1.2577814112121386</v>
      </c>
      <c r="U154" s="61"/>
      <c r="V154" s="61"/>
      <c r="W154" s="40">
        <v>43291.651979166665</v>
      </c>
      <c r="X154" s="50">
        <f t="shared" si="59"/>
        <v>4.4141666666837409</v>
      </c>
      <c r="Y154">
        <v>23.68</v>
      </c>
      <c r="Z154">
        <v>0</v>
      </c>
      <c r="AA154" s="32">
        <f t="shared" si="60"/>
        <v>2.1018979742493508E-2</v>
      </c>
      <c r="AB154" s="32">
        <f t="shared" si="61"/>
        <v>0</v>
      </c>
      <c r="AC154" s="61"/>
      <c r="AD154" s="40">
        <v>43291.65283564815</v>
      </c>
      <c r="AE154" s="50">
        <f t="shared" si="62"/>
        <v>4.434722222329583</v>
      </c>
      <c r="AF154">
        <v>1860.59</v>
      </c>
      <c r="AG154">
        <v>1948.54</v>
      </c>
      <c r="AH154" s="32">
        <f t="shared" si="63"/>
        <v>1.6515077499614017</v>
      </c>
      <c r="AI154" s="32">
        <f t="shared" si="64"/>
        <v>1.9848544203579159</v>
      </c>
      <c r="AJ154" s="61"/>
      <c r="AK154" s="40">
        <v>43291.653692129628</v>
      </c>
      <c r="AL154" s="50">
        <f t="shared" si="65"/>
        <v>4.4552777778008021</v>
      </c>
      <c r="AM154">
        <v>610.08000000000004</v>
      </c>
      <c r="AN154">
        <v>763.47</v>
      </c>
      <c r="AO154" s="32">
        <f t="shared" si="66"/>
        <v>0.54152276863599824</v>
      </c>
      <c r="AP154" s="32">
        <f t="shared" si="67"/>
        <v>0.77769858679352644</v>
      </c>
      <c r="AQ154" s="61"/>
      <c r="AR154" s="61"/>
      <c r="AS154" s="61"/>
      <c r="AT154" s="61"/>
      <c r="AU154" s="61"/>
    </row>
    <row r="155" spans="1:47" x14ac:dyDescent="0.2">
      <c r="A155" s="40">
        <v>43291.660243055558</v>
      </c>
      <c r="B155" s="50">
        <f t="shared" si="50"/>
        <v>4.6125000001047738</v>
      </c>
      <c r="C155">
        <v>71.17</v>
      </c>
      <c r="D155">
        <v>73.599999999999994</v>
      </c>
      <c r="E155" s="32">
        <f t="shared" si="51"/>
        <v>4.9169395846428238E-2</v>
      </c>
      <c r="F155" s="32">
        <f t="shared" si="52"/>
        <v>5.8353259556742379E-2</v>
      </c>
      <c r="G155" s="61"/>
      <c r="H155" s="40">
        <v>43291.661087962966</v>
      </c>
      <c r="I155" s="50">
        <f t="shared" si="53"/>
        <v>4.6327777779079042</v>
      </c>
      <c r="J155">
        <v>189522.76</v>
      </c>
      <c r="K155">
        <v>173772.4</v>
      </c>
      <c r="L155" s="32">
        <f t="shared" si="54"/>
        <v>290.58046790796692</v>
      </c>
      <c r="M155" s="32">
        <f t="shared" si="55"/>
        <v>305.75618112549074</v>
      </c>
      <c r="N155" s="61"/>
      <c r="O155" s="40">
        <v>43291.661944444444</v>
      </c>
      <c r="P155" s="50">
        <f t="shared" si="56"/>
        <v>4.6533333333791234</v>
      </c>
      <c r="Q155">
        <v>1399.68</v>
      </c>
      <c r="R155">
        <v>1620.7</v>
      </c>
      <c r="S155" s="32">
        <f t="shared" si="57"/>
        <v>0.8299525594581183</v>
      </c>
      <c r="T155" s="32">
        <f t="shared" si="58"/>
        <v>1.1028502435384027</v>
      </c>
      <c r="U155" s="61"/>
      <c r="V155" s="61"/>
      <c r="W155" s="40">
        <v>43291.66847222222</v>
      </c>
      <c r="X155" s="50">
        <f t="shared" si="59"/>
        <v>4.8099999999976717</v>
      </c>
      <c r="Y155">
        <v>35.700000000000003</v>
      </c>
      <c r="Z155">
        <v>2.5299999999999998</v>
      </c>
      <c r="AA155" s="32">
        <f t="shared" si="60"/>
        <v>3.1688242263809889E-2</v>
      </c>
      <c r="AB155" s="32">
        <f t="shared" si="61"/>
        <v>2.5771509353185087E-3</v>
      </c>
      <c r="AC155" s="61"/>
      <c r="AD155" s="40">
        <v>43291.669317129628</v>
      </c>
      <c r="AE155" s="50">
        <f t="shared" si="62"/>
        <v>4.8302777778008021</v>
      </c>
      <c r="AF155">
        <v>1819.43</v>
      </c>
      <c r="AG155">
        <v>2012.46</v>
      </c>
      <c r="AH155" s="32">
        <f t="shared" si="63"/>
        <v>1.6149730706454799</v>
      </c>
      <c r="AI155" s="32">
        <f t="shared" si="64"/>
        <v>2.0499656803522077</v>
      </c>
      <c r="AJ155" s="61"/>
      <c r="AK155" s="40">
        <v>43291.670173611114</v>
      </c>
      <c r="AL155" s="50">
        <f t="shared" si="65"/>
        <v>4.8508333334466442</v>
      </c>
      <c r="AM155">
        <v>643.85</v>
      </c>
      <c r="AN155">
        <v>674.86</v>
      </c>
      <c r="AO155" s="32">
        <f t="shared" si="66"/>
        <v>0.57149789304072829</v>
      </c>
      <c r="AP155" s="32">
        <f t="shared" si="67"/>
        <v>0.68743718585337898</v>
      </c>
      <c r="AQ155" s="61"/>
      <c r="AR155" s="61"/>
      <c r="AS155" s="61"/>
      <c r="AT155" s="61"/>
      <c r="AU155" s="61"/>
    </row>
    <row r="156" spans="1:47" x14ac:dyDescent="0.2">
      <c r="A156" s="40">
        <v>43291.676736111112</v>
      </c>
      <c r="B156" s="50">
        <f t="shared" si="50"/>
        <v>5.0083333334187046</v>
      </c>
      <c r="C156">
        <v>67.19</v>
      </c>
      <c r="D156">
        <v>59.15</v>
      </c>
      <c r="E156" s="32">
        <f t="shared" si="51"/>
        <v>4.6419723295229906E-2</v>
      </c>
      <c r="F156" s="32">
        <f t="shared" si="52"/>
        <v>4.6896675309528693E-2</v>
      </c>
      <c r="G156" s="61"/>
      <c r="H156" s="40">
        <v>43291.677581018521</v>
      </c>
      <c r="I156" s="50">
        <f t="shared" si="53"/>
        <v>5.028611111221835</v>
      </c>
      <c r="J156">
        <v>188905.93</v>
      </c>
      <c r="K156">
        <v>173893.28</v>
      </c>
      <c r="L156" s="32">
        <f t="shared" si="54"/>
        <v>289.63473057267447</v>
      </c>
      <c r="M156" s="32">
        <f t="shared" si="55"/>
        <v>305.96887201987016</v>
      </c>
      <c r="N156" s="61"/>
      <c r="O156" s="40">
        <v>43291.678437499999</v>
      </c>
      <c r="P156" s="50">
        <f t="shared" si="56"/>
        <v>5.0491666666930541</v>
      </c>
      <c r="Q156">
        <v>1356.36</v>
      </c>
      <c r="R156">
        <v>1515.27</v>
      </c>
      <c r="S156" s="32">
        <f t="shared" si="57"/>
        <v>0.80426558466693332</v>
      </c>
      <c r="T156" s="32">
        <f t="shared" si="58"/>
        <v>1.0311074773409239</v>
      </c>
      <c r="U156" s="61"/>
      <c r="V156" s="61"/>
      <c r="W156" s="40">
        <v>43291.684988425928</v>
      </c>
      <c r="X156" s="50">
        <f t="shared" si="59"/>
        <v>5.2063888889970258</v>
      </c>
      <c r="Y156">
        <v>0</v>
      </c>
      <c r="Z156">
        <v>0</v>
      </c>
      <c r="AA156" s="32">
        <f t="shared" si="60"/>
        <v>0</v>
      </c>
      <c r="AB156" s="32">
        <f t="shared" si="61"/>
        <v>0</v>
      </c>
      <c r="AC156" s="61"/>
      <c r="AD156" s="40">
        <v>43291.685833333337</v>
      </c>
      <c r="AE156" s="50">
        <f t="shared" si="62"/>
        <v>5.2266666668001562</v>
      </c>
      <c r="AF156">
        <v>1809.02</v>
      </c>
      <c r="AG156">
        <v>2047.24</v>
      </c>
      <c r="AH156" s="32">
        <f t="shared" si="63"/>
        <v>1.6057328857164528</v>
      </c>
      <c r="AI156" s="32">
        <f t="shared" si="64"/>
        <v>2.0853938659373372</v>
      </c>
      <c r="AJ156" s="61"/>
      <c r="AK156" s="40">
        <v>43291.686689814815</v>
      </c>
      <c r="AL156" s="50">
        <f t="shared" si="65"/>
        <v>5.2472222222713754</v>
      </c>
      <c r="AM156">
        <v>564.53</v>
      </c>
      <c r="AN156">
        <v>754.41</v>
      </c>
      <c r="AO156" s="32">
        <f t="shared" si="66"/>
        <v>0.5010914119100448</v>
      </c>
      <c r="AP156" s="32">
        <f t="shared" si="67"/>
        <v>0.76846973798957952</v>
      </c>
      <c r="AQ156" s="61"/>
      <c r="AR156" s="61"/>
      <c r="AS156" s="61"/>
      <c r="AT156" s="61"/>
      <c r="AU156" s="61"/>
    </row>
    <row r="157" spans="1:47" x14ac:dyDescent="0.2">
      <c r="A157" s="40">
        <v>43291.693240740744</v>
      </c>
      <c r="B157" s="50">
        <f t="shared" si="50"/>
        <v>5.404444444575347</v>
      </c>
      <c r="C157">
        <v>41.19</v>
      </c>
      <c r="D157">
        <v>49.92</v>
      </c>
      <c r="E157" s="32">
        <f t="shared" si="51"/>
        <v>2.8457038287401697E-2</v>
      </c>
      <c r="F157" s="32">
        <f t="shared" si="52"/>
        <v>3.9578732568920923E-2</v>
      </c>
      <c r="G157" s="61"/>
      <c r="H157" s="40">
        <v>43291.694085648145</v>
      </c>
      <c r="I157" s="50">
        <f t="shared" si="53"/>
        <v>5.4247222222038545</v>
      </c>
      <c r="J157">
        <v>189588.46</v>
      </c>
      <c r="K157">
        <v>173792.62</v>
      </c>
      <c r="L157" s="32">
        <f t="shared" si="54"/>
        <v>290.68120059432897</v>
      </c>
      <c r="M157" s="32">
        <f t="shared" si="55"/>
        <v>305.79175863942487</v>
      </c>
      <c r="N157" s="61"/>
      <c r="O157" s="40">
        <v>43291.69494212963</v>
      </c>
      <c r="P157" s="50">
        <f t="shared" si="56"/>
        <v>5.4452777778496966</v>
      </c>
      <c r="Q157">
        <v>1324.55</v>
      </c>
      <c r="R157">
        <v>1429.22</v>
      </c>
      <c r="S157" s="32">
        <f t="shared" si="57"/>
        <v>0.78540356555087631</v>
      </c>
      <c r="T157" s="32">
        <f t="shared" si="58"/>
        <v>0.97255236938974265</v>
      </c>
      <c r="U157" s="61"/>
      <c r="V157" s="61"/>
      <c r="W157" s="40">
        <v>43291.701562499999</v>
      </c>
      <c r="X157" s="50">
        <f t="shared" si="59"/>
        <v>5.6041666666860692</v>
      </c>
      <c r="Y157">
        <v>0</v>
      </c>
      <c r="Z157">
        <v>6</v>
      </c>
      <c r="AA157" s="32">
        <f t="shared" si="60"/>
        <v>0</v>
      </c>
      <c r="AB157" s="32">
        <f t="shared" si="61"/>
        <v>6.1118203999648429E-3</v>
      </c>
      <c r="AC157" s="61"/>
      <c r="AD157" s="40">
        <v>43291.702418981484</v>
      </c>
      <c r="AE157" s="50">
        <f t="shared" si="62"/>
        <v>5.6247222223319113</v>
      </c>
      <c r="AF157">
        <v>1739.45</v>
      </c>
      <c r="AG157">
        <v>2058.5100000000002</v>
      </c>
      <c r="AH157" s="32">
        <f t="shared" si="63"/>
        <v>1.5439807564645411</v>
      </c>
      <c r="AI157" s="32">
        <f t="shared" si="64"/>
        <v>2.0968739019219385</v>
      </c>
      <c r="AJ157" s="61"/>
      <c r="AK157" s="40">
        <v>43291.703263888892</v>
      </c>
      <c r="AL157" s="50">
        <f t="shared" si="65"/>
        <v>5.6450000001350418</v>
      </c>
      <c r="AM157">
        <v>610.49</v>
      </c>
      <c r="AN157">
        <v>683.45</v>
      </c>
      <c r="AO157" s="32">
        <f t="shared" si="66"/>
        <v>0.54188669522782362</v>
      </c>
      <c r="AP157" s="32">
        <f t="shared" si="67"/>
        <v>0.69618727539266201</v>
      </c>
      <c r="AQ157" s="61"/>
      <c r="AR157" s="61"/>
      <c r="AS157" s="61"/>
      <c r="AT157" s="61"/>
      <c r="AU157" s="61"/>
    </row>
    <row r="158" spans="1:47" x14ac:dyDescent="0.2">
      <c r="A158" s="40">
        <v>43291.709687499999</v>
      </c>
      <c r="B158" s="50">
        <f t="shared" si="50"/>
        <v>5.7991666666930541</v>
      </c>
      <c r="C158">
        <v>41.14</v>
      </c>
      <c r="D158">
        <v>36.58</v>
      </c>
      <c r="E158" s="32">
        <f t="shared" si="51"/>
        <v>2.8422494662386642E-2</v>
      </c>
      <c r="F158" s="32">
        <f t="shared" si="52"/>
        <v>2.9002204274261364E-2</v>
      </c>
      <c r="G158" s="61"/>
      <c r="H158" s="40">
        <v>43291.710543981484</v>
      </c>
      <c r="I158" s="50">
        <f t="shared" si="53"/>
        <v>5.8197222223388962</v>
      </c>
      <c r="J158">
        <v>188223.3</v>
      </c>
      <c r="K158">
        <v>174373.52</v>
      </c>
      <c r="L158" s="32">
        <f t="shared" si="54"/>
        <v>288.58810722881844</v>
      </c>
      <c r="M158" s="32">
        <f t="shared" si="55"/>
        <v>306.81386436861885</v>
      </c>
      <c r="N158" s="61"/>
      <c r="O158" s="40">
        <v>43291.711388888885</v>
      </c>
      <c r="P158" s="50">
        <f t="shared" si="56"/>
        <v>5.8399999999674037</v>
      </c>
      <c r="Q158">
        <v>1253.8399999999999</v>
      </c>
      <c r="R158">
        <v>1333.88</v>
      </c>
      <c r="S158" s="32">
        <f t="shared" si="57"/>
        <v>0.74347544949628974</v>
      </c>
      <c r="T158" s="32">
        <f t="shared" si="58"/>
        <v>0.90767562340408747</v>
      </c>
      <c r="U158" s="61"/>
      <c r="V158" s="61"/>
      <c r="W158" s="40">
        <v>43291.717928240738</v>
      </c>
      <c r="X158" s="50">
        <f t="shared" si="59"/>
        <v>5.9969444444286637</v>
      </c>
      <c r="Y158">
        <v>0</v>
      </c>
      <c r="Z158">
        <v>1.95</v>
      </c>
      <c r="AA158" s="32">
        <f t="shared" si="60"/>
        <v>0</v>
      </c>
      <c r="AB158" s="32">
        <f t="shared" si="61"/>
        <v>1.9863416299885739E-3</v>
      </c>
      <c r="AC158" s="61"/>
      <c r="AD158" s="40">
        <v>43291.718784722223</v>
      </c>
      <c r="AE158" s="50">
        <f t="shared" si="62"/>
        <v>6.0175000000745058</v>
      </c>
      <c r="AF158">
        <v>1733.88</v>
      </c>
      <c r="AG158">
        <v>1942.21</v>
      </c>
      <c r="AH158" s="32">
        <f t="shared" si="63"/>
        <v>1.5390366805707199</v>
      </c>
      <c r="AI158" s="32">
        <f t="shared" si="64"/>
        <v>1.9784064498359528</v>
      </c>
      <c r="AJ158" s="61"/>
      <c r="AK158" s="40">
        <v>43291.719629629632</v>
      </c>
      <c r="AL158" s="50">
        <f t="shared" si="65"/>
        <v>6.0377777778776363</v>
      </c>
      <c r="AM158">
        <v>590.5</v>
      </c>
      <c r="AN158">
        <v>655.61</v>
      </c>
      <c r="AO158" s="32">
        <f t="shared" si="66"/>
        <v>0.52414305481175738</v>
      </c>
      <c r="AP158" s="32">
        <f t="shared" si="67"/>
        <v>0.66782842873682513</v>
      </c>
      <c r="AQ158" s="61"/>
      <c r="AR158" s="61"/>
      <c r="AS158" s="61"/>
      <c r="AT158" s="61"/>
      <c r="AU158" s="61"/>
    </row>
    <row r="159" spans="1:47" x14ac:dyDescent="0.2">
      <c r="A159" s="40">
        <v>43291.726180555554</v>
      </c>
      <c r="B159" s="50">
        <f t="shared" si="50"/>
        <v>6.1950000000069849</v>
      </c>
      <c r="C159">
        <v>29.17</v>
      </c>
      <c r="D159">
        <v>45.62</v>
      </c>
      <c r="E159" s="32">
        <f t="shared" si="51"/>
        <v>2.0152750833782658E-2</v>
      </c>
      <c r="F159" s="32">
        <f t="shared" si="52"/>
        <v>3.6169506806774283E-2</v>
      </c>
      <c r="G159" s="61"/>
      <c r="H159" s="40">
        <v>43291.727025462962</v>
      </c>
      <c r="I159" s="50">
        <f t="shared" si="53"/>
        <v>6.2152777778101154</v>
      </c>
      <c r="J159">
        <v>189578.58</v>
      </c>
      <c r="K159">
        <v>174550.67</v>
      </c>
      <c r="L159" s="32">
        <f t="shared" si="54"/>
        <v>290.66605236082427</v>
      </c>
      <c r="M159" s="32">
        <f t="shared" si="55"/>
        <v>307.12556350775941</v>
      </c>
      <c r="N159" s="61"/>
      <c r="O159" s="40">
        <v>43291.727881944447</v>
      </c>
      <c r="P159" s="50">
        <f t="shared" si="56"/>
        <v>6.2358333334559575</v>
      </c>
      <c r="Q159">
        <v>1262.4000000000001</v>
      </c>
      <c r="R159">
        <v>1319.18</v>
      </c>
      <c r="S159" s="32">
        <f t="shared" si="57"/>
        <v>0.74855117674034677</v>
      </c>
      <c r="T159" s="32">
        <f t="shared" si="58"/>
        <v>0.897672600895286</v>
      </c>
      <c r="U159" s="61"/>
      <c r="V159" s="61"/>
      <c r="W159" s="40">
        <v>43291.7344212963</v>
      </c>
      <c r="X159" s="50">
        <f t="shared" si="59"/>
        <v>6.3927777779172175</v>
      </c>
      <c r="Y159">
        <v>0</v>
      </c>
      <c r="Z159">
        <v>0</v>
      </c>
      <c r="AA159" s="32">
        <f t="shared" si="60"/>
        <v>0</v>
      </c>
      <c r="AB159" s="32">
        <f t="shared" si="61"/>
        <v>0</v>
      </c>
      <c r="AC159" s="61"/>
      <c r="AD159" s="40">
        <v>43291.735277777778</v>
      </c>
      <c r="AE159" s="50">
        <f t="shared" si="62"/>
        <v>6.4133333333884366</v>
      </c>
      <c r="AF159">
        <v>1757.92</v>
      </c>
      <c r="AG159">
        <v>1918.93</v>
      </c>
      <c r="AH159" s="32">
        <f t="shared" si="63"/>
        <v>1.5603752056133524</v>
      </c>
      <c r="AI159" s="32">
        <f t="shared" si="64"/>
        <v>1.9546925866840894</v>
      </c>
      <c r="AJ159" s="61"/>
      <c r="AK159" s="40">
        <v>43291.736134259256</v>
      </c>
      <c r="AL159" s="50">
        <f t="shared" si="65"/>
        <v>6.4338888888596557</v>
      </c>
      <c r="AM159">
        <v>628.04999999999995</v>
      </c>
      <c r="AN159">
        <v>701.38</v>
      </c>
      <c r="AO159" s="32">
        <f t="shared" si="66"/>
        <v>0.5574734048679495</v>
      </c>
      <c r="AP159" s="32">
        <f t="shared" si="67"/>
        <v>0.71445143202122352</v>
      </c>
      <c r="AQ159" s="61"/>
      <c r="AR159" s="61"/>
      <c r="AS159" s="61"/>
      <c r="AT159" s="61"/>
      <c r="AU159" s="61"/>
    </row>
    <row r="160" spans="1:47" x14ac:dyDescent="0.2">
      <c r="A160" s="40">
        <v>43291.742673611108</v>
      </c>
      <c r="B160" s="50">
        <f t="shared" si="50"/>
        <v>6.5908333333209157</v>
      </c>
      <c r="C160">
        <v>45.16</v>
      </c>
      <c r="D160">
        <v>47.87</v>
      </c>
      <c r="E160" s="32">
        <f t="shared" si="51"/>
        <v>3.1199802113597002E-2</v>
      </c>
      <c r="F160" s="32">
        <f t="shared" si="52"/>
        <v>3.7953404007897526E-2</v>
      </c>
      <c r="G160" s="61"/>
      <c r="H160" s="40">
        <v>43291.743530092594</v>
      </c>
      <c r="I160" s="50">
        <f t="shared" si="53"/>
        <v>6.6113888889667578</v>
      </c>
      <c r="J160">
        <v>187477.74</v>
      </c>
      <c r="K160">
        <v>174992.37</v>
      </c>
      <c r="L160" s="32">
        <f t="shared" si="54"/>
        <v>287.44499822358097</v>
      </c>
      <c r="M160" s="32">
        <f t="shared" si="55"/>
        <v>307.90274391847555</v>
      </c>
      <c r="N160" s="61"/>
      <c r="O160" s="40">
        <v>43291.744386574072</v>
      </c>
      <c r="P160" s="50">
        <f t="shared" si="56"/>
        <v>6.6319444444379769</v>
      </c>
      <c r="Q160">
        <v>1259.3499999999999</v>
      </c>
      <c r="R160">
        <v>1249.0999999999999</v>
      </c>
      <c r="S160" s="32">
        <f t="shared" si="57"/>
        <v>0.74674265243025628</v>
      </c>
      <c r="T160" s="32">
        <f t="shared" si="58"/>
        <v>0.84998472215944887</v>
      </c>
      <c r="U160" s="61"/>
      <c r="V160" s="61"/>
      <c r="W160" s="40">
        <v>43291.750914351855</v>
      </c>
      <c r="X160" s="50">
        <f t="shared" si="59"/>
        <v>6.7886111112311482</v>
      </c>
      <c r="Y160">
        <v>0</v>
      </c>
      <c r="Z160">
        <v>3.3</v>
      </c>
      <c r="AA160" s="32">
        <f t="shared" si="60"/>
        <v>0</v>
      </c>
      <c r="AB160" s="32">
        <f t="shared" si="61"/>
        <v>3.3615012199806633E-3</v>
      </c>
      <c r="AC160" s="61"/>
      <c r="AD160" s="40">
        <v>43291.751770833333</v>
      </c>
      <c r="AE160" s="50">
        <f t="shared" si="62"/>
        <v>6.8091666667023674</v>
      </c>
      <c r="AF160">
        <v>1800.96</v>
      </c>
      <c r="AG160">
        <v>1962.28</v>
      </c>
      <c r="AH160" s="32">
        <f t="shared" si="63"/>
        <v>1.5985786214966682</v>
      </c>
      <c r="AI160" s="32">
        <f t="shared" si="64"/>
        <v>1.9988504890738352</v>
      </c>
      <c r="AJ160" s="61"/>
      <c r="AK160" s="40">
        <v>43291.752627314818</v>
      </c>
      <c r="AL160" s="50">
        <f t="shared" si="65"/>
        <v>6.8297222223482095</v>
      </c>
      <c r="AM160">
        <v>567.83000000000004</v>
      </c>
      <c r="AN160">
        <v>690.21</v>
      </c>
      <c r="AO160" s="32">
        <f t="shared" si="66"/>
        <v>0.50402057716132131</v>
      </c>
      <c r="AP160" s="32">
        <f t="shared" si="67"/>
        <v>0.70307325970995571</v>
      </c>
      <c r="AQ160" s="61"/>
      <c r="AR160" s="61"/>
      <c r="AS160" s="61"/>
      <c r="AT160" s="61"/>
      <c r="AU160" s="61"/>
    </row>
    <row r="161" spans="1:47" x14ac:dyDescent="0.2">
      <c r="A161" s="40">
        <v>43291.759166666663</v>
      </c>
      <c r="B161" s="50">
        <f t="shared" si="50"/>
        <v>6.9866666666348465</v>
      </c>
      <c r="C161">
        <v>57.65</v>
      </c>
      <c r="D161">
        <v>34.33</v>
      </c>
      <c r="E161" s="32">
        <f t="shared" si="51"/>
        <v>3.9828799642357561E-2</v>
      </c>
      <c r="F161" s="32">
        <f t="shared" si="52"/>
        <v>2.7218307073138121E-2</v>
      </c>
      <c r="G161" s="61"/>
      <c r="H161" s="40">
        <v>43291.760023148148</v>
      </c>
      <c r="I161" s="50">
        <f t="shared" si="53"/>
        <v>7.0072222222806886</v>
      </c>
      <c r="J161">
        <v>188018.34</v>
      </c>
      <c r="K161">
        <v>173282.61</v>
      </c>
      <c r="L161" s="32">
        <f t="shared" si="54"/>
        <v>288.27385804469714</v>
      </c>
      <c r="M161" s="32">
        <f t="shared" si="55"/>
        <v>304.89438535151595</v>
      </c>
      <c r="N161" s="61"/>
      <c r="O161" s="40">
        <v>43291.760879629626</v>
      </c>
      <c r="P161" s="50">
        <f t="shared" si="56"/>
        <v>7.0277777777519077</v>
      </c>
      <c r="Q161">
        <v>1291.32</v>
      </c>
      <c r="R161">
        <v>1213.07</v>
      </c>
      <c r="S161" s="32">
        <f t="shared" si="57"/>
        <v>0.76569954495274428</v>
      </c>
      <c r="T161" s="32">
        <f t="shared" si="58"/>
        <v>0.82546710984705995</v>
      </c>
      <c r="U161" s="61"/>
      <c r="V161" s="61"/>
      <c r="W161" s="40">
        <v>43291.767418981479</v>
      </c>
      <c r="X161" s="50">
        <f t="shared" si="59"/>
        <v>7.1847222222131677</v>
      </c>
      <c r="Y161">
        <v>0</v>
      </c>
      <c r="Z161">
        <v>4.6500000000000004</v>
      </c>
      <c r="AA161" s="32">
        <f t="shared" si="60"/>
        <v>0</v>
      </c>
      <c r="AB161" s="32">
        <f t="shared" si="61"/>
        <v>4.736660809972754E-3</v>
      </c>
      <c r="AC161" s="61"/>
      <c r="AD161" s="40">
        <v>43291.768263888887</v>
      </c>
      <c r="AE161" s="50">
        <f t="shared" si="62"/>
        <v>7.2050000000162981</v>
      </c>
      <c r="AF161">
        <v>1775.98</v>
      </c>
      <c r="AG161">
        <v>1993.35</v>
      </c>
      <c r="AH161" s="32">
        <f t="shared" si="63"/>
        <v>1.5764057281703387</v>
      </c>
      <c r="AI161" s="32">
        <f t="shared" si="64"/>
        <v>2.0304995323783199</v>
      </c>
      <c r="AJ161" s="61"/>
      <c r="AK161" s="40">
        <v>43291.769120370373</v>
      </c>
      <c r="AL161" s="50">
        <f t="shared" si="65"/>
        <v>7.2255555556621403</v>
      </c>
      <c r="AM161">
        <v>607.46</v>
      </c>
      <c r="AN161">
        <v>707.29</v>
      </c>
      <c r="AO161" s="32">
        <f t="shared" si="66"/>
        <v>0.53919718895165147</v>
      </c>
      <c r="AP161" s="32">
        <f t="shared" si="67"/>
        <v>0.720471575115189</v>
      </c>
      <c r="AQ161" s="61"/>
      <c r="AR161" s="61"/>
      <c r="AS161" s="61"/>
      <c r="AT161" s="61"/>
      <c r="AU161" s="61"/>
    </row>
    <row r="162" spans="1:47" x14ac:dyDescent="0.2">
      <c r="A162" s="40">
        <v>43291.775671296295</v>
      </c>
      <c r="B162" s="50">
        <f t="shared" si="50"/>
        <v>7.3827777777914889</v>
      </c>
      <c r="C162">
        <v>44.68</v>
      </c>
      <c r="D162">
        <v>46.75</v>
      </c>
      <c r="E162" s="32">
        <f t="shared" si="51"/>
        <v>3.0868183313452487E-2</v>
      </c>
      <c r="F162" s="32">
        <f t="shared" si="52"/>
        <v>3.7065419623338397E-2</v>
      </c>
      <c r="G162" s="61"/>
      <c r="H162" s="40">
        <v>43291.77652777778</v>
      </c>
      <c r="I162" s="50">
        <f t="shared" si="53"/>
        <v>7.403333333437331</v>
      </c>
      <c r="J162">
        <v>188238.91</v>
      </c>
      <c r="K162">
        <v>173898.55</v>
      </c>
      <c r="L162" s="32">
        <f t="shared" si="54"/>
        <v>288.61204082446704</v>
      </c>
      <c r="M162" s="32">
        <f t="shared" si="55"/>
        <v>305.97814469536138</v>
      </c>
      <c r="N162" s="61"/>
      <c r="O162" s="40">
        <v>43291.777372685188</v>
      </c>
      <c r="P162" s="50">
        <f t="shared" si="56"/>
        <v>7.4236111112404615</v>
      </c>
      <c r="Q162">
        <v>1285.8</v>
      </c>
      <c r="R162">
        <v>1139.3</v>
      </c>
      <c r="S162" s="32">
        <f t="shared" si="57"/>
        <v>0.76242641243087583</v>
      </c>
      <c r="T162" s="32">
        <f t="shared" si="58"/>
        <v>0.77526826831819706</v>
      </c>
      <c r="U162" s="61"/>
      <c r="V162" s="61"/>
      <c r="W162" s="40">
        <v>43291.78392361111</v>
      </c>
      <c r="X162" s="50">
        <f t="shared" si="59"/>
        <v>7.5808333333698101</v>
      </c>
      <c r="Y162">
        <v>0</v>
      </c>
      <c r="Z162">
        <v>0</v>
      </c>
      <c r="AA162" s="32">
        <f t="shared" si="60"/>
        <v>0</v>
      </c>
      <c r="AB162" s="32">
        <f t="shared" si="61"/>
        <v>0</v>
      </c>
      <c r="AC162" s="61"/>
      <c r="AD162" s="40">
        <v>43291.784780092596</v>
      </c>
      <c r="AE162" s="50">
        <f t="shared" si="62"/>
        <v>7.6013888890156522</v>
      </c>
      <c r="AF162">
        <v>1745.4</v>
      </c>
      <c r="AG162">
        <v>1888.79</v>
      </c>
      <c r="AH162" s="32">
        <f t="shared" si="63"/>
        <v>1.5492621301751759</v>
      </c>
      <c r="AI162" s="32">
        <f t="shared" si="64"/>
        <v>1.9239908755415993</v>
      </c>
      <c r="AJ162" s="61"/>
      <c r="AK162" s="40">
        <v>43291.785636574074</v>
      </c>
      <c r="AL162" s="50">
        <f t="shared" si="65"/>
        <v>7.6219444444868714</v>
      </c>
      <c r="AM162">
        <v>625.53</v>
      </c>
      <c r="AN162">
        <v>650.32000000000005</v>
      </c>
      <c r="AO162" s="32">
        <f t="shared" si="66"/>
        <v>0.55523658776697471</v>
      </c>
      <c r="AP162" s="32">
        <f t="shared" si="67"/>
        <v>0.6624398404175228</v>
      </c>
      <c r="AQ162" s="61"/>
      <c r="AR162" s="61"/>
      <c r="AS162" s="61"/>
      <c r="AT162" s="61"/>
      <c r="AU162" s="61"/>
    </row>
    <row r="163" spans="1:47" x14ac:dyDescent="0.2">
      <c r="A163" s="40">
        <v>43291.792187500003</v>
      </c>
      <c r="B163" s="50">
        <f t="shared" si="50"/>
        <v>7.779166666790843</v>
      </c>
      <c r="C163">
        <v>43.68</v>
      </c>
      <c r="D163">
        <v>27.57</v>
      </c>
      <c r="E163" s="32">
        <f t="shared" si="51"/>
        <v>3.0177310813151399E-2</v>
      </c>
      <c r="F163" s="32">
        <f t="shared" si="52"/>
        <v>2.1858687037763419E-2</v>
      </c>
      <c r="G163" s="61"/>
      <c r="H163" s="40">
        <v>43291.793043981481</v>
      </c>
      <c r="I163" s="50">
        <f t="shared" si="53"/>
        <v>7.7997222222620621</v>
      </c>
      <c r="J163">
        <v>188153.59</v>
      </c>
      <c r="K163">
        <v>173118.77</v>
      </c>
      <c r="L163" s="32">
        <f t="shared" si="54"/>
        <v>288.48122632217769</v>
      </c>
      <c r="M163" s="32">
        <f t="shared" si="55"/>
        <v>304.60610543643395</v>
      </c>
      <c r="N163" s="61"/>
      <c r="O163" s="40">
        <v>43291.793900462966</v>
      </c>
      <c r="P163" s="50">
        <f t="shared" si="56"/>
        <v>7.8202777779079042</v>
      </c>
      <c r="Q163">
        <v>1299.3900000000001</v>
      </c>
      <c r="R163">
        <v>1171.3800000000001</v>
      </c>
      <c r="S163" s="32">
        <f t="shared" si="57"/>
        <v>0.77048472238960652</v>
      </c>
      <c r="T163" s="32">
        <f t="shared" si="58"/>
        <v>0.79709799362992184</v>
      </c>
      <c r="U163" s="61"/>
      <c r="V163" s="61"/>
      <c r="W163" s="40">
        <v>43291.800428240742</v>
      </c>
      <c r="X163" s="50">
        <f t="shared" si="59"/>
        <v>7.9769444445264526</v>
      </c>
      <c r="Y163">
        <v>0.66</v>
      </c>
      <c r="Z163">
        <v>0</v>
      </c>
      <c r="AA163" s="32">
        <f t="shared" si="60"/>
        <v>5.8583305025530893E-4</v>
      </c>
      <c r="AB163" s="32">
        <f t="shared" si="61"/>
        <v>0</v>
      </c>
      <c r="AC163" s="61"/>
      <c r="AD163" s="40">
        <v>43291.80128472222</v>
      </c>
      <c r="AE163" s="50">
        <f t="shared" si="62"/>
        <v>7.9974999999976717</v>
      </c>
      <c r="AF163">
        <v>1755.93</v>
      </c>
      <c r="AG163">
        <v>1987.22</v>
      </c>
      <c r="AH163" s="32">
        <f t="shared" si="63"/>
        <v>1.5586088302042493</v>
      </c>
      <c r="AI163" s="32">
        <f t="shared" si="64"/>
        <v>2.0242552892030226</v>
      </c>
      <c r="AJ163" s="61"/>
      <c r="AK163" s="40">
        <v>43291.802141203705</v>
      </c>
      <c r="AL163" s="50">
        <f t="shared" si="65"/>
        <v>8.0180555556435138</v>
      </c>
      <c r="AM163">
        <v>581.52</v>
      </c>
      <c r="AN163">
        <v>644.47</v>
      </c>
      <c r="AO163" s="32">
        <f t="shared" si="66"/>
        <v>0.51617217482495026</v>
      </c>
      <c r="AP163" s="32">
        <f t="shared" si="67"/>
        <v>0.65648081552755699</v>
      </c>
      <c r="AQ163" s="61"/>
      <c r="AR163" s="61"/>
      <c r="AS163" s="61"/>
      <c r="AT163" s="61"/>
      <c r="AU163" s="61"/>
    </row>
    <row r="164" spans="1:47" x14ac:dyDescent="0.2">
      <c r="A164" s="40">
        <v>43291.80878472222</v>
      </c>
      <c r="B164" s="50">
        <f t="shared" si="50"/>
        <v>8.1774999999906868</v>
      </c>
      <c r="C164">
        <v>42.69</v>
      </c>
      <c r="D164">
        <v>33.21</v>
      </c>
      <c r="E164" s="32">
        <f t="shared" si="51"/>
        <v>2.9493347037853324E-2</v>
      </c>
      <c r="F164" s="32">
        <f t="shared" si="52"/>
        <v>2.6330322688578999E-2</v>
      </c>
      <c r="G164" s="61"/>
      <c r="H164" s="40">
        <v>43291.809629629628</v>
      </c>
      <c r="I164" s="50">
        <f t="shared" si="53"/>
        <v>8.1977777777938172</v>
      </c>
      <c r="J164">
        <v>187601.29</v>
      </c>
      <c r="K164">
        <v>172770.88</v>
      </c>
      <c r="L164" s="32">
        <f t="shared" si="54"/>
        <v>287.63442780349015</v>
      </c>
      <c r="M164" s="32">
        <f t="shared" si="55"/>
        <v>303.99398568754549</v>
      </c>
      <c r="N164" s="61"/>
      <c r="O164" s="40">
        <v>43291.810486111113</v>
      </c>
      <c r="P164" s="50">
        <f t="shared" si="56"/>
        <v>8.2183333334396593</v>
      </c>
      <c r="Q164">
        <v>1263.3499999999999</v>
      </c>
      <c r="R164">
        <v>1195.53</v>
      </c>
      <c r="S164" s="32">
        <f t="shared" si="57"/>
        <v>0.74911448759103061</v>
      </c>
      <c r="T164" s="32">
        <f t="shared" si="58"/>
        <v>0.81353153060866701</v>
      </c>
      <c r="U164" s="61"/>
      <c r="V164" s="61"/>
      <c r="W164" s="40">
        <v>43291.816886574074</v>
      </c>
      <c r="X164" s="50">
        <f t="shared" si="59"/>
        <v>8.3719444444868714</v>
      </c>
      <c r="Y164">
        <v>0</v>
      </c>
      <c r="Z164">
        <v>8.67</v>
      </c>
      <c r="AA164" s="32">
        <f t="shared" si="60"/>
        <v>0</v>
      </c>
      <c r="AB164" s="32">
        <f t="shared" si="61"/>
        <v>8.8315804779491979E-3</v>
      </c>
      <c r="AC164" s="61"/>
      <c r="AD164" s="40">
        <v>43291.817731481482</v>
      </c>
      <c r="AE164" s="50">
        <f t="shared" si="62"/>
        <v>8.3922222222900018</v>
      </c>
      <c r="AF164">
        <v>1753.4</v>
      </c>
      <c r="AG164">
        <v>1951.9</v>
      </c>
      <c r="AH164" s="32">
        <f t="shared" si="63"/>
        <v>1.5563631368449375</v>
      </c>
      <c r="AI164" s="32">
        <f t="shared" si="64"/>
        <v>1.9882770397818961</v>
      </c>
      <c r="AJ164" s="61"/>
      <c r="AK164" s="40">
        <v>43291.81858796296</v>
      </c>
      <c r="AL164" s="50">
        <f t="shared" si="65"/>
        <v>8.4127777777612209</v>
      </c>
      <c r="AM164">
        <v>627.55999999999995</v>
      </c>
      <c r="AN164">
        <v>650.88</v>
      </c>
      <c r="AO164" s="32">
        <f t="shared" si="66"/>
        <v>0.55703846820942671</v>
      </c>
      <c r="AP164" s="32">
        <f t="shared" si="67"/>
        <v>0.66301027698818604</v>
      </c>
      <c r="AQ164" s="61"/>
      <c r="AR164" s="61"/>
      <c r="AS164" s="61"/>
      <c r="AT164" s="61"/>
      <c r="AU164" s="61"/>
    </row>
    <row r="165" spans="1:47" x14ac:dyDescent="0.2">
      <c r="A165" s="40">
        <v>43291.825138888889</v>
      </c>
      <c r="B165" s="50">
        <f t="shared" si="50"/>
        <v>8.5700000000651926</v>
      </c>
      <c r="C165">
        <v>48.16</v>
      </c>
      <c r="D165">
        <v>52.38</v>
      </c>
      <c r="E165" s="32">
        <f t="shared" si="51"/>
        <v>3.3272419614500261E-2</v>
      </c>
      <c r="F165" s="32">
        <f t="shared" si="52"/>
        <v>4.1529126842148996E-2</v>
      </c>
      <c r="G165" s="61"/>
      <c r="H165" s="40">
        <v>43291.825983796298</v>
      </c>
      <c r="I165" s="50">
        <f t="shared" si="53"/>
        <v>8.590277777868323</v>
      </c>
      <c r="J165">
        <v>187422.33</v>
      </c>
      <c r="K165">
        <v>172629.73</v>
      </c>
      <c r="L165" s="32">
        <f t="shared" si="54"/>
        <v>287.36004239174957</v>
      </c>
      <c r="M165" s="32">
        <f t="shared" si="55"/>
        <v>303.74562930318376</v>
      </c>
      <c r="N165" s="61"/>
      <c r="O165" s="40">
        <v>43291.826840277776</v>
      </c>
      <c r="P165" s="50">
        <f t="shared" si="56"/>
        <v>8.6108333333395422</v>
      </c>
      <c r="Q165">
        <v>1191.81</v>
      </c>
      <c r="R165">
        <v>1179.3699999999999</v>
      </c>
      <c r="S165" s="32">
        <f t="shared" si="57"/>
        <v>0.70669421574058355</v>
      </c>
      <c r="T165" s="32">
        <f t="shared" si="58"/>
        <v>0.80253501062620214</v>
      </c>
      <c r="U165" s="61"/>
      <c r="V165" s="61"/>
      <c r="W165" s="40">
        <v>43291.833379629628</v>
      </c>
      <c r="X165" s="50">
        <f t="shared" si="59"/>
        <v>8.7677777778008021</v>
      </c>
      <c r="Y165">
        <v>0</v>
      </c>
      <c r="Z165">
        <v>0</v>
      </c>
      <c r="AA165" s="32">
        <f t="shared" si="60"/>
        <v>0</v>
      </c>
      <c r="AB165" s="32">
        <f t="shared" si="61"/>
        <v>0</v>
      </c>
      <c r="AC165" s="61"/>
      <c r="AD165" s="40">
        <v>43291.834236111114</v>
      </c>
      <c r="AE165" s="50">
        <f t="shared" si="62"/>
        <v>8.7883333334466442</v>
      </c>
      <c r="AF165">
        <v>1708.39</v>
      </c>
      <c r="AG165">
        <v>1930.29</v>
      </c>
      <c r="AH165" s="32">
        <f t="shared" si="63"/>
        <v>1.5164110980691927</v>
      </c>
      <c r="AI165" s="32">
        <f t="shared" si="64"/>
        <v>1.9662642999746891</v>
      </c>
      <c r="AJ165" s="61"/>
      <c r="AK165" s="40">
        <v>43291.835092592592</v>
      </c>
      <c r="AL165" s="50">
        <f t="shared" si="65"/>
        <v>8.8088888889178634</v>
      </c>
      <c r="AM165">
        <v>564.52</v>
      </c>
      <c r="AN165">
        <v>664.11</v>
      </c>
      <c r="AO165" s="32">
        <f t="shared" si="66"/>
        <v>0.50108253565170746</v>
      </c>
      <c r="AP165" s="32">
        <f t="shared" si="67"/>
        <v>0.67648684097010858</v>
      </c>
      <c r="AQ165" s="61"/>
      <c r="AR165" s="61"/>
      <c r="AS165" s="61"/>
      <c r="AT165" s="61"/>
      <c r="AU165" s="61"/>
    </row>
    <row r="166" spans="1:47" x14ac:dyDescent="0.2">
      <c r="A166" s="40">
        <v>43291.841631944444</v>
      </c>
      <c r="B166" s="50">
        <f t="shared" si="50"/>
        <v>8.9658333333791234</v>
      </c>
      <c r="C166">
        <v>24.15</v>
      </c>
      <c r="D166">
        <v>42.01</v>
      </c>
      <c r="E166" s="32">
        <f t="shared" si="51"/>
        <v>1.6684570882271207E-2</v>
      </c>
      <c r="F166" s="32">
        <f t="shared" si="52"/>
        <v>3.3307342852972113E-2</v>
      </c>
      <c r="G166" s="61"/>
      <c r="H166" s="40">
        <v>43291.842488425929</v>
      </c>
      <c r="I166" s="50">
        <f t="shared" si="53"/>
        <v>8.9863888890249655</v>
      </c>
      <c r="J166">
        <v>186773.27</v>
      </c>
      <c r="K166">
        <v>173456.37</v>
      </c>
      <c r="L166" s="32">
        <f t="shared" si="54"/>
        <v>286.36488931092515</v>
      </c>
      <c r="M166" s="32">
        <f t="shared" si="55"/>
        <v>305.20011971458149</v>
      </c>
      <c r="N166" s="61"/>
      <c r="O166" s="40">
        <v>43291.843333333331</v>
      </c>
      <c r="P166" s="50">
        <f t="shared" si="56"/>
        <v>9.0066666666534729</v>
      </c>
      <c r="Q166">
        <v>1229.06</v>
      </c>
      <c r="R166">
        <v>1146.72</v>
      </c>
      <c r="S166" s="32">
        <f t="shared" si="57"/>
        <v>0.7287819306752934</v>
      </c>
      <c r="T166" s="32">
        <f t="shared" si="58"/>
        <v>0.78031741301311597</v>
      </c>
      <c r="U166" s="61"/>
      <c r="V166" s="61"/>
      <c r="W166" s="40">
        <v>43291.84988425926</v>
      </c>
      <c r="X166" s="50">
        <f t="shared" si="59"/>
        <v>9.1638888889574446</v>
      </c>
      <c r="Y166">
        <v>0</v>
      </c>
      <c r="Z166">
        <v>0</v>
      </c>
      <c r="AA166" s="32">
        <f t="shared" si="60"/>
        <v>0</v>
      </c>
      <c r="AB166" s="32">
        <f t="shared" si="61"/>
        <v>0</v>
      </c>
      <c r="AC166" s="61"/>
      <c r="AD166" s="40">
        <v>43291.850740740738</v>
      </c>
      <c r="AE166" s="50">
        <f t="shared" si="62"/>
        <v>9.1844444444286637</v>
      </c>
      <c r="AF166">
        <v>1688.31</v>
      </c>
      <c r="AG166">
        <v>1935.66</v>
      </c>
      <c r="AH166" s="32">
        <f t="shared" si="63"/>
        <v>1.4985875713280916</v>
      </c>
      <c r="AI166" s="32">
        <f t="shared" si="64"/>
        <v>1.9717343792326578</v>
      </c>
      <c r="AJ166" s="61"/>
      <c r="AK166" s="40">
        <v>43291.851597222223</v>
      </c>
      <c r="AL166" s="50">
        <f t="shared" si="65"/>
        <v>9.2050000000745058</v>
      </c>
      <c r="AM166">
        <v>574.48</v>
      </c>
      <c r="AN166">
        <v>603.49</v>
      </c>
      <c r="AO166" s="32">
        <f t="shared" si="66"/>
        <v>0.50992328895556038</v>
      </c>
      <c r="AP166" s="32">
        <f t="shared" si="67"/>
        <v>0.61473708219579715</v>
      </c>
      <c r="AQ166" s="61"/>
      <c r="AR166" s="61"/>
      <c r="AS166" s="61"/>
      <c r="AT166" s="61"/>
      <c r="AU166" s="61"/>
    </row>
    <row r="167" spans="1:47" x14ac:dyDescent="0.2">
      <c r="A167" s="40">
        <v>43291.858136574076</v>
      </c>
      <c r="B167" s="50">
        <f t="shared" si="50"/>
        <v>9.3619444445357658</v>
      </c>
      <c r="C167">
        <v>36.17</v>
      </c>
      <c r="D167">
        <v>36.590000000000003</v>
      </c>
      <c r="E167" s="32">
        <f t="shared" si="51"/>
        <v>2.4988858335890252E-2</v>
      </c>
      <c r="F167" s="32">
        <f t="shared" si="52"/>
        <v>2.9010132706266359E-2</v>
      </c>
      <c r="G167" s="61"/>
      <c r="H167" s="40">
        <v>43291.858993055554</v>
      </c>
      <c r="I167" s="50">
        <f t="shared" si="53"/>
        <v>9.3825000000069849</v>
      </c>
      <c r="J167">
        <v>187022.77</v>
      </c>
      <c r="K167">
        <v>172900.67</v>
      </c>
      <c r="L167" s="32">
        <f t="shared" si="54"/>
        <v>286.74742820357869</v>
      </c>
      <c r="M167" s="32">
        <f t="shared" si="55"/>
        <v>304.22235391373266</v>
      </c>
      <c r="N167" s="61"/>
      <c r="O167" s="40">
        <v>43291.859837962962</v>
      </c>
      <c r="P167" s="50">
        <f t="shared" si="56"/>
        <v>9.4027777778101154</v>
      </c>
      <c r="Q167">
        <v>1253.03</v>
      </c>
      <c r="R167">
        <v>1106.94</v>
      </c>
      <c r="S167" s="32">
        <f t="shared" si="57"/>
        <v>0.74299515287623308</v>
      </c>
      <c r="T167" s="32">
        <f t="shared" si="58"/>
        <v>0.75324800924440027</v>
      </c>
      <c r="U167" s="61"/>
      <c r="V167" s="61"/>
      <c r="W167" s="40">
        <v>43291.866377314815</v>
      </c>
      <c r="X167" s="50">
        <f t="shared" si="59"/>
        <v>9.5597222222713754</v>
      </c>
      <c r="Y167">
        <v>0</v>
      </c>
      <c r="Z167">
        <v>0</v>
      </c>
      <c r="AA167" s="32">
        <f t="shared" si="60"/>
        <v>0</v>
      </c>
      <c r="AB167" s="32">
        <f t="shared" si="61"/>
        <v>0</v>
      </c>
      <c r="AC167" s="61"/>
      <c r="AD167" s="40">
        <v>43291.8672337963</v>
      </c>
      <c r="AE167" s="50">
        <f t="shared" si="62"/>
        <v>9.5802777779172175</v>
      </c>
      <c r="AF167">
        <v>1730.89</v>
      </c>
      <c r="AG167">
        <v>1836.48</v>
      </c>
      <c r="AH167" s="32">
        <f t="shared" si="63"/>
        <v>1.5363826793278965</v>
      </c>
      <c r="AI167" s="32">
        <f t="shared" si="64"/>
        <v>1.8707059880212393</v>
      </c>
      <c r="AJ167" s="61"/>
      <c r="AK167" s="40">
        <v>43291.868090277778</v>
      </c>
      <c r="AL167" s="50">
        <f t="shared" si="65"/>
        <v>9.6008333333884366</v>
      </c>
      <c r="AM167">
        <v>587</v>
      </c>
      <c r="AN167">
        <v>658.23</v>
      </c>
      <c r="AO167" s="32">
        <f t="shared" si="66"/>
        <v>0.52103636439373691</v>
      </c>
      <c r="AP167" s="32">
        <f t="shared" si="67"/>
        <v>0.670497256978143</v>
      </c>
      <c r="AQ167" s="61"/>
      <c r="AR167" s="61"/>
      <c r="AS167" s="61"/>
      <c r="AT167" s="61"/>
      <c r="AU167" s="61"/>
    </row>
    <row r="168" spans="1:47" x14ac:dyDescent="0.2">
      <c r="A168" s="40">
        <v>43291.87462962963</v>
      </c>
      <c r="B168" s="50">
        <f t="shared" si="50"/>
        <v>9.7577777778496966</v>
      </c>
      <c r="C168">
        <v>20.170000000000002</v>
      </c>
      <c r="D168">
        <v>29.83</v>
      </c>
      <c r="E168" s="32">
        <f t="shared" si="51"/>
        <v>1.3934898331072889E-2</v>
      </c>
      <c r="F168" s="32">
        <f t="shared" si="52"/>
        <v>2.3650512670891646E-2</v>
      </c>
      <c r="G168" s="61"/>
      <c r="H168" s="40">
        <v>43291.875486111108</v>
      </c>
      <c r="I168" s="50">
        <f t="shared" si="53"/>
        <v>9.7783333333209157</v>
      </c>
      <c r="J168">
        <v>187011.42</v>
      </c>
      <c r="K168">
        <v>172775</v>
      </c>
      <c r="L168" s="32">
        <f t="shared" si="54"/>
        <v>286.7300261337125</v>
      </c>
      <c r="M168" s="32">
        <f t="shared" si="55"/>
        <v>304.00123491392571</v>
      </c>
      <c r="N168" s="61"/>
      <c r="O168" s="40">
        <v>43291.876331018517</v>
      </c>
      <c r="P168" s="50">
        <f t="shared" si="56"/>
        <v>9.7986111111240461</v>
      </c>
      <c r="Q168">
        <v>1268.31</v>
      </c>
      <c r="R168">
        <v>1166.1500000000001</v>
      </c>
      <c r="S168" s="32">
        <f t="shared" si="57"/>
        <v>0.75205556319039057</v>
      </c>
      <c r="T168" s="32">
        <f t="shared" si="58"/>
        <v>0.79353909514549781</v>
      </c>
      <c r="U168" s="61"/>
      <c r="V168" s="61"/>
      <c r="W168" s="40">
        <v>43291.882870370369</v>
      </c>
      <c r="X168" s="50">
        <f t="shared" si="59"/>
        <v>9.9555555555853061</v>
      </c>
      <c r="Y168">
        <v>0</v>
      </c>
      <c r="Z168">
        <v>4.6500000000000004</v>
      </c>
      <c r="AA168" s="32">
        <f t="shared" si="60"/>
        <v>0</v>
      </c>
      <c r="AB168" s="32">
        <f t="shared" si="61"/>
        <v>4.736660809972754E-3</v>
      </c>
      <c r="AC168" s="61"/>
      <c r="AD168" s="40">
        <v>43291.883726851855</v>
      </c>
      <c r="AE168" s="50">
        <f t="shared" si="62"/>
        <v>9.9761111112311482</v>
      </c>
      <c r="AF168">
        <v>1769.86</v>
      </c>
      <c r="AG168">
        <v>1945.38</v>
      </c>
      <c r="AH168" s="32">
        <f t="shared" si="63"/>
        <v>1.5709734580679713</v>
      </c>
      <c r="AI168" s="32">
        <f t="shared" si="64"/>
        <v>1.9816355282806011</v>
      </c>
      <c r="AJ168" s="61"/>
      <c r="AK168" s="40">
        <v>43291.884571759256</v>
      </c>
      <c r="AL168" s="50">
        <f t="shared" si="65"/>
        <v>9.9963888888596557</v>
      </c>
      <c r="AM168">
        <v>547.03</v>
      </c>
      <c r="AN168">
        <v>677.49</v>
      </c>
      <c r="AO168" s="32">
        <f t="shared" si="66"/>
        <v>0.48555795981994182</v>
      </c>
      <c r="AP168" s="32">
        <f t="shared" si="67"/>
        <v>0.69011620046203026</v>
      </c>
      <c r="AQ168" s="61"/>
      <c r="AR168" s="61"/>
      <c r="AS168" s="61"/>
      <c r="AT168" s="61"/>
      <c r="AU168" s="61"/>
    </row>
    <row r="169" spans="1:47" x14ac:dyDescent="0.2">
      <c r="A169" s="40">
        <v>43291.891122685185</v>
      </c>
      <c r="B169" s="50">
        <f t="shared" si="50"/>
        <v>10.153611111163627</v>
      </c>
      <c r="C169">
        <v>29.17</v>
      </c>
      <c r="D169">
        <v>35.47</v>
      </c>
      <c r="E169" s="32">
        <f t="shared" si="51"/>
        <v>2.0152750833782658E-2</v>
      </c>
      <c r="F169" s="32">
        <f t="shared" si="52"/>
        <v>2.8122148321707233E-2</v>
      </c>
      <c r="G169" s="61"/>
      <c r="H169" s="40">
        <v>43291.891979166663</v>
      </c>
      <c r="I169" s="50">
        <f t="shared" si="53"/>
        <v>10.174166666634846</v>
      </c>
      <c r="J169">
        <v>186462.5</v>
      </c>
      <c r="K169">
        <v>171493.16</v>
      </c>
      <c r="L169" s="32">
        <f t="shared" si="54"/>
        <v>285.88840990543446</v>
      </c>
      <c r="M169" s="32">
        <f t="shared" si="55"/>
        <v>301.74581055876979</v>
      </c>
      <c r="N169" s="61"/>
      <c r="O169" s="40">
        <v>43291.892824074072</v>
      </c>
      <c r="P169" s="50">
        <f t="shared" si="56"/>
        <v>10.194444444437977</v>
      </c>
      <c r="Q169">
        <v>1243.0999999999999</v>
      </c>
      <c r="R169">
        <v>1108.77</v>
      </c>
      <c r="S169" s="32">
        <f t="shared" si="57"/>
        <v>0.73710707208961102</v>
      </c>
      <c r="T169" s="32">
        <f t="shared" si="58"/>
        <v>0.75449328347508771</v>
      </c>
      <c r="U169" s="61"/>
      <c r="V169" s="61"/>
      <c r="W169" s="40">
        <v>43291.899363425924</v>
      </c>
      <c r="X169" s="50">
        <f t="shared" si="59"/>
        <v>10.351388888899237</v>
      </c>
      <c r="Y169">
        <v>0</v>
      </c>
      <c r="Z169">
        <v>0</v>
      </c>
      <c r="AA169" s="32">
        <f t="shared" si="60"/>
        <v>0</v>
      </c>
      <c r="AB169" s="32">
        <f t="shared" si="61"/>
        <v>0</v>
      </c>
      <c r="AC169" s="61"/>
      <c r="AD169" s="40">
        <v>43291.900231481479</v>
      </c>
      <c r="AE169" s="50">
        <f t="shared" si="62"/>
        <v>10.372222222213168</v>
      </c>
      <c r="AF169">
        <v>1830.41</v>
      </c>
      <c r="AG169">
        <v>1936.28</v>
      </c>
      <c r="AH169" s="32">
        <f t="shared" si="63"/>
        <v>1.6247192022997274</v>
      </c>
      <c r="AI169" s="32">
        <f t="shared" si="64"/>
        <v>1.972365934007321</v>
      </c>
      <c r="AJ169" s="61"/>
      <c r="AK169" s="40">
        <v>43291.901087962964</v>
      </c>
      <c r="AL169" s="50">
        <f t="shared" si="65"/>
        <v>10.39277777785901</v>
      </c>
      <c r="AM169">
        <v>584.53</v>
      </c>
      <c r="AN169">
        <v>679.1</v>
      </c>
      <c r="AO169" s="32">
        <f t="shared" si="66"/>
        <v>0.51884392858444794</v>
      </c>
      <c r="AP169" s="32">
        <f t="shared" si="67"/>
        <v>0.69175620560268747</v>
      </c>
      <c r="AQ169" s="61"/>
      <c r="AR169" s="61"/>
      <c r="AS169" s="61"/>
      <c r="AT169" s="61"/>
      <c r="AU169" s="61"/>
    </row>
    <row r="170" spans="1:47" x14ac:dyDescent="0.2">
      <c r="A170" s="40">
        <v>43291.907627314817</v>
      </c>
      <c r="B170" s="50">
        <f t="shared" si="50"/>
        <v>10.54972222232027</v>
      </c>
      <c r="C170">
        <v>26.15</v>
      </c>
      <c r="D170">
        <v>39.96</v>
      </c>
      <c r="E170" s="32">
        <f t="shared" si="51"/>
        <v>1.8066315882873378E-2</v>
      </c>
      <c r="F170" s="32">
        <f t="shared" si="52"/>
        <v>3.1682014291948717E-2</v>
      </c>
      <c r="G170" s="61"/>
      <c r="H170" s="40">
        <v>43291.908483796295</v>
      </c>
      <c r="I170" s="50">
        <f t="shared" si="53"/>
        <v>10.570277777791489</v>
      </c>
      <c r="J170">
        <v>187038.31</v>
      </c>
      <c r="K170">
        <v>172653.15</v>
      </c>
      <c r="L170" s="32">
        <f t="shared" si="54"/>
        <v>286.77125447368627</v>
      </c>
      <c r="M170" s="32">
        <f t="shared" si="55"/>
        <v>303.7868372842093</v>
      </c>
      <c r="N170" s="61"/>
      <c r="O170" s="40">
        <v>43291.909328703703</v>
      </c>
      <c r="P170" s="50">
        <f t="shared" si="56"/>
        <v>10.590555555594619</v>
      </c>
      <c r="Q170">
        <v>1166.76</v>
      </c>
      <c r="R170">
        <v>1148.6400000000001</v>
      </c>
      <c r="S170" s="32">
        <f t="shared" si="57"/>
        <v>0.69184059804623499</v>
      </c>
      <c r="T170" s="32">
        <f t="shared" si="58"/>
        <v>0.78162393023875543</v>
      </c>
      <c r="U170" s="61"/>
      <c r="V170" s="61"/>
      <c r="W170" s="40">
        <v>43291.915868055556</v>
      </c>
      <c r="X170" s="50">
        <f t="shared" si="59"/>
        <v>10.747500000055879</v>
      </c>
      <c r="Y170">
        <v>0</v>
      </c>
      <c r="Z170">
        <v>3.05</v>
      </c>
      <c r="AA170" s="32">
        <f t="shared" si="60"/>
        <v>0</v>
      </c>
      <c r="AB170" s="32">
        <f t="shared" si="61"/>
        <v>3.106842036648795E-3</v>
      </c>
      <c r="AC170" s="61"/>
      <c r="AD170" s="40">
        <v>43291.916724537034</v>
      </c>
      <c r="AE170" s="50">
        <f t="shared" si="62"/>
        <v>10.768055555527098</v>
      </c>
      <c r="AF170">
        <v>1722.41</v>
      </c>
      <c r="AG170">
        <v>1959.29</v>
      </c>
      <c r="AH170" s="32">
        <f t="shared" si="63"/>
        <v>1.5288556122579495</v>
      </c>
      <c r="AI170" s="32">
        <f t="shared" si="64"/>
        <v>1.9958047652411861</v>
      </c>
      <c r="AJ170" s="61"/>
      <c r="AK170" s="40">
        <v>43291.917581018519</v>
      </c>
      <c r="AL170" s="50">
        <f t="shared" si="65"/>
        <v>10.788611111172941</v>
      </c>
      <c r="AM170">
        <v>639.87</v>
      </c>
      <c r="AN170">
        <v>663.1</v>
      </c>
      <c r="AO170" s="32">
        <f t="shared" si="66"/>
        <v>0.56796514222252192</v>
      </c>
      <c r="AP170" s="32">
        <f t="shared" si="67"/>
        <v>0.67545801786944792</v>
      </c>
      <c r="AQ170" s="61"/>
      <c r="AR170" s="61"/>
      <c r="AS170" s="61"/>
      <c r="AT170" s="61"/>
      <c r="AU170" s="61"/>
    </row>
    <row r="171" spans="1:47" x14ac:dyDescent="0.2">
      <c r="A171" s="40">
        <v>43291.924120370371</v>
      </c>
      <c r="B171" s="50">
        <f t="shared" si="50"/>
        <v>10.945555555634201</v>
      </c>
      <c r="C171">
        <v>34.18</v>
      </c>
      <c r="D171">
        <v>39.96</v>
      </c>
      <c r="E171" s="32">
        <f t="shared" si="51"/>
        <v>2.361402206029109E-2</v>
      </c>
      <c r="F171" s="32">
        <f t="shared" si="52"/>
        <v>3.1682014291948717E-2</v>
      </c>
      <c r="G171" s="61"/>
      <c r="H171" s="40">
        <v>43291.924976851849</v>
      </c>
      <c r="I171" s="50">
        <f t="shared" si="53"/>
        <v>10.96611111110542</v>
      </c>
      <c r="J171">
        <v>186326</v>
      </c>
      <c r="K171">
        <v>172265.51</v>
      </c>
      <c r="L171" s="32">
        <f t="shared" si="54"/>
        <v>285.67912510043567</v>
      </c>
      <c r="M171" s="32">
        <f t="shared" si="55"/>
        <v>303.10477657691928</v>
      </c>
      <c r="N171" s="61"/>
      <c r="O171" s="40">
        <v>43291.925833333335</v>
      </c>
      <c r="P171" s="50">
        <f t="shared" si="56"/>
        <v>10.986666666751262</v>
      </c>
      <c r="Q171">
        <v>1213.78</v>
      </c>
      <c r="R171">
        <v>1166.1500000000001</v>
      </c>
      <c r="S171" s="32">
        <f t="shared" si="57"/>
        <v>0.7197215203611359</v>
      </c>
      <c r="T171" s="32">
        <f t="shared" si="58"/>
        <v>0.79353909514549781</v>
      </c>
      <c r="U171" s="61"/>
      <c r="V171" s="61"/>
      <c r="W171" s="40">
        <v>43291.932372685187</v>
      </c>
      <c r="X171" s="50">
        <f t="shared" si="59"/>
        <v>11.143611111212522</v>
      </c>
      <c r="Y171">
        <v>0</v>
      </c>
      <c r="Z171">
        <v>3.3</v>
      </c>
      <c r="AA171" s="32">
        <f t="shared" si="60"/>
        <v>0</v>
      </c>
      <c r="AB171" s="32">
        <f t="shared" si="61"/>
        <v>3.3615012199806633E-3</v>
      </c>
      <c r="AC171" s="61"/>
      <c r="AD171" s="40">
        <v>43291.933229166665</v>
      </c>
      <c r="AE171" s="50">
        <f t="shared" si="62"/>
        <v>11.164166666683741</v>
      </c>
      <c r="AF171">
        <v>1755.9</v>
      </c>
      <c r="AG171">
        <v>1932.84</v>
      </c>
      <c r="AH171" s="32">
        <f t="shared" si="63"/>
        <v>1.5585822014292376</v>
      </c>
      <c r="AI171" s="32">
        <f t="shared" si="64"/>
        <v>1.9688618236446742</v>
      </c>
      <c r="AJ171" s="61"/>
      <c r="AK171" s="40">
        <v>43291.934074074074</v>
      </c>
      <c r="AL171" s="50">
        <f t="shared" si="65"/>
        <v>11.184444444486871</v>
      </c>
      <c r="AM171">
        <v>598.53</v>
      </c>
      <c r="AN171">
        <v>668.71</v>
      </c>
      <c r="AO171" s="32">
        <f t="shared" si="66"/>
        <v>0.5312706902565304</v>
      </c>
      <c r="AP171" s="32">
        <f t="shared" si="67"/>
        <v>0.68117256994341502</v>
      </c>
      <c r="AQ171" s="61"/>
      <c r="AR171" s="61"/>
      <c r="AS171" s="61"/>
      <c r="AT171" s="61"/>
      <c r="AU171" s="61"/>
    </row>
    <row r="172" spans="1:47" x14ac:dyDescent="0.2">
      <c r="A172" s="40">
        <v>43291.940625000003</v>
      </c>
      <c r="B172" s="50">
        <f t="shared" si="50"/>
        <v>11.341666666790843</v>
      </c>
      <c r="C172">
        <v>38.15</v>
      </c>
      <c r="D172">
        <v>37.5</v>
      </c>
      <c r="E172" s="32">
        <f t="shared" si="51"/>
        <v>2.6356785886486399E-2</v>
      </c>
      <c r="F172" s="32">
        <f t="shared" si="52"/>
        <v>2.9731620018720643E-2</v>
      </c>
      <c r="G172" s="61"/>
      <c r="H172" s="40">
        <v>43291.941469907404</v>
      </c>
      <c r="I172" s="50">
        <f t="shared" si="53"/>
        <v>11.36194444441935</v>
      </c>
      <c r="J172">
        <v>185726.63</v>
      </c>
      <c r="K172">
        <v>171465.36</v>
      </c>
      <c r="L172" s="32">
        <f t="shared" si="54"/>
        <v>284.76015782151887</v>
      </c>
      <c r="M172" s="32">
        <f t="shared" si="55"/>
        <v>301.69689587591284</v>
      </c>
      <c r="N172" s="61"/>
      <c r="O172" s="40">
        <v>43291.942326388889</v>
      </c>
      <c r="P172" s="50">
        <f t="shared" si="56"/>
        <v>11.382500000065193</v>
      </c>
      <c r="Q172">
        <v>1177.8</v>
      </c>
      <c r="R172">
        <v>1154.94</v>
      </c>
      <c r="S172" s="32">
        <f t="shared" si="57"/>
        <v>0.69838686308997167</v>
      </c>
      <c r="T172" s="32">
        <f t="shared" si="58"/>
        <v>0.78591093988538463</v>
      </c>
      <c r="U172" s="61"/>
      <c r="V172" s="61"/>
      <c r="W172" s="40">
        <v>43291.948865740742</v>
      </c>
      <c r="X172" s="50">
        <f t="shared" si="59"/>
        <v>11.539444444526453</v>
      </c>
      <c r="Y172">
        <v>0</v>
      </c>
      <c r="Z172">
        <v>0</v>
      </c>
      <c r="AA172" s="32">
        <f t="shared" si="60"/>
        <v>0</v>
      </c>
      <c r="AB172" s="32">
        <f t="shared" si="61"/>
        <v>0</v>
      </c>
      <c r="AC172" s="61"/>
      <c r="AD172" s="40">
        <v>43291.94972222222</v>
      </c>
      <c r="AE172" s="50">
        <f t="shared" si="62"/>
        <v>11.559999999997672</v>
      </c>
      <c r="AF172">
        <v>1698.45</v>
      </c>
      <c r="AG172">
        <v>1913.62</v>
      </c>
      <c r="AH172" s="32">
        <f t="shared" si="63"/>
        <v>1.5075880972820144</v>
      </c>
      <c r="AI172" s="32">
        <f t="shared" si="64"/>
        <v>1.9492836256301205</v>
      </c>
      <c r="AJ172" s="61"/>
      <c r="AK172" s="40">
        <v>43291.950567129628</v>
      </c>
      <c r="AL172" s="50">
        <f t="shared" si="65"/>
        <v>11.580277777800802</v>
      </c>
      <c r="AM172">
        <v>587.37</v>
      </c>
      <c r="AN172">
        <v>654.66</v>
      </c>
      <c r="AO172" s="32">
        <f t="shared" si="66"/>
        <v>0.52136478595221325</v>
      </c>
      <c r="AP172" s="32">
        <f t="shared" si="67"/>
        <v>0.66686072384016393</v>
      </c>
      <c r="AQ172" s="61"/>
      <c r="AR172" s="61"/>
      <c r="AS172" s="61"/>
      <c r="AT172" s="61"/>
      <c r="AU172" s="61"/>
    </row>
    <row r="173" spans="1:47" x14ac:dyDescent="0.2">
      <c r="A173" s="40">
        <v>43291.957118055558</v>
      </c>
      <c r="B173" s="50">
        <f t="shared" si="50"/>
        <v>11.737500000104774</v>
      </c>
      <c r="C173">
        <v>32.17</v>
      </c>
      <c r="D173">
        <v>23.06</v>
      </c>
      <c r="E173" s="32">
        <f t="shared" si="51"/>
        <v>2.222536833468591E-2</v>
      </c>
      <c r="F173" s="32">
        <f t="shared" si="52"/>
        <v>1.8282964203511949E-2</v>
      </c>
      <c r="G173" s="61"/>
      <c r="H173" s="40">
        <v>43291.957962962966</v>
      </c>
      <c r="I173" s="50">
        <f t="shared" si="53"/>
        <v>11.757777777907904</v>
      </c>
      <c r="J173">
        <v>186056.09</v>
      </c>
      <c r="K173">
        <v>171688.64</v>
      </c>
      <c r="L173" s="32">
        <f t="shared" si="54"/>
        <v>285.26529314646325</v>
      </c>
      <c r="M173" s="32">
        <f t="shared" si="55"/>
        <v>302.08976171721855</v>
      </c>
      <c r="N173" s="61"/>
      <c r="O173" s="40">
        <v>43291.958819444444</v>
      </c>
      <c r="P173" s="50">
        <f t="shared" si="56"/>
        <v>11.778333333379123</v>
      </c>
      <c r="Q173">
        <v>1205.23</v>
      </c>
      <c r="R173">
        <v>1174.0999999999999</v>
      </c>
      <c r="S173" s="32">
        <f t="shared" si="57"/>
        <v>0.71465172270498101</v>
      </c>
      <c r="T173" s="32">
        <f t="shared" si="58"/>
        <v>0.79894889303291083</v>
      </c>
      <c r="U173" s="61"/>
      <c r="V173" s="61"/>
      <c r="W173" s="40">
        <v>43291.965358796297</v>
      </c>
      <c r="X173" s="50">
        <f t="shared" si="59"/>
        <v>11.935277777840383</v>
      </c>
      <c r="Y173">
        <v>0</v>
      </c>
      <c r="Z173">
        <v>3.3</v>
      </c>
      <c r="AA173" s="32">
        <f t="shared" si="60"/>
        <v>0</v>
      </c>
      <c r="AB173" s="32">
        <f t="shared" si="61"/>
        <v>3.3615012199806633E-3</v>
      </c>
      <c r="AC173" s="61"/>
      <c r="AD173" s="40">
        <v>43291.966203703705</v>
      </c>
      <c r="AE173" s="50">
        <f t="shared" si="62"/>
        <v>11.955555555643514</v>
      </c>
      <c r="AF173">
        <v>1804.45</v>
      </c>
      <c r="AG173">
        <v>1954.09</v>
      </c>
      <c r="AH173" s="32">
        <f t="shared" si="63"/>
        <v>1.6016764356563518</v>
      </c>
      <c r="AI173" s="32">
        <f t="shared" si="64"/>
        <v>1.9905078542278833</v>
      </c>
      <c r="AJ173" s="61"/>
      <c r="AK173" s="40">
        <v>43291.967060185183</v>
      </c>
      <c r="AL173" s="50">
        <f t="shared" si="65"/>
        <v>11.976111111114733</v>
      </c>
      <c r="AM173">
        <v>605.08000000000004</v>
      </c>
      <c r="AN173">
        <v>624.29999999999995</v>
      </c>
      <c r="AO173" s="32">
        <f t="shared" si="66"/>
        <v>0.53708463946739748</v>
      </c>
      <c r="AP173" s="32">
        <f t="shared" si="67"/>
        <v>0.63593491261634194</v>
      </c>
      <c r="AQ173" s="61"/>
      <c r="AR173" s="61"/>
      <c r="AS173" s="61"/>
      <c r="AT173" s="61"/>
      <c r="AU173" s="61"/>
    </row>
    <row r="174" spans="1:47" x14ac:dyDescent="0.2">
      <c r="A174" s="40">
        <v>43291.973599537036</v>
      </c>
      <c r="B174" s="50">
        <f t="shared" si="50"/>
        <v>12.133055555575993</v>
      </c>
      <c r="C174">
        <v>50.16</v>
      </c>
      <c r="D174">
        <v>37.72</v>
      </c>
      <c r="E174" s="32">
        <f t="shared" si="51"/>
        <v>3.4654164615102429E-2</v>
      </c>
      <c r="F174" s="32">
        <f t="shared" si="52"/>
        <v>2.9906045522830469E-2</v>
      </c>
      <c r="G174" s="61"/>
      <c r="H174" s="40">
        <v>43291.974456018521</v>
      </c>
      <c r="I174" s="50">
        <f t="shared" si="53"/>
        <v>12.153611111221835</v>
      </c>
      <c r="J174">
        <v>185300.69</v>
      </c>
      <c r="K174">
        <v>171551.19</v>
      </c>
      <c r="L174" s="32">
        <f t="shared" si="54"/>
        <v>284.1070972366017</v>
      </c>
      <c r="M174" s="32">
        <f t="shared" si="55"/>
        <v>301.84791556043126</v>
      </c>
      <c r="N174" s="61"/>
      <c r="O174" s="40">
        <v>43291.975312499999</v>
      </c>
      <c r="P174" s="50">
        <f t="shared" si="56"/>
        <v>12.174166666693054</v>
      </c>
      <c r="Q174">
        <v>1212</v>
      </c>
      <c r="R174">
        <v>1132.17</v>
      </c>
      <c r="S174" s="32">
        <f t="shared" si="57"/>
        <v>0.71866605371459136</v>
      </c>
      <c r="T174" s="32">
        <f t="shared" si="58"/>
        <v>0.77041646216256765</v>
      </c>
      <c r="U174" s="61"/>
      <c r="V174" s="61"/>
      <c r="W174" s="40">
        <v>43291.981840277775</v>
      </c>
      <c r="X174" s="50">
        <f t="shared" si="59"/>
        <v>12.330833333311602</v>
      </c>
      <c r="Y174">
        <v>0</v>
      </c>
      <c r="Z174">
        <v>12.73</v>
      </c>
      <c r="AA174" s="32">
        <f t="shared" si="60"/>
        <v>0</v>
      </c>
      <c r="AB174" s="32">
        <f t="shared" si="61"/>
        <v>1.2967245615258742E-2</v>
      </c>
      <c r="AC174" s="61"/>
      <c r="AD174" s="40">
        <v>43291.98269675926</v>
      </c>
      <c r="AE174" s="50">
        <f t="shared" si="62"/>
        <v>12.351388888957445</v>
      </c>
      <c r="AF174">
        <v>1676.85</v>
      </c>
      <c r="AG174">
        <v>1996.62</v>
      </c>
      <c r="AH174" s="32">
        <f t="shared" si="63"/>
        <v>1.4884153792736585</v>
      </c>
      <c r="AI174" s="32">
        <f t="shared" si="64"/>
        <v>2.0338304744963005</v>
      </c>
      <c r="AJ174" s="61"/>
      <c r="AK174" s="40">
        <v>43291.983553240738</v>
      </c>
      <c r="AL174" s="50">
        <f t="shared" si="65"/>
        <v>12.371944444428664</v>
      </c>
      <c r="AM174">
        <v>605.99</v>
      </c>
      <c r="AN174">
        <v>635.73</v>
      </c>
      <c r="AO174" s="32">
        <f t="shared" si="66"/>
        <v>0.53789237897608277</v>
      </c>
      <c r="AP174" s="32">
        <f t="shared" si="67"/>
        <v>0.64757793047827494</v>
      </c>
      <c r="AQ174" s="61"/>
      <c r="AR174" s="61"/>
      <c r="AS174" s="61"/>
      <c r="AT174" s="61"/>
      <c r="AU174" s="61"/>
    </row>
    <row r="175" spans="1:47" x14ac:dyDescent="0.2">
      <c r="A175" s="40">
        <v>43291.99009259259</v>
      </c>
      <c r="B175" s="50">
        <f t="shared" si="50"/>
        <v>12.528888888889924</v>
      </c>
      <c r="C175">
        <v>33.159999999999997</v>
      </c>
      <c r="D175">
        <v>55.55</v>
      </c>
      <c r="E175" s="32">
        <f t="shared" si="51"/>
        <v>2.2909332109983985E-2</v>
      </c>
      <c r="F175" s="32">
        <f t="shared" si="52"/>
        <v>4.4042439787731508E-2</v>
      </c>
      <c r="G175" s="61"/>
      <c r="H175" s="40">
        <v>43291.990949074076</v>
      </c>
      <c r="I175" s="50">
        <f t="shared" si="53"/>
        <v>12.549444444535766</v>
      </c>
      <c r="J175">
        <v>184994.6</v>
      </c>
      <c r="K175">
        <v>171911.59</v>
      </c>
      <c r="L175" s="32">
        <f t="shared" si="54"/>
        <v>283.63779331013956</v>
      </c>
      <c r="M175" s="32">
        <f t="shared" si="55"/>
        <v>302.48204691660533</v>
      </c>
      <c r="N175" s="61"/>
      <c r="O175" s="40">
        <v>43291.991805555554</v>
      </c>
      <c r="P175" s="50">
        <f t="shared" si="56"/>
        <v>12.570000000006985</v>
      </c>
      <c r="Q175">
        <v>1227.81</v>
      </c>
      <c r="R175">
        <v>1176.7</v>
      </c>
      <c r="S175" s="32">
        <f t="shared" si="57"/>
        <v>0.7280407321875515</v>
      </c>
      <c r="T175" s="32">
        <f t="shared" si="58"/>
        <v>0.80071813510929757</v>
      </c>
      <c r="U175" s="61"/>
      <c r="V175" s="61"/>
      <c r="W175" s="40">
        <v>43291.998333333337</v>
      </c>
      <c r="X175" s="50">
        <f t="shared" si="59"/>
        <v>12.726666666800156</v>
      </c>
      <c r="Y175">
        <v>0</v>
      </c>
      <c r="Z175">
        <v>5.99</v>
      </c>
      <c r="AA175" s="32">
        <f t="shared" si="60"/>
        <v>0</v>
      </c>
      <c r="AB175" s="32">
        <f t="shared" si="61"/>
        <v>6.1016340326315683E-3</v>
      </c>
      <c r="AC175" s="61"/>
      <c r="AD175" s="40">
        <v>43291.999189814815</v>
      </c>
      <c r="AE175" s="50">
        <f t="shared" si="62"/>
        <v>12.747222222271375</v>
      </c>
      <c r="AF175">
        <v>1686.98</v>
      </c>
      <c r="AG175">
        <v>1901.23</v>
      </c>
      <c r="AH175" s="32">
        <f t="shared" si="63"/>
        <v>1.4974070289692438</v>
      </c>
      <c r="AI175" s="32">
        <f t="shared" si="64"/>
        <v>1.936662716504193</v>
      </c>
      <c r="AJ175" s="61"/>
      <c r="AK175" s="40">
        <v>43292.0000462963</v>
      </c>
      <c r="AL175" s="50">
        <f t="shared" si="65"/>
        <v>12.767777777917217</v>
      </c>
      <c r="AM175">
        <v>569.51</v>
      </c>
      <c r="AN175">
        <v>642.52</v>
      </c>
      <c r="AO175" s="32">
        <f t="shared" si="66"/>
        <v>0.5055117885619711</v>
      </c>
      <c r="AP175" s="32">
        <f t="shared" si="67"/>
        <v>0.65449447389756843</v>
      </c>
      <c r="AQ175" s="61"/>
      <c r="AR175" s="61"/>
      <c r="AS175" s="61"/>
      <c r="AT175" s="61"/>
      <c r="AU175" s="61"/>
    </row>
    <row r="176" spans="1:47" x14ac:dyDescent="0.2">
      <c r="A176" s="40">
        <v>43292.006585648145</v>
      </c>
      <c r="B176" s="50">
        <f t="shared" si="50"/>
        <v>12.924722222203854</v>
      </c>
      <c r="C176">
        <v>33.659999999999997</v>
      </c>
      <c r="D176">
        <v>37.72</v>
      </c>
      <c r="E176" s="32">
        <f t="shared" si="51"/>
        <v>2.3254768360134525E-2</v>
      </c>
      <c r="F176" s="32">
        <f t="shared" si="52"/>
        <v>2.9906045522830469E-2</v>
      </c>
      <c r="G176" s="61"/>
      <c r="H176" s="40">
        <v>43292.00744212963</v>
      </c>
      <c r="I176" s="50">
        <f t="shared" si="53"/>
        <v>12.945277777849697</v>
      </c>
      <c r="J176">
        <v>185512.56</v>
      </c>
      <c r="K176">
        <v>171122.18</v>
      </c>
      <c r="L176" s="32">
        <f t="shared" si="54"/>
        <v>284.43194098484418</v>
      </c>
      <c r="M176" s="32">
        <f t="shared" si="55"/>
        <v>301.09306347077461</v>
      </c>
      <c r="N176" s="61"/>
      <c r="O176" s="40">
        <v>43292.008298611108</v>
      </c>
      <c r="P176" s="50">
        <f t="shared" si="56"/>
        <v>12.965833333320916</v>
      </c>
      <c r="Q176">
        <v>1264.95</v>
      </c>
      <c r="R176">
        <v>1125.8</v>
      </c>
      <c r="S176" s="32">
        <f t="shared" si="57"/>
        <v>0.75006322165534034</v>
      </c>
      <c r="T176" s="32">
        <f t="shared" si="58"/>
        <v>0.76608181907542028</v>
      </c>
      <c r="U176" s="61"/>
      <c r="V176" s="61"/>
      <c r="W176" s="40">
        <v>43292.014826388891</v>
      </c>
      <c r="X176" s="50">
        <f t="shared" si="59"/>
        <v>13.122500000114087</v>
      </c>
      <c r="Y176">
        <v>0</v>
      </c>
      <c r="Z176">
        <v>0</v>
      </c>
      <c r="AA176" s="32">
        <f t="shared" si="60"/>
        <v>0</v>
      </c>
      <c r="AB176" s="32">
        <f t="shared" si="61"/>
        <v>0</v>
      </c>
      <c r="AC176" s="61"/>
      <c r="AD176" s="40">
        <v>43292.015682870369</v>
      </c>
      <c r="AE176" s="50">
        <f t="shared" si="62"/>
        <v>13.143055555585306</v>
      </c>
      <c r="AF176">
        <v>1640.3</v>
      </c>
      <c r="AG176">
        <v>1860.74</v>
      </c>
      <c r="AH176" s="32">
        <f t="shared" si="63"/>
        <v>1.4559726550511867</v>
      </c>
      <c r="AI176" s="32">
        <f t="shared" si="64"/>
        <v>1.8954181151717637</v>
      </c>
      <c r="AJ176" s="61"/>
      <c r="AK176" s="40">
        <v>43292.016539351855</v>
      </c>
      <c r="AL176" s="50">
        <f t="shared" si="65"/>
        <v>13.163611111231148</v>
      </c>
      <c r="AM176">
        <v>604.86</v>
      </c>
      <c r="AN176">
        <v>635.61</v>
      </c>
      <c r="AO176" s="32">
        <f t="shared" si="66"/>
        <v>0.53688936178397906</v>
      </c>
      <c r="AP176" s="32">
        <f t="shared" si="67"/>
        <v>0.6474556940702757</v>
      </c>
      <c r="AQ176" s="61"/>
      <c r="AR176" s="61"/>
      <c r="AS176" s="61"/>
      <c r="AT176" s="61"/>
      <c r="AU176" s="61"/>
    </row>
    <row r="177" spans="1:47" x14ac:dyDescent="0.2">
      <c r="A177" s="40">
        <v>43292.023078703707</v>
      </c>
      <c r="B177" s="50">
        <f t="shared" si="50"/>
        <v>13.320555555692408</v>
      </c>
      <c r="C177">
        <v>28.17</v>
      </c>
      <c r="D177">
        <v>43.36</v>
      </c>
      <c r="E177" s="32">
        <f t="shared" si="51"/>
        <v>1.9461878333481571E-2</v>
      </c>
      <c r="F177" s="32">
        <f t="shared" si="52"/>
        <v>3.4377681173646056E-2</v>
      </c>
      <c r="G177" s="61"/>
      <c r="H177" s="40">
        <v>43292.023935185185</v>
      </c>
      <c r="I177" s="50">
        <f t="shared" si="53"/>
        <v>13.341111111163627</v>
      </c>
      <c r="J177">
        <v>184188.71</v>
      </c>
      <c r="K177">
        <v>170479.59</v>
      </c>
      <c r="L177" s="32">
        <f t="shared" si="54"/>
        <v>282.40218502075857</v>
      </c>
      <c r="M177" s="32">
        <f t="shared" si="55"/>
        <v>299.96241289318328</v>
      </c>
      <c r="N177" s="61"/>
      <c r="O177" s="40">
        <v>43292.024791666663</v>
      </c>
      <c r="P177" s="50">
        <f t="shared" si="56"/>
        <v>13.361666666634846</v>
      </c>
      <c r="Q177">
        <v>1242.3900000000001</v>
      </c>
      <c r="R177">
        <v>1187.26</v>
      </c>
      <c r="S177" s="32">
        <f t="shared" si="57"/>
        <v>0.73668607134857367</v>
      </c>
      <c r="T177" s="32">
        <f t="shared" si="58"/>
        <v>0.80790397985031404</v>
      </c>
      <c r="U177" s="61"/>
      <c r="V177" s="61"/>
      <c r="W177" s="40">
        <v>43292.031319444446</v>
      </c>
      <c r="X177" s="50">
        <f t="shared" si="59"/>
        <v>13.518333333428018</v>
      </c>
      <c r="Y177">
        <v>0</v>
      </c>
      <c r="Z177">
        <v>0</v>
      </c>
      <c r="AA177" s="32">
        <f t="shared" si="60"/>
        <v>0</v>
      </c>
      <c r="AB177" s="32">
        <f t="shared" si="61"/>
        <v>0</v>
      </c>
      <c r="AC177" s="61"/>
      <c r="AD177" s="40">
        <v>43292.032175925924</v>
      </c>
      <c r="AE177" s="50">
        <f t="shared" si="62"/>
        <v>13.538888888899237</v>
      </c>
      <c r="AF177">
        <v>1720.48</v>
      </c>
      <c r="AG177">
        <v>1947.26</v>
      </c>
      <c r="AH177" s="32">
        <f t="shared" si="63"/>
        <v>1.5271424943988696</v>
      </c>
      <c r="AI177" s="32">
        <f t="shared" si="64"/>
        <v>1.9835505653392564</v>
      </c>
      <c r="AJ177" s="61"/>
      <c r="AK177" s="40">
        <v>43292.033020833333</v>
      </c>
      <c r="AL177" s="50">
        <f t="shared" si="65"/>
        <v>13.559166666702367</v>
      </c>
      <c r="AM177">
        <v>550.02</v>
      </c>
      <c r="AN177">
        <v>673.78</v>
      </c>
      <c r="AO177" s="32">
        <f t="shared" si="66"/>
        <v>0.4882119610627651</v>
      </c>
      <c r="AP177" s="32">
        <f t="shared" si="67"/>
        <v>0.68633705818138524</v>
      </c>
      <c r="AQ177" s="61"/>
      <c r="AR177" s="61"/>
      <c r="AS177" s="61"/>
      <c r="AT177" s="61"/>
      <c r="AU177" s="61"/>
    </row>
    <row r="178" spans="1:47" x14ac:dyDescent="0.2">
      <c r="A178" s="40">
        <v>43292.039571759262</v>
      </c>
      <c r="B178" s="50">
        <f t="shared" si="50"/>
        <v>13.716388889006339</v>
      </c>
      <c r="C178">
        <v>39.15</v>
      </c>
      <c r="D178">
        <v>33.200000000000003</v>
      </c>
      <c r="E178" s="32">
        <f t="shared" si="51"/>
        <v>2.7047658386787483E-2</v>
      </c>
      <c r="F178" s="32">
        <f t="shared" si="52"/>
        <v>2.6322394256574014E-2</v>
      </c>
      <c r="G178" s="61"/>
      <c r="H178" s="40">
        <v>43292.04042824074</v>
      </c>
      <c r="I178" s="50">
        <f t="shared" si="53"/>
        <v>13.736944444477558</v>
      </c>
      <c r="J178">
        <v>184755.67</v>
      </c>
      <c r="K178">
        <v>171128.07</v>
      </c>
      <c r="L178" s="32">
        <f t="shared" si="54"/>
        <v>283.27146057418082</v>
      </c>
      <c r="M178" s="32">
        <f t="shared" si="55"/>
        <v>301.10342704926484</v>
      </c>
      <c r="N178" s="61"/>
      <c r="O178" s="40">
        <v>43292.041273148148</v>
      </c>
      <c r="P178" s="50">
        <f t="shared" si="56"/>
        <v>13.757222222280689</v>
      </c>
      <c r="Q178">
        <v>1268.3399999999999</v>
      </c>
      <c r="R178">
        <v>1156.99</v>
      </c>
      <c r="S178" s="32">
        <f t="shared" si="57"/>
        <v>0.75207335195409641</v>
      </c>
      <c r="T178" s="32">
        <f t="shared" si="58"/>
        <v>0.78730591921484328</v>
      </c>
      <c r="U178" s="61"/>
      <c r="V178" s="61"/>
      <c r="W178" s="40">
        <v>43292.047812500001</v>
      </c>
      <c r="X178" s="50">
        <f t="shared" si="59"/>
        <v>13.914166666741949</v>
      </c>
      <c r="Y178">
        <v>0</v>
      </c>
      <c r="Z178">
        <v>3.3</v>
      </c>
      <c r="AA178" s="32">
        <f t="shared" si="60"/>
        <v>0</v>
      </c>
      <c r="AB178" s="32">
        <f t="shared" si="61"/>
        <v>3.3615012199806633E-3</v>
      </c>
      <c r="AC178" s="61"/>
      <c r="AD178" s="40">
        <v>43292.048657407409</v>
      </c>
      <c r="AE178" s="50">
        <f t="shared" si="62"/>
        <v>13.934444444545079</v>
      </c>
      <c r="AF178">
        <v>1687.47</v>
      </c>
      <c r="AG178">
        <v>1943.73</v>
      </c>
      <c r="AH178" s="32">
        <f t="shared" si="63"/>
        <v>1.4978419656277668</v>
      </c>
      <c r="AI178" s="32">
        <f t="shared" si="64"/>
        <v>1.9799547776706106</v>
      </c>
      <c r="AJ178" s="61"/>
      <c r="AK178" s="40">
        <v>43292.049513888887</v>
      </c>
      <c r="AL178" s="50">
        <f t="shared" si="65"/>
        <v>13.955000000016298</v>
      </c>
      <c r="AM178">
        <v>625.53</v>
      </c>
      <c r="AN178">
        <v>654.80999999999995</v>
      </c>
      <c r="AO178" s="32">
        <f t="shared" si="66"/>
        <v>0.55523658776697471</v>
      </c>
      <c r="AP178" s="32">
        <f t="shared" si="67"/>
        <v>0.66701351935016306</v>
      </c>
      <c r="AQ178" s="61"/>
      <c r="AR178" s="61"/>
      <c r="AS178" s="61"/>
      <c r="AT178" s="61"/>
      <c r="AU178" s="61"/>
    </row>
    <row r="179" spans="1:47" x14ac:dyDescent="0.2">
      <c r="A179" s="40">
        <v>43292.056064814817</v>
      </c>
      <c r="B179" s="50">
        <f t="shared" si="50"/>
        <v>14.11222222232027</v>
      </c>
      <c r="C179">
        <v>31.18</v>
      </c>
      <c r="D179">
        <v>32.08</v>
      </c>
      <c r="E179" s="32">
        <f t="shared" si="51"/>
        <v>2.1541404559387835E-2</v>
      </c>
      <c r="F179" s="32">
        <f t="shared" si="52"/>
        <v>2.5434409872014885E-2</v>
      </c>
      <c r="G179" s="61"/>
      <c r="H179" s="40">
        <v>43292.056909722225</v>
      </c>
      <c r="I179" s="50">
        <f t="shared" si="53"/>
        <v>14.1325000001234</v>
      </c>
      <c r="J179">
        <v>184148.31</v>
      </c>
      <c r="K179">
        <v>170906.69</v>
      </c>
      <c r="L179" s="32">
        <f t="shared" si="54"/>
        <v>282.34024285136701</v>
      </c>
      <c r="M179" s="32">
        <f t="shared" si="55"/>
        <v>300.71390429779473</v>
      </c>
      <c r="N179" s="61"/>
      <c r="O179" s="40">
        <v>43292.057766203703</v>
      </c>
      <c r="P179" s="50">
        <f t="shared" si="56"/>
        <v>14.153055555594619</v>
      </c>
      <c r="Q179">
        <v>1174.4000000000001</v>
      </c>
      <c r="R179">
        <v>1227.06</v>
      </c>
      <c r="S179" s="32">
        <f t="shared" si="57"/>
        <v>0.69637080320331368</v>
      </c>
      <c r="T179" s="32">
        <f t="shared" si="58"/>
        <v>0.83498699317346348</v>
      </c>
      <c r="U179" s="61"/>
      <c r="V179" s="61"/>
      <c r="W179" s="40">
        <v>43292.064305555556</v>
      </c>
      <c r="X179" s="50">
        <f t="shared" si="59"/>
        <v>14.310000000055879</v>
      </c>
      <c r="Y179">
        <v>0</v>
      </c>
      <c r="Z179">
        <v>0</v>
      </c>
      <c r="AA179" s="32">
        <f t="shared" si="60"/>
        <v>0</v>
      </c>
      <c r="AB179" s="32">
        <f t="shared" si="61"/>
        <v>0</v>
      </c>
      <c r="AC179" s="61"/>
      <c r="AD179" s="40">
        <v>43292.065162037034</v>
      </c>
      <c r="AE179" s="50">
        <f t="shared" si="62"/>
        <v>14.330555555527098</v>
      </c>
      <c r="AF179">
        <v>1622.84</v>
      </c>
      <c r="AG179">
        <v>2018.56</v>
      </c>
      <c r="AH179" s="32">
        <f t="shared" si="63"/>
        <v>1.4404747079944324</v>
      </c>
      <c r="AI179" s="32">
        <f t="shared" si="64"/>
        <v>2.0561793644255055</v>
      </c>
      <c r="AJ179" s="61"/>
      <c r="AK179" s="40">
        <v>43292.066006944442</v>
      </c>
      <c r="AL179" s="50">
        <f t="shared" si="65"/>
        <v>14.350833333330229</v>
      </c>
      <c r="AM179">
        <v>587.04999999999995</v>
      </c>
      <c r="AN179">
        <v>678.05</v>
      </c>
      <c r="AO179" s="32">
        <f t="shared" si="66"/>
        <v>0.52108074568542273</v>
      </c>
      <c r="AP179" s="32">
        <f t="shared" si="67"/>
        <v>0.69068663703269362</v>
      </c>
      <c r="AQ179" s="61"/>
      <c r="AR179" s="61"/>
      <c r="AS179" s="61"/>
      <c r="AT179" s="61"/>
      <c r="AU179" s="61"/>
    </row>
    <row r="180" spans="1:47" x14ac:dyDescent="0.2">
      <c r="A180" s="40">
        <v>43292.072546296295</v>
      </c>
      <c r="B180" s="50">
        <f t="shared" si="50"/>
        <v>14.507777777791489</v>
      </c>
      <c r="C180">
        <v>27.18</v>
      </c>
      <c r="D180">
        <v>47.44</v>
      </c>
      <c r="E180" s="32">
        <f t="shared" si="51"/>
        <v>1.8777914558183496E-2</v>
      </c>
      <c r="F180" s="32">
        <f t="shared" si="52"/>
        <v>3.7612481431682859E-2</v>
      </c>
      <c r="G180" s="61"/>
      <c r="H180" s="40">
        <v>43292.07340277778</v>
      </c>
      <c r="I180" s="50">
        <f t="shared" si="53"/>
        <v>14.528333333437331</v>
      </c>
      <c r="J180">
        <v>184426.06</v>
      </c>
      <c r="K180">
        <v>169843.8</v>
      </c>
      <c r="L180" s="32">
        <f t="shared" si="54"/>
        <v>282.76609526593415</v>
      </c>
      <c r="M180" s="32">
        <f t="shared" si="55"/>
        <v>298.84372705816133</v>
      </c>
      <c r="N180" s="61"/>
      <c r="O180" s="40">
        <v>43292.074259259258</v>
      </c>
      <c r="P180" s="50">
        <f t="shared" si="56"/>
        <v>14.54888888890855</v>
      </c>
      <c r="Q180">
        <v>1207</v>
      </c>
      <c r="R180">
        <v>1162.3800000000001</v>
      </c>
      <c r="S180" s="32">
        <f t="shared" si="57"/>
        <v>0.71570125976362364</v>
      </c>
      <c r="T180" s="32">
        <f t="shared" si="58"/>
        <v>0.79097369413473717</v>
      </c>
      <c r="U180" s="61"/>
      <c r="V180" s="61"/>
      <c r="W180" s="40">
        <v>43292.08079861111</v>
      </c>
      <c r="X180" s="50">
        <f t="shared" si="59"/>
        <v>14.70583333336981</v>
      </c>
      <c r="Y180">
        <v>0</v>
      </c>
      <c r="Z180">
        <v>0</v>
      </c>
      <c r="AA180" s="32">
        <f t="shared" si="60"/>
        <v>0</v>
      </c>
      <c r="AB180" s="32">
        <f t="shared" si="61"/>
        <v>0</v>
      </c>
      <c r="AC180" s="61"/>
      <c r="AD180" s="40">
        <v>43292.081655092596</v>
      </c>
      <c r="AE180" s="50">
        <f t="shared" si="62"/>
        <v>14.726388889015652</v>
      </c>
      <c r="AF180">
        <v>1673</v>
      </c>
      <c r="AG180">
        <v>1938.89</v>
      </c>
      <c r="AH180" s="32">
        <f t="shared" si="63"/>
        <v>1.4849980198138359</v>
      </c>
      <c r="AI180" s="32">
        <f t="shared" si="64"/>
        <v>1.9750245758813059</v>
      </c>
      <c r="AJ180" s="61"/>
      <c r="AK180" s="40">
        <v>43292.082511574074</v>
      </c>
      <c r="AL180" s="50">
        <f t="shared" si="65"/>
        <v>14.746944444486871</v>
      </c>
      <c r="AM180">
        <v>588.84</v>
      </c>
      <c r="AN180">
        <v>658.38</v>
      </c>
      <c r="AO180" s="32">
        <f t="shared" si="66"/>
        <v>0.52266959592778195</v>
      </c>
      <c r="AP180" s="32">
        <f t="shared" si="67"/>
        <v>0.67065005248814213</v>
      </c>
      <c r="AQ180" s="61"/>
      <c r="AR180" s="61"/>
      <c r="AS180" s="61"/>
      <c r="AT180" s="61"/>
      <c r="AU180" s="61"/>
    </row>
    <row r="181" spans="1:47" x14ac:dyDescent="0.2">
      <c r="A181" s="40">
        <v>43292.089050925926</v>
      </c>
      <c r="B181" s="50">
        <f t="shared" si="50"/>
        <v>14.903888888948131</v>
      </c>
      <c r="C181">
        <v>51.65</v>
      </c>
      <c r="D181">
        <v>26</v>
      </c>
      <c r="E181" s="32">
        <f t="shared" si="51"/>
        <v>3.5683564640551051E-2</v>
      </c>
      <c r="F181" s="32">
        <f t="shared" si="52"/>
        <v>2.0613923212979647E-2</v>
      </c>
      <c r="G181" s="61"/>
      <c r="H181" s="40">
        <v>43292.089907407404</v>
      </c>
      <c r="I181" s="50">
        <f t="shared" si="53"/>
        <v>14.92444444441935</v>
      </c>
      <c r="J181">
        <v>183491.22</v>
      </c>
      <c r="K181">
        <v>169889.87</v>
      </c>
      <c r="L181" s="32">
        <f t="shared" si="54"/>
        <v>281.33277799776499</v>
      </c>
      <c r="M181" s="32">
        <f t="shared" si="55"/>
        <v>298.92478818906847</v>
      </c>
      <c r="N181" s="61"/>
      <c r="O181" s="40">
        <v>43292.090763888889</v>
      </c>
      <c r="P181" s="50">
        <f t="shared" si="56"/>
        <v>14.945000000065193</v>
      </c>
      <c r="Q181">
        <v>1173.81</v>
      </c>
      <c r="R181">
        <v>1204.81</v>
      </c>
      <c r="S181" s="32">
        <f t="shared" si="57"/>
        <v>0.69602095751709947</v>
      </c>
      <c r="T181" s="32">
        <f t="shared" si="58"/>
        <v>0.81984636386592391</v>
      </c>
      <c r="U181" s="61"/>
      <c r="V181" s="61"/>
      <c r="W181" s="40">
        <v>43292.097303240742</v>
      </c>
      <c r="X181" s="50">
        <f t="shared" si="59"/>
        <v>15.101944444526453</v>
      </c>
      <c r="Y181">
        <v>0</v>
      </c>
      <c r="Z181">
        <v>3.3</v>
      </c>
      <c r="AA181" s="32">
        <f t="shared" si="60"/>
        <v>0</v>
      </c>
      <c r="AB181" s="32">
        <f t="shared" si="61"/>
        <v>3.3615012199806633E-3</v>
      </c>
      <c r="AC181" s="61"/>
      <c r="AD181" s="40">
        <v>43292.09814814815</v>
      </c>
      <c r="AE181" s="50">
        <f t="shared" si="62"/>
        <v>15.122222222329583</v>
      </c>
      <c r="AF181">
        <v>1732.94</v>
      </c>
      <c r="AG181">
        <v>1923.18</v>
      </c>
      <c r="AH181" s="32">
        <f t="shared" si="63"/>
        <v>1.5382023122870228</v>
      </c>
      <c r="AI181" s="32">
        <f t="shared" si="64"/>
        <v>1.9590217928007312</v>
      </c>
      <c r="AJ181" s="61"/>
      <c r="AK181" s="40">
        <v>43292.099004629628</v>
      </c>
      <c r="AL181" s="50">
        <f t="shared" si="65"/>
        <v>15.142777777800802</v>
      </c>
      <c r="AM181">
        <v>622.88</v>
      </c>
      <c r="AN181">
        <v>638.13</v>
      </c>
      <c r="AO181" s="32">
        <f t="shared" si="66"/>
        <v>0.55288437930761636</v>
      </c>
      <c r="AP181" s="32">
        <f t="shared" si="67"/>
        <v>0.65002265863826092</v>
      </c>
      <c r="AQ181" s="61"/>
      <c r="AR181" s="61"/>
      <c r="AS181" s="61"/>
      <c r="AT181" s="61"/>
      <c r="AU181" s="61"/>
    </row>
    <row r="182" spans="1:47" x14ac:dyDescent="0.2">
      <c r="A182" s="40">
        <v>43292.105543981481</v>
      </c>
      <c r="B182" s="50">
        <f t="shared" si="50"/>
        <v>15.299722222262062</v>
      </c>
      <c r="C182">
        <v>32.17</v>
      </c>
      <c r="D182">
        <v>33.21</v>
      </c>
      <c r="E182" s="32">
        <f t="shared" si="51"/>
        <v>2.222536833468591E-2</v>
      </c>
      <c r="F182" s="32">
        <f t="shared" si="52"/>
        <v>2.6330322688578999E-2</v>
      </c>
      <c r="G182" s="61"/>
      <c r="H182" s="40">
        <v>43292.106400462966</v>
      </c>
      <c r="I182" s="50">
        <f t="shared" si="53"/>
        <v>15.320277777907904</v>
      </c>
      <c r="J182">
        <v>183968.33</v>
      </c>
      <c r="K182">
        <v>170372.87</v>
      </c>
      <c r="L182" s="32">
        <f t="shared" si="54"/>
        <v>282.06429355317147</v>
      </c>
      <c r="M182" s="32">
        <f t="shared" si="55"/>
        <v>299.77463681568355</v>
      </c>
      <c r="N182" s="61"/>
      <c r="O182" s="40">
        <v>43292.107256944444</v>
      </c>
      <c r="P182" s="50">
        <f t="shared" si="56"/>
        <v>15.340833333379123</v>
      </c>
      <c r="Q182">
        <v>1213.53</v>
      </c>
      <c r="R182">
        <v>1159.8499999999999</v>
      </c>
      <c r="S182" s="32">
        <f t="shared" si="57"/>
        <v>0.71957328066358761</v>
      </c>
      <c r="T182" s="32">
        <f t="shared" si="58"/>
        <v>0.78925208549886849</v>
      </c>
      <c r="U182" s="61"/>
      <c r="V182" s="61"/>
      <c r="W182" s="40">
        <v>43292.113796296297</v>
      </c>
      <c r="X182" s="50">
        <f t="shared" si="59"/>
        <v>15.497777777840383</v>
      </c>
      <c r="Y182">
        <v>0</v>
      </c>
      <c r="Z182">
        <v>0</v>
      </c>
      <c r="AA182" s="32">
        <f t="shared" si="60"/>
        <v>0</v>
      </c>
      <c r="AB182" s="32">
        <f t="shared" si="61"/>
        <v>0</v>
      </c>
      <c r="AC182" s="61"/>
      <c r="AD182" s="40">
        <v>43292.114652777775</v>
      </c>
      <c r="AE182" s="50">
        <f t="shared" si="62"/>
        <v>15.518333333311602</v>
      </c>
      <c r="AF182">
        <v>1762.4</v>
      </c>
      <c r="AG182">
        <v>1805.03</v>
      </c>
      <c r="AH182" s="32">
        <f t="shared" si="63"/>
        <v>1.5643517693484188</v>
      </c>
      <c r="AI182" s="32">
        <f t="shared" si="64"/>
        <v>1.83866986275809</v>
      </c>
      <c r="AJ182" s="61"/>
      <c r="AK182" s="40">
        <v>43292.11550925926</v>
      </c>
      <c r="AL182" s="50">
        <f t="shared" si="65"/>
        <v>15.538888888957445</v>
      </c>
      <c r="AM182">
        <v>602</v>
      </c>
      <c r="AN182">
        <v>648</v>
      </c>
      <c r="AO182" s="32">
        <f t="shared" si="66"/>
        <v>0.53435075189953929</v>
      </c>
      <c r="AP182" s="32">
        <f t="shared" si="67"/>
        <v>0.66007660319620298</v>
      </c>
      <c r="AQ182" s="61"/>
      <c r="AR182" s="61"/>
      <c r="AS182" s="61"/>
      <c r="AT182" s="61"/>
      <c r="AU182" s="61"/>
    </row>
    <row r="183" spans="1:47" x14ac:dyDescent="0.2">
      <c r="A183" s="40">
        <v>43292.122048611112</v>
      </c>
      <c r="B183" s="50">
        <f t="shared" si="50"/>
        <v>15.695833333418705</v>
      </c>
      <c r="C183">
        <v>35.68</v>
      </c>
      <c r="D183">
        <v>39.770000000000003</v>
      </c>
      <c r="E183" s="32">
        <f t="shared" si="51"/>
        <v>2.4650330810742718E-2</v>
      </c>
      <c r="F183" s="32">
        <f t="shared" si="52"/>
        <v>3.1531374083853869E-2</v>
      </c>
      <c r="G183" s="61"/>
      <c r="H183" s="40">
        <v>43292.12290509259</v>
      </c>
      <c r="I183" s="50">
        <f t="shared" si="53"/>
        <v>15.716388888889924</v>
      </c>
      <c r="J183">
        <v>183525.56</v>
      </c>
      <c r="K183">
        <v>169600.8</v>
      </c>
      <c r="L183" s="32">
        <f t="shared" si="54"/>
        <v>281.38542884174785</v>
      </c>
      <c r="M183" s="32">
        <f t="shared" si="55"/>
        <v>298.41616346340464</v>
      </c>
      <c r="N183" s="61"/>
      <c r="O183" s="40">
        <v>43292.123761574076</v>
      </c>
      <c r="P183" s="50">
        <f t="shared" si="56"/>
        <v>15.736944444535766</v>
      </c>
      <c r="Q183">
        <v>1201.45</v>
      </c>
      <c r="R183">
        <v>1104.74</v>
      </c>
      <c r="S183" s="32">
        <f t="shared" si="57"/>
        <v>0.71241033847804935</v>
      </c>
      <c r="T183" s="32">
        <f t="shared" si="58"/>
        <v>0.75175095825668836</v>
      </c>
      <c r="U183" s="61"/>
      <c r="V183" s="61"/>
      <c r="W183" s="40">
        <v>43292.130300925928</v>
      </c>
      <c r="X183" s="50">
        <f t="shared" si="59"/>
        <v>15.893888888997026</v>
      </c>
      <c r="Y183">
        <v>0</v>
      </c>
      <c r="Z183">
        <v>0</v>
      </c>
      <c r="AA183" s="32">
        <f t="shared" si="60"/>
        <v>0</v>
      </c>
      <c r="AB183" s="32">
        <f t="shared" si="61"/>
        <v>0</v>
      </c>
      <c r="AC183" s="61"/>
      <c r="AD183" s="40">
        <v>43292.130462962959</v>
      </c>
      <c r="AE183" s="50">
        <f t="shared" si="62"/>
        <v>15.897777777747251</v>
      </c>
      <c r="AF183">
        <v>1744.16</v>
      </c>
      <c r="AG183">
        <v>1829.36</v>
      </c>
      <c r="AH183" s="32">
        <f t="shared" si="63"/>
        <v>1.548161474141363</v>
      </c>
      <c r="AI183" s="32">
        <f t="shared" si="64"/>
        <v>1.8634532944799473</v>
      </c>
      <c r="AJ183" s="61"/>
      <c r="AK183" s="40">
        <v>43292.131319444445</v>
      </c>
      <c r="AL183" s="50">
        <f t="shared" si="65"/>
        <v>15.918333333393093</v>
      </c>
      <c r="AM183">
        <v>610.51</v>
      </c>
      <c r="AN183">
        <v>623.38</v>
      </c>
      <c r="AO183" s="32">
        <f t="shared" si="66"/>
        <v>0.54190444774449786</v>
      </c>
      <c r="AP183" s="32">
        <f t="shared" si="67"/>
        <v>0.63499776682168063</v>
      </c>
      <c r="AQ183" s="61"/>
      <c r="AR183" s="61"/>
      <c r="AS183" s="61"/>
      <c r="AT183" s="61"/>
      <c r="AU183" s="61"/>
    </row>
    <row r="184" spans="1:47" x14ac:dyDescent="0.2">
      <c r="A184" s="40">
        <v>43292.137870370374</v>
      </c>
      <c r="B184" s="50">
        <f t="shared" si="50"/>
        <v>16.075555555697065</v>
      </c>
      <c r="C184">
        <v>37.159999999999997</v>
      </c>
      <c r="D184">
        <v>37.72</v>
      </c>
      <c r="E184" s="32">
        <f t="shared" si="51"/>
        <v>2.5672822111188324E-2</v>
      </c>
      <c r="F184" s="32">
        <f t="shared" si="52"/>
        <v>2.9906045522830469E-2</v>
      </c>
      <c r="G184" s="61"/>
      <c r="H184" s="40">
        <v>43292.138726851852</v>
      </c>
      <c r="I184" s="50">
        <f t="shared" si="53"/>
        <v>16.096111111168284</v>
      </c>
      <c r="J184">
        <v>183213.23</v>
      </c>
      <c r="K184">
        <v>169041.79</v>
      </c>
      <c r="L184" s="32">
        <f t="shared" si="54"/>
        <v>280.90655760991427</v>
      </c>
      <c r="M184" s="32">
        <f t="shared" si="55"/>
        <v>297.43257364815804</v>
      </c>
      <c r="N184" s="61"/>
      <c r="O184" s="40">
        <v>43292.13958333333</v>
      </c>
      <c r="P184" s="50">
        <f t="shared" si="56"/>
        <v>16.116666666639503</v>
      </c>
      <c r="Q184">
        <v>1169.8</v>
      </c>
      <c r="R184">
        <v>1182.8</v>
      </c>
      <c r="S184" s="32">
        <f t="shared" si="57"/>
        <v>0.69364319276842323</v>
      </c>
      <c r="T184" s="32">
        <f t="shared" si="58"/>
        <v>0.80486904921158919</v>
      </c>
      <c r="U184" s="61"/>
      <c r="V184" s="61"/>
      <c r="W184" s="40">
        <v>43292.145983796298</v>
      </c>
      <c r="X184" s="50">
        <f t="shared" si="59"/>
        <v>16.270277777861338</v>
      </c>
      <c r="Y184">
        <v>0</v>
      </c>
      <c r="Z184">
        <v>0.6</v>
      </c>
      <c r="AA184" s="32">
        <f t="shared" si="60"/>
        <v>0</v>
      </c>
      <c r="AB184" s="32">
        <f t="shared" si="61"/>
        <v>6.1118203999648425E-4</v>
      </c>
      <c r="AC184" s="61"/>
      <c r="AD184" s="40">
        <v>43292.146828703706</v>
      </c>
      <c r="AE184" s="50">
        <f t="shared" si="62"/>
        <v>16.290555555664469</v>
      </c>
      <c r="AF184">
        <v>1694.33</v>
      </c>
      <c r="AG184">
        <v>1900.65</v>
      </c>
      <c r="AH184" s="32">
        <f t="shared" si="63"/>
        <v>1.503931078847087</v>
      </c>
      <c r="AI184" s="32">
        <f t="shared" si="64"/>
        <v>1.9360719071988632</v>
      </c>
      <c r="AJ184" s="61"/>
      <c r="AK184" s="40">
        <v>43292.147685185184</v>
      </c>
      <c r="AL184" s="50">
        <f t="shared" si="65"/>
        <v>16.311111111135688</v>
      </c>
      <c r="AM184">
        <v>594.49</v>
      </c>
      <c r="AN184">
        <v>640.6</v>
      </c>
      <c r="AO184" s="32">
        <f t="shared" si="66"/>
        <v>0.52768468188830087</v>
      </c>
      <c r="AP184" s="32">
        <f t="shared" si="67"/>
        <v>0.65253869136957965</v>
      </c>
      <c r="AQ184" s="61"/>
      <c r="AR184" s="61"/>
      <c r="AS184" s="61"/>
      <c r="AT184" s="61"/>
      <c r="AU184" s="61"/>
    </row>
    <row r="185" spans="1:47" x14ac:dyDescent="0.2">
      <c r="A185" s="40">
        <v>43292.154224537036</v>
      </c>
      <c r="B185" s="50">
        <f t="shared" si="50"/>
        <v>16.468055555596948</v>
      </c>
      <c r="C185">
        <v>35.15</v>
      </c>
      <c r="D185">
        <v>29.82</v>
      </c>
      <c r="E185" s="32">
        <f t="shared" si="51"/>
        <v>2.4284168385583144E-2</v>
      </c>
      <c r="F185" s="32">
        <f t="shared" si="52"/>
        <v>2.3642584238886655E-2</v>
      </c>
      <c r="G185" s="61"/>
      <c r="H185" s="40">
        <v>43292.155081018522</v>
      </c>
      <c r="I185" s="50">
        <f t="shared" si="53"/>
        <v>16.48861111124279</v>
      </c>
      <c r="J185">
        <v>182099.54</v>
      </c>
      <c r="K185">
        <v>170011.36</v>
      </c>
      <c r="L185" s="32">
        <f t="shared" si="54"/>
        <v>279.19902358442619</v>
      </c>
      <c r="M185" s="32">
        <f t="shared" si="55"/>
        <v>299.13855239123717</v>
      </c>
      <c r="N185" s="61"/>
      <c r="O185" s="40">
        <v>43292.1559375</v>
      </c>
      <c r="P185" s="50">
        <f t="shared" si="56"/>
        <v>16.509166666714009</v>
      </c>
      <c r="Q185">
        <v>1198.8699999999999</v>
      </c>
      <c r="R185">
        <v>1151.9000000000001</v>
      </c>
      <c r="S185" s="32">
        <f t="shared" si="57"/>
        <v>0.71088050479934994</v>
      </c>
      <c r="T185" s="32">
        <f t="shared" si="58"/>
        <v>0.78384228761145558</v>
      </c>
      <c r="U185" s="61"/>
      <c r="V185" s="61"/>
      <c r="W185" s="40">
        <v>43292.162465277775</v>
      </c>
      <c r="X185" s="50">
        <f t="shared" si="59"/>
        <v>16.665833333332557</v>
      </c>
      <c r="Y185">
        <v>0</v>
      </c>
      <c r="Z185">
        <v>0</v>
      </c>
      <c r="AA185" s="32">
        <f t="shared" si="60"/>
        <v>0</v>
      </c>
      <c r="AB185" s="32">
        <f t="shared" si="61"/>
        <v>0</v>
      </c>
      <c r="AC185" s="61"/>
      <c r="AD185" s="40">
        <v>43292.163321759261</v>
      </c>
      <c r="AE185" s="50">
        <f t="shared" si="62"/>
        <v>16.686388888978399</v>
      </c>
      <c r="AF185">
        <v>1697.85</v>
      </c>
      <c r="AG185">
        <v>1941.96</v>
      </c>
      <c r="AH185" s="32">
        <f t="shared" si="63"/>
        <v>1.507055521781782</v>
      </c>
      <c r="AI185" s="32">
        <f t="shared" si="64"/>
        <v>1.9781517906526211</v>
      </c>
      <c r="AJ185" s="61"/>
      <c r="AK185" s="40">
        <v>43292.164178240739</v>
      </c>
      <c r="AL185" s="50">
        <f t="shared" si="65"/>
        <v>16.706944444449618</v>
      </c>
      <c r="AM185">
        <v>572.83000000000004</v>
      </c>
      <c r="AN185">
        <v>665.26</v>
      </c>
      <c r="AO185" s="32">
        <f t="shared" si="66"/>
        <v>0.50845870632992218</v>
      </c>
      <c r="AP185" s="32">
        <f t="shared" si="67"/>
        <v>0.67765827321343519</v>
      </c>
      <c r="AQ185" s="61"/>
      <c r="AR185" s="61"/>
      <c r="AS185" s="61"/>
      <c r="AT185" s="61"/>
      <c r="AU185" s="61"/>
    </row>
    <row r="186" spans="1:47" x14ac:dyDescent="0.2">
      <c r="A186" s="40">
        <v>43292.170717592591</v>
      </c>
      <c r="B186" s="50">
        <f t="shared" si="50"/>
        <v>16.863888888910878</v>
      </c>
      <c r="C186">
        <v>32.200000000000003</v>
      </c>
      <c r="D186">
        <v>38.85</v>
      </c>
      <c r="E186" s="32">
        <f t="shared" si="51"/>
        <v>2.2246094509694943E-2</v>
      </c>
      <c r="F186" s="32">
        <f t="shared" si="52"/>
        <v>3.0801958339394586E-2</v>
      </c>
      <c r="G186" s="61"/>
      <c r="H186" s="40">
        <v>43292.171574074076</v>
      </c>
      <c r="I186" s="50">
        <f t="shared" si="53"/>
        <v>16.884444444556721</v>
      </c>
      <c r="J186">
        <v>182064.36</v>
      </c>
      <c r="K186">
        <v>169333.74</v>
      </c>
      <c r="L186" s="32">
        <f t="shared" si="54"/>
        <v>279.14508483395093</v>
      </c>
      <c r="M186" s="32">
        <f t="shared" si="55"/>
        <v>297.94626579420418</v>
      </c>
      <c r="N186" s="61"/>
      <c r="O186" s="40">
        <v>43292.172430555554</v>
      </c>
      <c r="P186" s="50">
        <f t="shared" si="56"/>
        <v>16.90500000002794</v>
      </c>
      <c r="Q186">
        <v>1193.3399999999999</v>
      </c>
      <c r="R186">
        <v>1130.8900000000001</v>
      </c>
      <c r="S186" s="32">
        <f t="shared" si="57"/>
        <v>0.70760144268957959</v>
      </c>
      <c r="T186" s="32">
        <f t="shared" si="58"/>
        <v>0.76954545067880809</v>
      </c>
      <c r="U186" s="61"/>
      <c r="V186" s="61"/>
      <c r="W186" s="40">
        <v>43292.178969907407</v>
      </c>
      <c r="X186" s="50">
        <f t="shared" si="59"/>
        <v>17.0619444444892</v>
      </c>
      <c r="Y186">
        <v>0</v>
      </c>
      <c r="Z186">
        <v>1.95</v>
      </c>
      <c r="AA186" s="32">
        <f t="shared" si="60"/>
        <v>0</v>
      </c>
      <c r="AB186" s="32">
        <f t="shared" si="61"/>
        <v>1.9863416299885739E-3</v>
      </c>
      <c r="AC186" s="61"/>
      <c r="AD186" s="40">
        <v>43292.179826388892</v>
      </c>
      <c r="AE186" s="50">
        <f t="shared" si="62"/>
        <v>17.082500000135042</v>
      </c>
      <c r="AF186">
        <v>1649.88</v>
      </c>
      <c r="AG186">
        <v>1942.3</v>
      </c>
      <c r="AH186" s="32">
        <f t="shared" si="63"/>
        <v>1.4644761105382258</v>
      </c>
      <c r="AI186" s="32">
        <f t="shared" si="64"/>
        <v>1.9784981271419524</v>
      </c>
      <c r="AJ186" s="61"/>
      <c r="AK186" s="40">
        <v>43292.180671296293</v>
      </c>
      <c r="AL186" s="50">
        <f t="shared" si="65"/>
        <v>17.102777777763549</v>
      </c>
      <c r="AM186">
        <v>528.49</v>
      </c>
      <c r="AN186">
        <v>643.99</v>
      </c>
      <c r="AO186" s="32">
        <f t="shared" si="66"/>
        <v>0.46910137686276993</v>
      </c>
      <c r="AP186" s="32">
        <f t="shared" si="67"/>
        <v>0.6559918698955598</v>
      </c>
      <c r="AQ186" s="61"/>
      <c r="AR186" s="61"/>
      <c r="AS186" s="61"/>
      <c r="AT186" s="61"/>
      <c r="AU186" s="61"/>
    </row>
    <row r="187" spans="1:47" x14ac:dyDescent="0.2">
      <c r="A187" s="40">
        <v>43292.187222222223</v>
      </c>
      <c r="B187" s="50">
        <f t="shared" si="50"/>
        <v>17.260000000067521</v>
      </c>
      <c r="C187">
        <v>30.17</v>
      </c>
      <c r="D187">
        <v>29.83</v>
      </c>
      <c r="E187" s="32">
        <f t="shared" si="51"/>
        <v>2.0843623334083742E-2</v>
      </c>
      <c r="F187" s="32">
        <f t="shared" si="52"/>
        <v>2.3650512670891646E-2</v>
      </c>
      <c r="G187" s="61"/>
      <c r="H187" s="40">
        <v>43292.188067129631</v>
      </c>
      <c r="I187" s="50">
        <f t="shared" si="53"/>
        <v>17.280277777870651</v>
      </c>
      <c r="J187">
        <v>181990.2</v>
      </c>
      <c r="K187">
        <v>169341.05</v>
      </c>
      <c r="L187" s="32">
        <f t="shared" si="54"/>
        <v>279.03138108934507</v>
      </c>
      <c r="M187" s="32">
        <f t="shared" si="55"/>
        <v>297.95912789246614</v>
      </c>
      <c r="N187" s="61"/>
      <c r="O187" s="40">
        <v>43292.188923611109</v>
      </c>
      <c r="P187" s="50">
        <f t="shared" si="56"/>
        <v>17.30083333334187</v>
      </c>
      <c r="Q187">
        <v>1167.79</v>
      </c>
      <c r="R187">
        <v>1133.6300000000001</v>
      </c>
      <c r="S187" s="32">
        <f t="shared" si="57"/>
        <v>0.69245134560013422</v>
      </c>
      <c r="T187" s="32">
        <f t="shared" si="58"/>
        <v>0.77140995963623105</v>
      </c>
      <c r="U187" s="61"/>
      <c r="V187" s="61"/>
      <c r="W187" s="40">
        <v>43292.195462962962</v>
      </c>
      <c r="X187" s="50">
        <f t="shared" si="59"/>
        <v>17.45777777780313</v>
      </c>
      <c r="Y187">
        <v>0</v>
      </c>
      <c r="Z187">
        <v>0</v>
      </c>
      <c r="AA187" s="32">
        <f t="shared" si="60"/>
        <v>0</v>
      </c>
      <c r="AB187" s="32">
        <f t="shared" si="61"/>
        <v>0</v>
      </c>
      <c r="AC187" s="61"/>
      <c r="AD187" s="40">
        <v>43292.196319444447</v>
      </c>
      <c r="AE187" s="50">
        <f t="shared" si="62"/>
        <v>17.478333333448973</v>
      </c>
      <c r="AF187">
        <v>1642.36</v>
      </c>
      <c r="AG187">
        <v>1906.5</v>
      </c>
      <c r="AH187" s="32">
        <f t="shared" si="63"/>
        <v>1.4578011642686501</v>
      </c>
      <c r="AI187" s="32">
        <f t="shared" si="64"/>
        <v>1.9420309320888289</v>
      </c>
      <c r="AJ187" s="61"/>
      <c r="AK187" s="40">
        <v>43292.197164351855</v>
      </c>
      <c r="AL187" s="50">
        <f t="shared" si="65"/>
        <v>17.498611111252103</v>
      </c>
      <c r="AM187">
        <v>589.47</v>
      </c>
      <c r="AN187">
        <v>656.82</v>
      </c>
      <c r="AO187" s="32">
        <f t="shared" si="66"/>
        <v>0.52322880020302576</v>
      </c>
      <c r="AP187" s="32">
        <f t="shared" si="67"/>
        <v>0.66906097918415142</v>
      </c>
      <c r="AQ187" s="61"/>
      <c r="AR187" s="61"/>
      <c r="AS187" s="61"/>
      <c r="AT187" s="61"/>
      <c r="AU187" s="61"/>
    </row>
    <row r="188" spans="1:47" x14ac:dyDescent="0.2">
      <c r="A188" s="40">
        <v>43292.20380787037</v>
      </c>
      <c r="B188" s="50">
        <f t="shared" si="50"/>
        <v>17.658055555599276</v>
      </c>
      <c r="C188">
        <v>44.16</v>
      </c>
      <c r="D188">
        <v>33.909999999999997</v>
      </c>
      <c r="E188" s="32">
        <f t="shared" si="51"/>
        <v>3.0508929613295918E-2</v>
      </c>
      <c r="F188" s="32">
        <f t="shared" si="52"/>
        <v>2.688531292892845E-2</v>
      </c>
      <c r="G188" s="61"/>
      <c r="H188" s="40">
        <v>43292.204664351855</v>
      </c>
      <c r="I188" s="50">
        <f t="shared" si="53"/>
        <v>17.678611111245118</v>
      </c>
      <c r="J188">
        <v>182291.27</v>
      </c>
      <c r="K188">
        <v>169079.58</v>
      </c>
      <c r="L188" s="32">
        <f t="shared" si="54"/>
        <v>279.49298824129369</v>
      </c>
      <c r="M188" s="32">
        <f t="shared" si="55"/>
        <v>297.49906594546604</v>
      </c>
      <c r="N188" s="61"/>
      <c r="O188" s="40">
        <v>43292.205520833333</v>
      </c>
      <c r="P188" s="50">
        <f t="shared" si="56"/>
        <v>17.699166666716337</v>
      </c>
      <c r="Q188">
        <v>1195.79</v>
      </c>
      <c r="R188">
        <v>1110.74</v>
      </c>
      <c r="S188" s="32">
        <f t="shared" si="57"/>
        <v>0.70905419172555384</v>
      </c>
      <c r="T188" s="32">
        <f t="shared" si="58"/>
        <v>0.75583382458681159</v>
      </c>
      <c r="U188" s="61"/>
      <c r="V188" s="61"/>
      <c r="W188" s="40">
        <v>43292.211921296293</v>
      </c>
      <c r="X188" s="50">
        <f t="shared" si="59"/>
        <v>17.852777777763549</v>
      </c>
      <c r="Y188">
        <v>0</v>
      </c>
      <c r="Z188">
        <v>0</v>
      </c>
      <c r="AA188" s="32">
        <f t="shared" si="60"/>
        <v>0</v>
      </c>
      <c r="AB188" s="32">
        <f t="shared" si="61"/>
        <v>0</v>
      </c>
      <c r="AC188" s="61"/>
      <c r="AD188" s="40">
        <v>43292.212777777779</v>
      </c>
      <c r="AE188" s="50">
        <f t="shared" si="62"/>
        <v>17.873333333409391</v>
      </c>
      <c r="AF188">
        <v>1721.91</v>
      </c>
      <c r="AG188">
        <v>1895.91</v>
      </c>
      <c r="AH188" s="32">
        <f t="shared" si="63"/>
        <v>1.5284117993410893</v>
      </c>
      <c r="AI188" s="32">
        <f t="shared" si="64"/>
        <v>1.9312435690828909</v>
      </c>
      <c r="AJ188" s="61"/>
      <c r="AK188" s="40">
        <v>43292.213634259257</v>
      </c>
      <c r="AL188" s="50">
        <f t="shared" si="65"/>
        <v>17.89388888888061</v>
      </c>
      <c r="AM188">
        <v>571.97</v>
      </c>
      <c r="AN188">
        <v>650.79999999999995</v>
      </c>
      <c r="AO188" s="32">
        <f t="shared" si="66"/>
        <v>0.50769534811292283</v>
      </c>
      <c r="AP188" s="32">
        <f t="shared" si="67"/>
        <v>0.66292878604951988</v>
      </c>
      <c r="AQ188" s="61"/>
      <c r="AR188" s="61"/>
      <c r="AS188" s="61"/>
      <c r="AT188" s="61"/>
      <c r="AU188" s="61"/>
    </row>
    <row r="189" spans="1:47" x14ac:dyDescent="0.2">
      <c r="A189" s="40">
        <v>43292.220185185186</v>
      </c>
      <c r="B189" s="50">
        <f t="shared" si="50"/>
        <v>18.051111111184582</v>
      </c>
      <c r="C189">
        <v>31.68</v>
      </c>
      <c r="D189">
        <v>41.1</v>
      </c>
      <c r="E189" s="32">
        <f t="shared" si="51"/>
        <v>2.1886840809538378E-2</v>
      </c>
      <c r="F189" s="32">
        <f t="shared" si="52"/>
        <v>3.2585855540517829E-2</v>
      </c>
      <c r="G189" s="61"/>
      <c r="H189" s="40">
        <v>43292.221030092594</v>
      </c>
      <c r="I189" s="50">
        <f t="shared" si="53"/>
        <v>18.071388888987713</v>
      </c>
      <c r="J189">
        <v>182882.46</v>
      </c>
      <c r="K189">
        <v>168181.88</v>
      </c>
      <c r="L189" s="32">
        <f t="shared" si="54"/>
        <v>280.39941376413071</v>
      </c>
      <c r="M189" s="32">
        <f t="shared" si="55"/>
        <v>295.91954397421887</v>
      </c>
      <c r="N189" s="61"/>
      <c r="O189" s="40">
        <v>43292.221886574072</v>
      </c>
      <c r="P189" s="50">
        <f t="shared" si="56"/>
        <v>18.091944444458932</v>
      </c>
      <c r="Q189">
        <v>1202.98</v>
      </c>
      <c r="R189">
        <v>1177.0999999999999</v>
      </c>
      <c r="S189" s="32">
        <f t="shared" si="57"/>
        <v>0.7133175654270455</v>
      </c>
      <c r="T189" s="32">
        <f t="shared" si="58"/>
        <v>0.80099032619797228</v>
      </c>
      <c r="U189" s="61"/>
      <c r="V189" s="61"/>
      <c r="W189" s="40">
        <v>43292.228437500002</v>
      </c>
      <c r="X189" s="50">
        <f t="shared" si="59"/>
        <v>18.249166666762903</v>
      </c>
      <c r="Y189">
        <v>0</v>
      </c>
      <c r="Z189">
        <v>0</v>
      </c>
      <c r="AA189" s="32">
        <f t="shared" si="60"/>
        <v>0</v>
      </c>
      <c r="AB189" s="32">
        <f t="shared" si="61"/>
        <v>0</v>
      </c>
      <c r="AC189" s="61"/>
      <c r="AD189" s="40">
        <v>43292.22928240741</v>
      </c>
      <c r="AE189" s="50">
        <f t="shared" si="62"/>
        <v>18.269444444566034</v>
      </c>
      <c r="AF189">
        <v>1753.9</v>
      </c>
      <c r="AG189">
        <v>1950.09</v>
      </c>
      <c r="AH189" s="32">
        <f t="shared" si="63"/>
        <v>1.5568069497617976</v>
      </c>
      <c r="AI189" s="32">
        <f t="shared" si="64"/>
        <v>1.9864333072945732</v>
      </c>
      <c r="AJ189" s="61"/>
      <c r="AK189" s="40">
        <v>43292.230138888888</v>
      </c>
      <c r="AL189" s="50">
        <f t="shared" si="65"/>
        <v>18.290000000037253</v>
      </c>
      <c r="AM189">
        <v>585.87</v>
      </c>
      <c r="AN189">
        <v>680.78</v>
      </c>
      <c r="AO189" s="32">
        <f t="shared" si="66"/>
        <v>0.52003334720163297</v>
      </c>
      <c r="AP189" s="32">
        <f t="shared" si="67"/>
        <v>0.69346751531467754</v>
      </c>
      <c r="AQ189" s="61"/>
      <c r="AR189" s="61"/>
      <c r="AS189" s="61"/>
      <c r="AT189" s="61"/>
      <c r="AU189" s="61"/>
    </row>
    <row r="190" spans="1:47" x14ac:dyDescent="0.2">
      <c r="A190" s="40">
        <v>43292.236689814818</v>
      </c>
      <c r="B190" s="50">
        <f t="shared" si="50"/>
        <v>18.447222222341225</v>
      </c>
      <c r="C190">
        <v>29.17</v>
      </c>
      <c r="D190">
        <v>39.979999999999997</v>
      </c>
      <c r="E190" s="32">
        <f t="shared" si="51"/>
        <v>2.0152750833782658E-2</v>
      </c>
      <c r="F190" s="32">
        <f t="shared" si="52"/>
        <v>3.16978711559587E-2</v>
      </c>
      <c r="G190" s="61"/>
      <c r="H190" s="40">
        <v>43292.237546296295</v>
      </c>
      <c r="I190" s="50">
        <f t="shared" si="53"/>
        <v>18.467777777812444</v>
      </c>
      <c r="J190">
        <v>182491.77</v>
      </c>
      <c r="K190">
        <v>168403.74</v>
      </c>
      <c r="L190" s="32">
        <f t="shared" si="54"/>
        <v>279.80039925522971</v>
      </c>
      <c r="M190" s="32">
        <f t="shared" si="55"/>
        <v>296.30991129575273</v>
      </c>
      <c r="N190" s="61"/>
      <c r="O190" s="40">
        <v>43292.238402777781</v>
      </c>
      <c r="P190" s="50">
        <f t="shared" si="56"/>
        <v>18.488333333458286</v>
      </c>
      <c r="Q190">
        <v>1298.95</v>
      </c>
      <c r="R190">
        <v>1118.08</v>
      </c>
      <c r="S190" s="32">
        <f t="shared" si="57"/>
        <v>0.77022382052192129</v>
      </c>
      <c r="T190" s="32">
        <f t="shared" si="58"/>
        <v>0.76082853106399528</v>
      </c>
      <c r="U190" s="61"/>
      <c r="V190" s="61"/>
      <c r="W190" s="40">
        <v>43292.244930555556</v>
      </c>
      <c r="X190" s="50">
        <f t="shared" si="59"/>
        <v>18.645000000076834</v>
      </c>
      <c r="Y190">
        <v>0</v>
      </c>
      <c r="Z190">
        <v>1.95</v>
      </c>
      <c r="AA190" s="32">
        <f t="shared" si="60"/>
        <v>0</v>
      </c>
      <c r="AB190" s="32">
        <f t="shared" si="61"/>
        <v>1.9863416299885739E-3</v>
      </c>
      <c r="AC190" s="61"/>
      <c r="AD190" s="40">
        <v>43292.245787037034</v>
      </c>
      <c r="AE190" s="50">
        <f t="shared" si="62"/>
        <v>18.665555555548053</v>
      </c>
      <c r="AF190">
        <v>1689.92</v>
      </c>
      <c r="AG190">
        <v>1848.26</v>
      </c>
      <c r="AH190" s="32">
        <f t="shared" si="63"/>
        <v>1.5000166489203812</v>
      </c>
      <c r="AI190" s="32">
        <f t="shared" si="64"/>
        <v>1.8827055287398367</v>
      </c>
      <c r="AJ190" s="61"/>
      <c r="AK190" s="40">
        <v>43292.24664351852</v>
      </c>
      <c r="AL190" s="50">
        <f t="shared" si="65"/>
        <v>18.686111111193895</v>
      </c>
      <c r="AM190">
        <v>613.57000000000005</v>
      </c>
      <c r="AN190">
        <v>612.34</v>
      </c>
      <c r="AO190" s="32">
        <f t="shared" si="66"/>
        <v>0.5446205827956816</v>
      </c>
      <c r="AP190" s="32">
        <f t="shared" si="67"/>
        <v>0.62375201728574536</v>
      </c>
      <c r="AQ190" s="61"/>
      <c r="AR190" s="61"/>
      <c r="AS190" s="61"/>
      <c r="AT190" s="61"/>
      <c r="AU190" s="61"/>
    </row>
    <row r="191" spans="1:47" x14ac:dyDescent="0.2">
      <c r="A191" s="40">
        <v>43292.253194444442</v>
      </c>
      <c r="B191" s="50">
        <f t="shared" si="50"/>
        <v>18.843333333323244</v>
      </c>
      <c r="C191">
        <v>35.68</v>
      </c>
      <c r="D191">
        <v>37.72</v>
      </c>
      <c r="E191" s="32">
        <f t="shared" si="51"/>
        <v>2.4650330810742718E-2</v>
      </c>
      <c r="F191" s="32">
        <f t="shared" si="52"/>
        <v>2.9906045522830469E-2</v>
      </c>
      <c r="G191" s="61"/>
      <c r="H191" s="40">
        <v>43292.254050925927</v>
      </c>
      <c r="I191" s="50">
        <f t="shared" si="53"/>
        <v>18.863888888969086</v>
      </c>
      <c r="J191">
        <v>181250.04</v>
      </c>
      <c r="K191">
        <v>168749.75</v>
      </c>
      <c r="L191" s="32">
        <f t="shared" si="54"/>
        <v>277.89655148298664</v>
      </c>
      <c r="M191" s="32">
        <f t="shared" si="55"/>
        <v>296.91872314522499</v>
      </c>
      <c r="N191" s="61"/>
      <c r="O191" s="40">
        <v>43292.254907407405</v>
      </c>
      <c r="P191" s="50">
        <f t="shared" si="56"/>
        <v>18.884444444440305</v>
      </c>
      <c r="Q191">
        <v>1181.8</v>
      </c>
      <c r="R191">
        <v>1132.05</v>
      </c>
      <c r="S191" s="32">
        <f t="shared" si="57"/>
        <v>0.70075869825074599</v>
      </c>
      <c r="T191" s="32">
        <f t="shared" si="58"/>
        <v>0.77033480483596517</v>
      </c>
      <c r="U191" s="61"/>
      <c r="V191" s="61"/>
      <c r="W191" s="40">
        <v>43292.261435185188</v>
      </c>
      <c r="X191" s="50">
        <f t="shared" si="59"/>
        <v>19.041111111233477</v>
      </c>
      <c r="Y191">
        <v>0</v>
      </c>
      <c r="Z191">
        <v>4.6399999999999997</v>
      </c>
      <c r="AA191" s="32">
        <f t="shared" si="60"/>
        <v>0</v>
      </c>
      <c r="AB191" s="32">
        <f t="shared" si="61"/>
        <v>4.7264744426394785E-3</v>
      </c>
      <c r="AC191" s="61"/>
      <c r="AD191" s="40">
        <v>43292.262291666666</v>
      </c>
      <c r="AE191" s="50">
        <f t="shared" si="62"/>
        <v>19.061666666704696</v>
      </c>
      <c r="AF191">
        <v>1679.94</v>
      </c>
      <c r="AG191">
        <v>1942.37</v>
      </c>
      <c r="AH191" s="32">
        <f t="shared" si="63"/>
        <v>1.4911581430998539</v>
      </c>
      <c r="AI191" s="32">
        <f t="shared" si="64"/>
        <v>1.9785694317132851</v>
      </c>
      <c r="AJ191" s="61"/>
      <c r="AK191" s="40">
        <v>43292.263136574074</v>
      </c>
      <c r="AL191" s="50">
        <f t="shared" si="65"/>
        <v>19.081944444507826</v>
      </c>
      <c r="AM191">
        <v>562.02</v>
      </c>
      <c r="AN191">
        <v>664.04</v>
      </c>
      <c r="AO191" s="32">
        <f t="shared" si="66"/>
        <v>0.49886347106740714</v>
      </c>
      <c r="AP191" s="32">
        <f t="shared" si="67"/>
        <v>0.67641553639877561</v>
      </c>
      <c r="AQ191" s="61"/>
      <c r="AR191" s="61"/>
      <c r="AS191" s="61"/>
      <c r="AT191" s="61"/>
      <c r="AU191" s="61"/>
    </row>
    <row r="192" spans="1:47" x14ac:dyDescent="0.2">
      <c r="A192" s="40">
        <v>43292.269687499997</v>
      </c>
      <c r="B192" s="50">
        <f t="shared" si="50"/>
        <v>19.239166666637175</v>
      </c>
      <c r="C192">
        <v>32.17</v>
      </c>
      <c r="D192">
        <v>47.44</v>
      </c>
      <c r="E192" s="32">
        <f t="shared" si="51"/>
        <v>2.222536833468591E-2</v>
      </c>
      <c r="F192" s="32">
        <f t="shared" si="52"/>
        <v>3.7612481431682859E-2</v>
      </c>
      <c r="G192" s="61"/>
      <c r="H192" s="40">
        <v>43292.270543981482</v>
      </c>
      <c r="I192" s="50">
        <f t="shared" si="53"/>
        <v>19.259722222283017</v>
      </c>
      <c r="J192">
        <v>180673.74</v>
      </c>
      <c r="K192">
        <v>168233.02</v>
      </c>
      <c r="L192" s="32">
        <f t="shared" si="54"/>
        <v>277.01295563594766</v>
      </c>
      <c r="M192" s="32">
        <f t="shared" si="55"/>
        <v>296.00952587642405</v>
      </c>
      <c r="N192" s="61"/>
      <c r="O192" s="40">
        <v>43292.27138888889</v>
      </c>
      <c r="P192" s="50">
        <f t="shared" si="56"/>
        <v>19.280000000086147</v>
      </c>
      <c r="Q192">
        <v>1260.9100000000001</v>
      </c>
      <c r="R192">
        <v>1133.6199999999999</v>
      </c>
      <c r="S192" s="32">
        <f t="shared" si="57"/>
        <v>0.74766766814295837</v>
      </c>
      <c r="T192" s="32">
        <f t="shared" si="58"/>
        <v>0.7714031548590139</v>
      </c>
      <c r="U192" s="61"/>
      <c r="V192" s="61"/>
      <c r="W192" s="40">
        <v>43292.277928240743</v>
      </c>
      <c r="X192" s="50">
        <f t="shared" si="59"/>
        <v>19.436944444547407</v>
      </c>
      <c r="Y192">
        <v>0</v>
      </c>
      <c r="Z192">
        <v>0</v>
      </c>
      <c r="AA192" s="32">
        <f t="shared" si="60"/>
        <v>0</v>
      </c>
      <c r="AB192" s="32">
        <f t="shared" si="61"/>
        <v>0</v>
      </c>
      <c r="AC192" s="61"/>
      <c r="AD192" s="40">
        <v>43292.278784722221</v>
      </c>
      <c r="AE192" s="50">
        <f t="shared" si="62"/>
        <v>19.457500000018626</v>
      </c>
      <c r="AF192">
        <v>1593.82</v>
      </c>
      <c r="AG192">
        <v>1850.37</v>
      </c>
      <c r="AH192" s="32">
        <f t="shared" si="63"/>
        <v>1.4147158062998733</v>
      </c>
      <c r="AI192" s="32">
        <f t="shared" si="64"/>
        <v>1.8848548522471575</v>
      </c>
      <c r="AJ192" s="61"/>
      <c r="AK192" s="40">
        <v>43292.279641203706</v>
      </c>
      <c r="AL192" s="50">
        <f t="shared" si="65"/>
        <v>19.478055555664469</v>
      </c>
      <c r="AM192">
        <v>607.54</v>
      </c>
      <c r="AN192">
        <v>596.86</v>
      </c>
      <c r="AO192" s="32">
        <f t="shared" si="66"/>
        <v>0.53926819901834899</v>
      </c>
      <c r="AP192" s="32">
        <f t="shared" si="67"/>
        <v>0.60798352065383598</v>
      </c>
      <c r="AQ192" s="61"/>
      <c r="AR192" s="61"/>
      <c r="AS192" s="61"/>
      <c r="AT192" s="61"/>
      <c r="AU192" s="61"/>
    </row>
    <row r="193" spans="1:47" x14ac:dyDescent="0.2">
      <c r="A193" s="40">
        <v>43292.286180555559</v>
      </c>
      <c r="B193" s="50">
        <f t="shared" si="50"/>
        <v>19.635000000125729</v>
      </c>
      <c r="C193">
        <v>29.69</v>
      </c>
      <c r="D193">
        <v>39.340000000000003</v>
      </c>
      <c r="E193" s="32">
        <f t="shared" si="51"/>
        <v>2.051200453393922E-2</v>
      </c>
      <c r="F193" s="32">
        <f t="shared" si="52"/>
        <v>3.1190451507639202E-2</v>
      </c>
      <c r="G193" s="61"/>
      <c r="H193" s="40">
        <v>43292.287037037036</v>
      </c>
      <c r="I193" s="50">
        <f t="shared" si="53"/>
        <v>19.655555555596948</v>
      </c>
      <c r="J193">
        <v>180743.81</v>
      </c>
      <c r="K193">
        <v>168035.6</v>
      </c>
      <c r="L193" s="32">
        <f t="shared" si="54"/>
        <v>277.12038850251372</v>
      </c>
      <c r="M193" s="32">
        <f t="shared" si="55"/>
        <v>295.66216124730119</v>
      </c>
      <c r="N193" s="61"/>
      <c r="O193" s="40">
        <v>43292.287881944445</v>
      </c>
      <c r="P193" s="50">
        <f t="shared" si="56"/>
        <v>19.675833333400078</v>
      </c>
      <c r="Q193">
        <v>1224.49</v>
      </c>
      <c r="R193">
        <v>1203.03</v>
      </c>
      <c r="S193" s="32">
        <f t="shared" si="57"/>
        <v>0.7260721090041089</v>
      </c>
      <c r="T193" s="32">
        <f t="shared" si="58"/>
        <v>0.81863511352132068</v>
      </c>
      <c r="U193" s="61"/>
      <c r="V193" s="61"/>
      <c r="W193" s="40">
        <v>43292.294421296298</v>
      </c>
      <c r="X193" s="50">
        <f t="shared" si="59"/>
        <v>19.832777777861338</v>
      </c>
      <c r="Y193">
        <v>0</v>
      </c>
      <c r="Z193">
        <v>6.83</v>
      </c>
      <c r="AA193" s="32">
        <f t="shared" si="60"/>
        <v>0</v>
      </c>
      <c r="AB193" s="32">
        <f t="shared" si="61"/>
        <v>6.9572888886266461E-3</v>
      </c>
      <c r="AC193" s="61"/>
      <c r="AD193" s="40">
        <v>43292.295277777775</v>
      </c>
      <c r="AE193" s="50">
        <f t="shared" si="62"/>
        <v>19.853333333332557</v>
      </c>
      <c r="AF193">
        <v>1784.86</v>
      </c>
      <c r="AG193">
        <v>1880.12</v>
      </c>
      <c r="AH193" s="32">
        <f t="shared" si="63"/>
        <v>1.5842878455737734</v>
      </c>
      <c r="AI193" s="32">
        <f t="shared" si="64"/>
        <v>1.9151592950636498</v>
      </c>
      <c r="AJ193" s="61"/>
      <c r="AK193" s="40">
        <v>43292.296122685184</v>
      </c>
      <c r="AL193" s="50">
        <f t="shared" si="65"/>
        <v>19.873611111135688</v>
      </c>
      <c r="AM193">
        <v>595.03</v>
      </c>
      <c r="AN193">
        <v>657.87</v>
      </c>
      <c r="AO193" s="32">
        <f t="shared" si="66"/>
        <v>0.5281639998385097</v>
      </c>
      <c r="AP193" s="32">
        <f t="shared" si="67"/>
        <v>0.67013054775414516</v>
      </c>
      <c r="AQ193" s="61"/>
      <c r="AR193" s="61"/>
      <c r="AS193" s="61"/>
      <c r="AT193" s="61"/>
      <c r="AU193" s="61"/>
    </row>
    <row r="194" spans="1:47" x14ac:dyDescent="0.2">
      <c r="A194" s="40">
        <v>43292.302673611113</v>
      </c>
      <c r="B194" s="50">
        <f t="shared" si="50"/>
        <v>20.030833333439659</v>
      </c>
      <c r="C194">
        <v>27.15</v>
      </c>
      <c r="D194">
        <v>36.15</v>
      </c>
      <c r="E194" s="32">
        <f t="shared" si="51"/>
        <v>1.8757188383174462E-2</v>
      </c>
      <c r="F194" s="32">
        <f t="shared" si="52"/>
        <v>2.8661281698046701E-2</v>
      </c>
      <c r="G194" s="61"/>
      <c r="H194" s="40">
        <v>43292.303530092591</v>
      </c>
      <c r="I194" s="50">
        <f t="shared" si="53"/>
        <v>20.051388888910878</v>
      </c>
      <c r="J194">
        <v>180381.97</v>
      </c>
      <c r="K194">
        <v>167676.60999999999</v>
      </c>
      <c r="L194" s="32">
        <f t="shared" si="54"/>
        <v>276.56560744873519</v>
      </c>
      <c r="M194" s="32">
        <f t="shared" si="55"/>
        <v>295.03051081568924</v>
      </c>
      <c r="N194" s="61"/>
      <c r="O194" s="40">
        <v>43292.304375</v>
      </c>
      <c r="P194" s="50">
        <f t="shared" si="56"/>
        <v>20.071666666714009</v>
      </c>
      <c r="Q194">
        <v>1235.07</v>
      </c>
      <c r="R194">
        <v>1137.8599999999999</v>
      </c>
      <c r="S194" s="32">
        <f t="shared" si="57"/>
        <v>0.73234561300435674</v>
      </c>
      <c r="T194" s="32">
        <f t="shared" si="58"/>
        <v>0.77428838039896752</v>
      </c>
      <c r="U194" s="61"/>
      <c r="V194" s="61"/>
      <c r="W194" s="40">
        <v>43292.311006944445</v>
      </c>
      <c r="X194" s="50">
        <f t="shared" si="59"/>
        <v>20.230833333393093</v>
      </c>
      <c r="Y194">
        <v>0</v>
      </c>
      <c r="Z194">
        <v>1.71</v>
      </c>
      <c r="AA194" s="32">
        <f t="shared" si="60"/>
        <v>0</v>
      </c>
      <c r="AB194" s="32">
        <f t="shared" si="61"/>
        <v>1.7418688139899802E-3</v>
      </c>
      <c r="AC194" s="61"/>
      <c r="AD194" s="40">
        <v>43292.311863425923</v>
      </c>
      <c r="AE194" s="50">
        <f t="shared" si="62"/>
        <v>20.251388888864312</v>
      </c>
      <c r="AF194">
        <v>1683.87</v>
      </c>
      <c r="AG194">
        <v>1917.23</v>
      </c>
      <c r="AH194" s="32">
        <f t="shared" si="63"/>
        <v>1.4946465126263742</v>
      </c>
      <c r="AI194" s="32">
        <f t="shared" si="64"/>
        <v>1.9529609042374327</v>
      </c>
      <c r="AJ194" s="61"/>
      <c r="AK194" s="40">
        <v>43292.312719907408</v>
      </c>
      <c r="AL194" s="50">
        <f t="shared" si="65"/>
        <v>20.271944444510154</v>
      </c>
      <c r="AM194">
        <v>575.97</v>
      </c>
      <c r="AN194">
        <v>651.42999999999995</v>
      </c>
      <c r="AO194" s="32">
        <f t="shared" si="66"/>
        <v>0.51124585144780343</v>
      </c>
      <c r="AP194" s="32">
        <f t="shared" si="67"/>
        <v>0.66357052719151621</v>
      </c>
      <c r="AQ194" s="61"/>
      <c r="AR194" s="61"/>
      <c r="AS194" s="61"/>
      <c r="AT194" s="61"/>
      <c r="AU194" s="61"/>
    </row>
    <row r="195" spans="1:47" x14ac:dyDescent="0.2">
      <c r="A195" s="40">
        <v>43292.319120370368</v>
      </c>
      <c r="B195" s="50">
        <f t="shared" si="50"/>
        <v>20.425555555557366</v>
      </c>
      <c r="C195">
        <v>46.66</v>
      </c>
      <c r="D195">
        <v>36.380000000000003</v>
      </c>
      <c r="E195" s="32">
        <f t="shared" si="51"/>
        <v>3.223611086404863E-2</v>
      </c>
      <c r="F195" s="32">
        <f t="shared" si="52"/>
        <v>2.8843635634161521E-2</v>
      </c>
      <c r="G195" s="61"/>
      <c r="H195" s="40">
        <v>43292.319976851853</v>
      </c>
      <c r="I195" s="50">
        <f t="shared" si="53"/>
        <v>20.446111111203209</v>
      </c>
      <c r="J195">
        <v>179925.69</v>
      </c>
      <c r="K195">
        <v>166783.59</v>
      </c>
      <c r="L195" s="32">
        <f t="shared" si="54"/>
        <v>275.86602890789368</v>
      </c>
      <c r="M195" s="32">
        <f t="shared" si="55"/>
        <v>293.45922340256328</v>
      </c>
      <c r="N195" s="61"/>
      <c r="O195" s="40">
        <v>43292.320833333331</v>
      </c>
      <c r="P195" s="50">
        <f t="shared" si="56"/>
        <v>20.466666666674428</v>
      </c>
      <c r="Q195">
        <v>1204.27</v>
      </c>
      <c r="R195">
        <v>1143.46</v>
      </c>
      <c r="S195" s="32">
        <f t="shared" si="57"/>
        <v>0.71408248226639526</v>
      </c>
      <c r="T195" s="32">
        <f t="shared" si="58"/>
        <v>0.77809905564041582</v>
      </c>
      <c r="U195" s="61"/>
      <c r="V195" s="61"/>
      <c r="W195" s="40">
        <v>43292.327361111114</v>
      </c>
      <c r="X195" s="50">
        <f t="shared" si="59"/>
        <v>20.623333333467599</v>
      </c>
      <c r="Y195">
        <v>6.18</v>
      </c>
      <c r="Z195">
        <v>0</v>
      </c>
      <c r="AA195" s="32">
        <f t="shared" si="60"/>
        <v>5.4855276523906194E-3</v>
      </c>
      <c r="AB195" s="32">
        <f t="shared" si="61"/>
        <v>0</v>
      </c>
      <c r="AC195" s="61"/>
      <c r="AD195" s="40">
        <v>43292.328217592592</v>
      </c>
      <c r="AE195" s="50">
        <f t="shared" si="62"/>
        <v>20.643888888938818</v>
      </c>
      <c r="AF195">
        <v>1739.82</v>
      </c>
      <c r="AG195">
        <v>1955.24</v>
      </c>
      <c r="AH195" s="32">
        <f t="shared" si="63"/>
        <v>1.5443091780230174</v>
      </c>
      <c r="AI195" s="32">
        <f t="shared" si="64"/>
        <v>1.9916792864712096</v>
      </c>
      <c r="AJ195" s="61"/>
      <c r="AK195" s="40">
        <v>43292.329074074078</v>
      </c>
      <c r="AL195" s="50">
        <f t="shared" si="65"/>
        <v>20.66444444458466</v>
      </c>
      <c r="AM195">
        <v>633.85</v>
      </c>
      <c r="AN195">
        <v>673.61</v>
      </c>
      <c r="AO195" s="32">
        <f t="shared" si="66"/>
        <v>0.56262163470352666</v>
      </c>
      <c r="AP195" s="32">
        <f t="shared" si="67"/>
        <v>0.68616388993671962</v>
      </c>
      <c r="AQ195" s="61"/>
      <c r="AR195" s="61"/>
      <c r="AS195" s="61"/>
      <c r="AT195" s="61"/>
      <c r="AU195" s="61"/>
    </row>
    <row r="196" spans="1:47" x14ac:dyDescent="0.2">
      <c r="A196" s="40">
        <v>43292.335625</v>
      </c>
      <c r="B196" s="50">
        <f t="shared" si="50"/>
        <v>20.821666666714009</v>
      </c>
      <c r="C196">
        <v>43.16</v>
      </c>
      <c r="D196">
        <v>31.87</v>
      </c>
      <c r="E196" s="32">
        <f t="shared" si="51"/>
        <v>2.9818057112994834E-2</v>
      </c>
      <c r="F196" s="32">
        <f t="shared" si="52"/>
        <v>2.5267912799910051E-2</v>
      </c>
      <c r="G196" s="61"/>
      <c r="H196" s="40">
        <v>43292.336481481485</v>
      </c>
      <c r="I196" s="50">
        <f t="shared" si="53"/>
        <v>20.842222222359851</v>
      </c>
      <c r="J196">
        <v>180786.12</v>
      </c>
      <c r="K196">
        <v>168330.35</v>
      </c>
      <c r="L196" s="32">
        <f t="shared" si="54"/>
        <v>277.18525912595328</v>
      </c>
      <c r="M196" s="32">
        <f t="shared" si="55"/>
        <v>296.18078005205234</v>
      </c>
      <c r="N196" s="61"/>
      <c r="O196" s="40">
        <v>43292.337337962963</v>
      </c>
      <c r="P196" s="50">
        <f t="shared" si="56"/>
        <v>20.86277777783107</v>
      </c>
      <c r="Q196">
        <v>1258.76</v>
      </c>
      <c r="R196">
        <v>1171.57</v>
      </c>
      <c r="S196" s="32">
        <f t="shared" si="57"/>
        <v>0.74639280674404218</v>
      </c>
      <c r="T196" s="32">
        <f t="shared" si="58"/>
        <v>0.79722728439704216</v>
      </c>
      <c r="U196" s="61"/>
      <c r="V196" s="61"/>
      <c r="W196" s="40">
        <v>43292.343865740739</v>
      </c>
      <c r="X196" s="50">
        <f t="shared" si="59"/>
        <v>21.019444444449618</v>
      </c>
      <c r="Y196">
        <v>2.17</v>
      </c>
      <c r="Z196">
        <v>0</v>
      </c>
      <c r="AA196" s="32">
        <f t="shared" si="60"/>
        <v>1.9261480591727582E-3</v>
      </c>
      <c r="AB196" s="32">
        <f t="shared" si="61"/>
        <v>0</v>
      </c>
      <c r="AC196" s="61"/>
      <c r="AD196" s="40">
        <v>43292.344722222224</v>
      </c>
      <c r="AE196" s="50">
        <f t="shared" si="62"/>
        <v>21.040000000095461</v>
      </c>
      <c r="AF196">
        <v>1722.29</v>
      </c>
      <c r="AG196">
        <v>1923.94</v>
      </c>
      <c r="AH196" s="32">
        <f t="shared" si="63"/>
        <v>1.528749097157903</v>
      </c>
      <c r="AI196" s="32">
        <f t="shared" si="64"/>
        <v>1.9597959567180601</v>
      </c>
      <c r="AJ196" s="61"/>
      <c r="AK196" s="40">
        <v>43292.345578703702</v>
      </c>
      <c r="AL196" s="50">
        <f t="shared" si="65"/>
        <v>21.06055555556668</v>
      </c>
      <c r="AM196">
        <v>560.52</v>
      </c>
      <c r="AN196">
        <v>645.6</v>
      </c>
      <c r="AO196" s="32">
        <f t="shared" si="66"/>
        <v>0.49753203231682686</v>
      </c>
      <c r="AP196" s="32">
        <f t="shared" si="67"/>
        <v>0.65763187503621712</v>
      </c>
      <c r="AQ196" s="61"/>
      <c r="AR196" s="61"/>
      <c r="AS196" s="61"/>
      <c r="AT196" s="61"/>
      <c r="AU196" s="61"/>
    </row>
    <row r="197" spans="1:47" x14ac:dyDescent="0.2">
      <c r="A197" s="40">
        <v>43292.352118055554</v>
      </c>
      <c r="B197" s="50">
        <f t="shared" si="50"/>
        <v>21.21750000002794</v>
      </c>
      <c r="C197">
        <v>39.159999999999997</v>
      </c>
      <c r="D197">
        <v>35.47</v>
      </c>
      <c r="E197" s="32">
        <f t="shared" si="51"/>
        <v>2.7054567111790495E-2</v>
      </c>
      <c r="F197" s="32">
        <f t="shared" si="52"/>
        <v>2.8122148321707233E-2</v>
      </c>
      <c r="G197" s="61"/>
      <c r="H197" s="40">
        <v>43292.35297453704</v>
      </c>
      <c r="I197" s="50">
        <f t="shared" si="53"/>
        <v>21.238055555673782</v>
      </c>
      <c r="J197">
        <v>180340.41</v>
      </c>
      <c r="K197">
        <v>167350.56</v>
      </c>
      <c r="L197" s="32">
        <f t="shared" si="54"/>
        <v>276.50188674180663</v>
      </c>
      <c r="M197" s="32">
        <f t="shared" si="55"/>
        <v>294.45681900469992</v>
      </c>
      <c r="N197" s="61"/>
      <c r="O197" s="40">
        <v>43292.353831018518</v>
      </c>
      <c r="P197" s="50">
        <f t="shared" si="56"/>
        <v>21.258611111145001</v>
      </c>
      <c r="Q197">
        <v>1150.8499999999999</v>
      </c>
      <c r="R197">
        <v>1168.81</v>
      </c>
      <c r="S197" s="32">
        <f t="shared" si="57"/>
        <v>0.68240662369425531</v>
      </c>
      <c r="T197" s="32">
        <f t="shared" si="58"/>
        <v>0.79534916588518556</v>
      </c>
      <c r="U197" s="61"/>
      <c r="V197" s="61"/>
      <c r="W197" s="40">
        <v>43292.360358796293</v>
      </c>
      <c r="X197" s="50">
        <f t="shared" si="59"/>
        <v>21.415277777763549</v>
      </c>
      <c r="Y197">
        <v>8.18</v>
      </c>
      <c r="Z197">
        <v>0.36</v>
      </c>
      <c r="AA197" s="32">
        <f t="shared" si="60"/>
        <v>7.2607793198309492E-3</v>
      </c>
      <c r="AB197" s="32">
        <f t="shared" si="61"/>
        <v>3.6670922399789055E-4</v>
      </c>
      <c r="AC197" s="61"/>
      <c r="AD197" s="40">
        <v>43292.361215277779</v>
      </c>
      <c r="AE197" s="50">
        <f t="shared" si="62"/>
        <v>21.435833333409391</v>
      </c>
      <c r="AF197">
        <v>1694.85</v>
      </c>
      <c r="AG197">
        <v>1862.42</v>
      </c>
      <c r="AH197" s="32">
        <f t="shared" si="63"/>
        <v>1.5043926442806215</v>
      </c>
      <c r="AI197" s="32">
        <f t="shared" si="64"/>
        <v>1.8971294248837538</v>
      </c>
      <c r="AJ197" s="61"/>
      <c r="AK197" s="40">
        <v>43292.362071759257</v>
      </c>
      <c r="AL197" s="50">
        <f t="shared" si="65"/>
        <v>21.45638888888061</v>
      </c>
      <c r="AM197">
        <v>557</v>
      </c>
      <c r="AN197">
        <v>631.64</v>
      </c>
      <c r="AO197" s="32">
        <f t="shared" si="66"/>
        <v>0.49440758938213192</v>
      </c>
      <c r="AP197" s="32">
        <f t="shared" si="67"/>
        <v>0.64341170623896549</v>
      </c>
      <c r="AQ197" s="61"/>
      <c r="AR197" s="61"/>
      <c r="AS197" s="61"/>
      <c r="AT197" s="61"/>
      <c r="AU197" s="61"/>
    </row>
    <row r="198" spans="1:47" x14ac:dyDescent="0.2">
      <c r="A198" s="40">
        <v>43292.368634259263</v>
      </c>
      <c r="B198" s="50">
        <f t="shared" si="50"/>
        <v>21.613888889027294</v>
      </c>
      <c r="C198">
        <v>47.15</v>
      </c>
      <c r="D198">
        <v>28.69</v>
      </c>
      <c r="E198" s="32">
        <f t="shared" si="51"/>
        <v>3.2574638389196164E-2</v>
      </c>
      <c r="F198" s="32">
        <f t="shared" si="52"/>
        <v>2.2746671422322541E-2</v>
      </c>
      <c r="G198" s="61"/>
      <c r="H198" s="40">
        <v>43292.369490740741</v>
      </c>
      <c r="I198" s="50">
        <f t="shared" si="53"/>
        <v>21.634444444498513</v>
      </c>
      <c r="J198">
        <v>180580.88</v>
      </c>
      <c r="K198">
        <v>166648.24</v>
      </c>
      <c r="L198" s="32">
        <f t="shared" si="54"/>
        <v>276.87058063966788</v>
      </c>
      <c r="M198" s="32">
        <f t="shared" si="55"/>
        <v>293.22107223980481</v>
      </c>
      <c r="N198" s="61"/>
      <c r="O198" s="40">
        <v>43292.370335648149</v>
      </c>
      <c r="P198" s="50">
        <f t="shared" si="56"/>
        <v>21.654722222301643</v>
      </c>
      <c r="Q198">
        <v>1227.49</v>
      </c>
      <c r="R198">
        <v>1166.99</v>
      </c>
      <c r="S198" s="32">
        <f t="shared" si="57"/>
        <v>0.72785098537468962</v>
      </c>
      <c r="T198" s="32">
        <f t="shared" si="58"/>
        <v>0.79411069643171495</v>
      </c>
      <c r="U198" s="61"/>
      <c r="V198" s="61"/>
      <c r="W198" s="40">
        <v>43292.376875000002</v>
      </c>
      <c r="X198" s="50">
        <f t="shared" si="59"/>
        <v>21.811666666762903</v>
      </c>
      <c r="Y198">
        <v>1.21</v>
      </c>
      <c r="Z198">
        <v>0</v>
      </c>
      <c r="AA198" s="32">
        <f t="shared" si="60"/>
        <v>1.0740272588013995E-3</v>
      </c>
      <c r="AB198" s="32">
        <f t="shared" si="61"/>
        <v>0</v>
      </c>
      <c r="AC198" s="61"/>
      <c r="AD198" s="40">
        <v>43292.37773148148</v>
      </c>
      <c r="AE198" s="50">
        <f t="shared" si="62"/>
        <v>21.832222222234122</v>
      </c>
      <c r="AF198">
        <v>1622.87</v>
      </c>
      <c r="AG198">
        <v>1944.82</v>
      </c>
      <c r="AH198" s="32">
        <f t="shared" si="63"/>
        <v>1.4405013367694441</v>
      </c>
      <c r="AI198" s="32">
        <f t="shared" si="64"/>
        <v>1.9810650917099377</v>
      </c>
      <c r="AJ198" s="61"/>
      <c r="AK198" s="40">
        <v>43292.378576388888</v>
      </c>
      <c r="AL198" s="50">
        <f t="shared" si="65"/>
        <v>21.852500000037253</v>
      </c>
      <c r="AM198">
        <v>582.05999999999995</v>
      </c>
      <c r="AN198">
        <v>692.61</v>
      </c>
      <c r="AO198" s="32">
        <f t="shared" si="66"/>
        <v>0.5166514927751592</v>
      </c>
      <c r="AP198" s="32">
        <f t="shared" si="67"/>
        <v>0.70551798786994169</v>
      </c>
      <c r="AQ198" s="61"/>
      <c r="AR198" s="61"/>
      <c r="AS198" s="61"/>
      <c r="AT198" s="61"/>
      <c r="AU198" s="61"/>
    </row>
    <row r="199" spans="1:47" x14ac:dyDescent="0.2">
      <c r="A199" s="40">
        <v>43292.385127314818</v>
      </c>
      <c r="B199" s="50">
        <f t="shared" si="50"/>
        <v>22.009722222341225</v>
      </c>
      <c r="C199">
        <v>36.659999999999997</v>
      </c>
      <c r="D199">
        <v>34.340000000000003</v>
      </c>
      <c r="E199" s="32">
        <f t="shared" si="51"/>
        <v>2.532738586103778E-2</v>
      </c>
      <c r="F199" s="32">
        <f t="shared" si="52"/>
        <v>2.722623550514312E-2</v>
      </c>
      <c r="G199" s="61"/>
      <c r="H199" s="40">
        <v>43292.385983796295</v>
      </c>
      <c r="I199" s="50">
        <f t="shared" si="53"/>
        <v>22.030277777812444</v>
      </c>
      <c r="J199">
        <v>179766.45</v>
      </c>
      <c r="K199">
        <v>167185.89000000001</v>
      </c>
      <c r="L199" s="32">
        <f t="shared" si="54"/>
        <v>275.62187863428193</v>
      </c>
      <c r="M199" s="32">
        <f t="shared" si="55"/>
        <v>294.16707868721608</v>
      </c>
      <c r="N199" s="61"/>
      <c r="O199" s="40">
        <v>43292.386828703704</v>
      </c>
      <c r="P199" s="50">
        <f t="shared" si="56"/>
        <v>22.050555555615574</v>
      </c>
      <c r="Q199">
        <v>1175.76</v>
      </c>
      <c r="R199">
        <v>1089.8800000000001</v>
      </c>
      <c r="S199" s="32">
        <f t="shared" si="57"/>
        <v>0.69717722715797681</v>
      </c>
      <c r="T199" s="32">
        <f t="shared" si="58"/>
        <v>0.74163905931241714</v>
      </c>
      <c r="U199" s="61"/>
      <c r="V199" s="61"/>
      <c r="W199" s="40">
        <v>43292.393368055556</v>
      </c>
      <c r="X199" s="50">
        <f t="shared" si="59"/>
        <v>22.207500000076834</v>
      </c>
      <c r="Y199">
        <v>15.68</v>
      </c>
      <c r="Z199">
        <v>0</v>
      </c>
      <c r="AA199" s="32">
        <f t="shared" si="60"/>
        <v>1.3917973072732187E-2</v>
      </c>
      <c r="AB199" s="32">
        <f t="shared" si="61"/>
        <v>0</v>
      </c>
      <c r="AC199" s="61"/>
      <c r="AD199" s="40">
        <v>43292.394224537034</v>
      </c>
      <c r="AE199" s="50">
        <f t="shared" si="62"/>
        <v>22.228055555548053</v>
      </c>
      <c r="AF199">
        <v>1674.4</v>
      </c>
      <c r="AG199">
        <v>1820.16</v>
      </c>
      <c r="AH199" s="32">
        <f t="shared" si="63"/>
        <v>1.4862406959810444</v>
      </c>
      <c r="AI199" s="32">
        <f t="shared" si="64"/>
        <v>1.8540818365333349</v>
      </c>
      <c r="AJ199" s="61"/>
      <c r="AK199" s="40">
        <v>43292.395069444443</v>
      </c>
      <c r="AL199" s="50">
        <f t="shared" si="65"/>
        <v>22.248333333351184</v>
      </c>
      <c r="AM199">
        <v>614.5</v>
      </c>
      <c r="AN199">
        <v>628.79</v>
      </c>
      <c r="AO199" s="32">
        <f t="shared" si="66"/>
        <v>0.54544607482104135</v>
      </c>
      <c r="AP199" s="32">
        <f t="shared" si="67"/>
        <v>0.64050859154898221</v>
      </c>
      <c r="AQ199" s="61"/>
      <c r="AR199" s="61"/>
      <c r="AS199" s="61"/>
      <c r="AT199" s="61"/>
      <c r="AU199" s="61"/>
    </row>
    <row r="200" spans="1:47" x14ac:dyDescent="0.2">
      <c r="A200" s="61"/>
      <c r="B200" s="61"/>
      <c r="C200" s="61"/>
      <c r="D200" s="61"/>
      <c r="E200" s="61"/>
      <c r="F200" s="61"/>
      <c r="G200" s="61"/>
      <c r="H200" s="61"/>
      <c r="I200" s="61"/>
      <c r="J200" s="61"/>
      <c r="K200" s="61"/>
      <c r="L200" s="61"/>
      <c r="M200" s="61"/>
      <c r="N200" s="61"/>
      <c r="O200" s="61"/>
      <c r="P200" s="61"/>
      <c r="Q200" s="61"/>
      <c r="R200" s="61"/>
      <c r="S200" s="61"/>
      <c r="T200" s="61"/>
      <c r="U200" s="61"/>
      <c r="V200" s="61"/>
      <c r="W200" s="61"/>
      <c r="X200" s="61"/>
      <c r="Y200" s="61"/>
      <c r="Z200" s="61"/>
      <c r="AA200" s="61"/>
      <c r="AB200" s="61"/>
      <c r="AC200" s="61"/>
      <c r="AD200" s="61"/>
      <c r="AE200" s="61"/>
      <c r="AF200" s="61"/>
      <c r="AG200" s="61"/>
      <c r="AH200" s="61"/>
      <c r="AI200" s="61"/>
      <c r="AJ200" s="61"/>
      <c r="AK200" s="61"/>
      <c r="AL200" s="61"/>
      <c r="AM200" s="61"/>
      <c r="AN200" s="61"/>
      <c r="AO200" s="61"/>
      <c r="AP200" s="61"/>
      <c r="AQ200" s="61"/>
      <c r="AR200" s="61"/>
      <c r="AS200" s="61"/>
      <c r="AT200" s="61"/>
      <c r="AU200" s="61"/>
    </row>
    <row r="201" spans="1:47" x14ac:dyDescent="0.2">
      <c r="A201" s="61"/>
      <c r="B201" s="61"/>
      <c r="C201" s="61"/>
      <c r="D201" s="61"/>
      <c r="E201" s="61"/>
      <c r="F201" s="61"/>
      <c r="G201" s="61"/>
      <c r="H201" s="61"/>
      <c r="I201" s="61"/>
      <c r="J201" s="61"/>
      <c r="K201" s="61"/>
      <c r="L201" s="61"/>
      <c r="M201" s="61"/>
      <c r="N201" s="61"/>
      <c r="O201" s="61"/>
      <c r="P201" s="61"/>
      <c r="Q201" s="61"/>
      <c r="R201" s="61"/>
      <c r="S201" s="61"/>
      <c r="T201" s="61"/>
      <c r="U201" s="61"/>
      <c r="V201" s="61"/>
      <c r="W201" s="61"/>
      <c r="X201" s="61"/>
      <c r="Y201" s="61"/>
      <c r="Z201" s="61"/>
      <c r="AA201" s="61"/>
      <c r="AB201" s="61"/>
      <c r="AC201" s="61"/>
      <c r="AD201" s="61"/>
      <c r="AE201" s="61"/>
      <c r="AF201" s="61"/>
      <c r="AG201" s="61"/>
      <c r="AH201" s="61"/>
      <c r="AI201" s="61"/>
      <c r="AJ201" s="61"/>
      <c r="AK201" s="61"/>
      <c r="AL201" s="61"/>
      <c r="AM201" s="61"/>
      <c r="AN201" s="61"/>
      <c r="AO201" s="61"/>
      <c r="AP201" s="61"/>
      <c r="AQ201" s="61"/>
      <c r="AR201" s="61"/>
      <c r="AS201" s="61"/>
      <c r="AT201" s="61"/>
      <c r="AU201" s="61"/>
    </row>
    <row r="202" spans="1:47" x14ac:dyDescent="0.2">
      <c r="A202" s="61"/>
      <c r="B202" s="61"/>
      <c r="C202" s="61"/>
      <c r="D202" s="61"/>
      <c r="E202" s="61"/>
      <c r="F202" s="61"/>
      <c r="G202" s="61"/>
      <c r="H202" s="61"/>
      <c r="I202" s="61"/>
      <c r="J202" s="61"/>
      <c r="K202" s="61"/>
      <c r="L202" s="61"/>
      <c r="M202" s="61"/>
      <c r="N202" s="61"/>
      <c r="O202" s="61"/>
      <c r="P202" s="61"/>
      <c r="Q202" s="61"/>
      <c r="R202" s="61"/>
      <c r="S202" s="61"/>
      <c r="T202" s="61"/>
      <c r="U202" s="61"/>
      <c r="V202" s="61"/>
      <c r="W202" s="61"/>
      <c r="X202" s="61"/>
      <c r="Y202" s="61"/>
      <c r="Z202" s="61"/>
      <c r="AA202" s="61"/>
      <c r="AB202" s="61"/>
      <c r="AC202" s="61"/>
      <c r="AD202" s="61"/>
      <c r="AE202" s="61"/>
      <c r="AF202" s="61"/>
      <c r="AG202" s="61"/>
      <c r="AH202" s="61"/>
      <c r="AI202" s="61"/>
      <c r="AJ202" s="61"/>
      <c r="AK202" s="61"/>
      <c r="AL202" s="61"/>
      <c r="AM202" s="61"/>
      <c r="AN202" s="61"/>
      <c r="AO202" s="61"/>
      <c r="AP202" s="61"/>
      <c r="AQ202" s="61"/>
      <c r="AR202" s="61"/>
      <c r="AS202" s="61"/>
      <c r="AT202" s="61"/>
      <c r="AU202" s="61"/>
    </row>
    <row r="203" spans="1:47" x14ac:dyDescent="0.2">
      <c r="A203" s="61"/>
      <c r="B203" s="61"/>
      <c r="C203" s="61"/>
      <c r="D203" s="61"/>
      <c r="E203" s="61"/>
      <c r="F203" s="61"/>
      <c r="G203" s="61"/>
      <c r="H203" s="61"/>
      <c r="I203" s="61"/>
      <c r="J203" s="61"/>
      <c r="K203" s="61"/>
      <c r="L203" s="61"/>
      <c r="M203" s="61"/>
      <c r="N203" s="61"/>
      <c r="O203" s="61"/>
      <c r="P203" s="61"/>
      <c r="Q203" s="61"/>
      <c r="R203" s="61"/>
      <c r="S203" s="61"/>
      <c r="T203" s="61"/>
      <c r="U203" s="61"/>
      <c r="V203" s="61"/>
      <c r="W203" s="61"/>
      <c r="X203" s="61"/>
      <c r="Y203" s="61"/>
      <c r="Z203" s="61"/>
      <c r="AA203" s="61"/>
      <c r="AB203" s="61"/>
      <c r="AC203" s="61"/>
      <c r="AD203" s="61"/>
      <c r="AE203" s="61"/>
      <c r="AF203" s="61"/>
      <c r="AG203" s="61"/>
      <c r="AH203" s="61"/>
      <c r="AI203" s="61"/>
      <c r="AJ203" s="61"/>
      <c r="AK203" s="61"/>
      <c r="AL203" s="61"/>
      <c r="AM203" s="61"/>
      <c r="AN203" s="61"/>
      <c r="AO203" s="61"/>
      <c r="AP203" s="61"/>
      <c r="AQ203" s="61"/>
      <c r="AR203" s="61"/>
      <c r="AS203" s="61"/>
      <c r="AT203" s="61"/>
      <c r="AU203" s="61"/>
    </row>
    <row r="204" spans="1:47" x14ac:dyDescent="0.2">
      <c r="A204" s="61"/>
      <c r="B204" s="61"/>
      <c r="C204" s="61"/>
      <c r="D204" s="61"/>
      <c r="E204" s="61"/>
      <c r="F204" s="61"/>
      <c r="G204" s="61"/>
      <c r="H204" s="61"/>
      <c r="I204" s="61"/>
      <c r="J204" s="61"/>
      <c r="K204" s="61"/>
      <c r="L204" s="61"/>
      <c r="M204" s="61"/>
      <c r="N204" s="61"/>
      <c r="O204" s="61"/>
      <c r="P204" s="61"/>
      <c r="Q204" s="61"/>
      <c r="R204" s="61"/>
      <c r="S204" s="61"/>
      <c r="T204" s="61"/>
      <c r="U204" s="61"/>
      <c r="V204" s="61"/>
      <c r="W204" s="61"/>
      <c r="X204" s="61"/>
      <c r="Y204" s="61"/>
      <c r="Z204" s="61"/>
      <c r="AA204" s="61"/>
      <c r="AB204" s="61"/>
      <c r="AC204" s="61"/>
      <c r="AD204" s="61"/>
      <c r="AE204" s="61"/>
      <c r="AF204" s="61"/>
      <c r="AG204" s="61"/>
      <c r="AH204" s="61"/>
      <c r="AI204" s="61"/>
      <c r="AJ204" s="61"/>
      <c r="AK204" s="61"/>
      <c r="AL204" s="61"/>
      <c r="AM204" s="61"/>
      <c r="AN204" s="61"/>
      <c r="AO204" s="61"/>
      <c r="AP204" s="61"/>
      <c r="AQ204" s="61"/>
      <c r="AR204" s="61"/>
      <c r="AS204" s="61"/>
      <c r="AT204" s="61"/>
      <c r="AU204" s="61"/>
    </row>
    <row r="205" spans="1:47" x14ac:dyDescent="0.2">
      <c r="A205" s="61"/>
      <c r="B205" s="61"/>
      <c r="C205" s="61"/>
      <c r="D205" s="61"/>
      <c r="E205" s="61"/>
      <c r="F205" s="61"/>
      <c r="G205" s="61"/>
      <c r="H205" s="61"/>
      <c r="I205" s="61"/>
      <c r="J205" s="61"/>
      <c r="K205" s="61"/>
      <c r="L205" s="61"/>
      <c r="M205" s="61"/>
      <c r="N205" s="61"/>
      <c r="O205" s="61"/>
      <c r="P205" s="61"/>
      <c r="Q205" s="61"/>
      <c r="R205" s="61"/>
      <c r="S205" s="61"/>
      <c r="T205" s="61"/>
      <c r="U205" s="61"/>
      <c r="V205" s="61"/>
      <c r="W205" s="61"/>
      <c r="X205" s="61"/>
      <c r="Y205" s="61"/>
      <c r="Z205" s="61"/>
      <c r="AA205" s="61"/>
      <c r="AB205" s="61"/>
      <c r="AC205" s="61"/>
      <c r="AD205" s="61"/>
      <c r="AE205" s="61"/>
      <c r="AF205" s="61"/>
      <c r="AG205" s="61"/>
      <c r="AH205" s="61"/>
      <c r="AI205" s="61"/>
      <c r="AJ205" s="61"/>
      <c r="AK205" s="61"/>
      <c r="AL205" s="61"/>
      <c r="AM205" s="61"/>
      <c r="AN205" s="61"/>
      <c r="AO205" s="61"/>
      <c r="AP205" s="61"/>
      <c r="AQ205" s="61"/>
      <c r="AR205" s="61"/>
      <c r="AS205" s="61"/>
      <c r="AT205" s="61"/>
      <c r="AU205" s="61"/>
    </row>
    <row r="206" spans="1:47" x14ac:dyDescent="0.2">
      <c r="A206" s="61"/>
      <c r="B206" s="61"/>
      <c r="C206" s="61"/>
      <c r="D206" s="61"/>
      <c r="E206" s="61"/>
      <c r="F206" s="61"/>
      <c r="G206" s="61"/>
      <c r="H206" s="61"/>
      <c r="I206" s="61"/>
      <c r="J206" s="61"/>
      <c r="K206" s="61"/>
      <c r="L206" s="61"/>
      <c r="M206" s="61"/>
      <c r="N206" s="61"/>
      <c r="O206" s="61"/>
      <c r="P206" s="61"/>
      <c r="Q206" s="61"/>
      <c r="R206" s="61"/>
      <c r="S206" s="61"/>
      <c r="T206" s="61"/>
      <c r="U206" s="61"/>
      <c r="V206" s="61"/>
      <c r="W206" s="61"/>
      <c r="X206" s="61"/>
      <c r="Y206" s="61"/>
      <c r="Z206" s="61"/>
      <c r="AA206" s="61"/>
      <c r="AB206" s="61"/>
      <c r="AC206" s="61"/>
      <c r="AD206" s="61"/>
      <c r="AE206" s="61"/>
      <c r="AF206" s="61"/>
      <c r="AG206" s="61"/>
      <c r="AH206" s="61"/>
      <c r="AI206" s="61"/>
      <c r="AJ206" s="61"/>
      <c r="AK206" s="61"/>
      <c r="AL206" s="61"/>
      <c r="AM206" s="61"/>
      <c r="AN206" s="61"/>
      <c r="AO206" s="61"/>
      <c r="AP206" s="61"/>
      <c r="AQ206" s="61"/>
      <c r="AR206" s="61"/>
      <c r="AS206" s="61"/>
      <c r="AT206" s="61"/>
      <c r="AU206" s="61"/>
    </row>
    <row r="207" spans="1:47" x14ac:dyDescent="0.2">
      <c r="A207" s="61"/>
      <c r="B207" s="61"/>
      <c r="C207" s="61"/>
      <c r="D207" s="61"/>
      <c r="E207" s="61"/>
      <c r="F207" s="61"/>
      <c r="G207" s="61"/>
      <c r="H207" s="61"/>
      <c r="I207" s="61"/>
      <c r="J207" s="61"/>
      <c r="K207" s="61"/>
      <c r="L207" s="61"/>
      <c r="M207" s="61"/>
      <c r="N207" s="61"/>
      <c r="O207" s="61"/>
      <c r="P207" s="61"/>
      <c r="Q207" s="61"/>
      <c r="R207" s="61"/>
      <c r="S207" s="61"/>
      <c r="T207" s="61"/>
      <c r="U207" s="61"/>
      <c r="V207" s="61"/>
      <c r="W207" s="61"/>
      <c r="X207" s="61"/>
      <c r="Y207" s="61"/>
      <c r="Z207" s="61"/>
      <c r="AA207" s="61"/>
      <c r="AB207" s="61"/>
      <c r="AC207" s="61"/>
      <c r="AD207" s="61"/>
      <c r="AE207" s="61"/>
      <c r="AF207" s="61"/>
      <c r="AG207" s="61"/>
      <c r="AH207" s="61"/>
      <c r="AI207" s="61"/>
      <c r="AJ207" s="61"/>
      <c r="AK207" s="61"/>
      <c r="AL207" s="61"/>
      <c r="AM207" s="61"/>
      <c r="AN207" s="61"/>
      <c r="AO207" s="61"/>
      <c r="AP207" s="61"/>
      <c r="AQ207" s="61"/>
      <c r="AR207" s="61"/>
      <c r="AS207" s="61"/>
      <c r="AT207" s="61"/>
      <c r="AU207" s="61"/>
    </row>
    <row r="208" spans="1:47" x14ac:dyDescent="0.2">
      <c r="A208" s="61"/>
      <c r="B208" s="61"/>
      <c r="C208" s="61"/>
      <c r="D208" s="61"/>
      <c r="E208" s="61"/>
      <c r="F208" s="61"/>
      <c r="G208" s="61"/>
      <c r="H208" s="61"/>
      <c r="I208" s="61"/>
      <c r="J208" s="61"/>
      <c r="K208" s="61"/>
      <c r="L208" s="61"/>
      <c r="M208" s="61"/>
      <c r="N208" s="61"/>
      <c r="O208" s="61"/>
      <c r="P208" s="61"/>
      <c r="Q208" s="61"/>
      <c r="R208" s="61"/>
      <c r="S208" s="61"/>
      <c r="T208" s="61"/>
      <c r="U208" s="61"/>
      <c r="V208" s="61"/>
      <c r="W208" s="61"/>
      <c r="X208" s="61"/>
      <c r="Y208" s="61"/>
      <c r="Z208" s="61"/>
      <c r="AA208" s="61"/>
      <c r="AB208" s="61"/>
      <c r="AC208" s="61"/>
      <c r="AD208" s="61"/>
      <c r="AE208" s="61"/>
      <c r="AF208" s="61"/>
      <c r="AG208" s="61"/>
      <c r="AH208" s="61"/>
      <c r="AI208" s="61"/>
      <c r="AJ208" s="61"/>
      <c r="AK208" s="61"/>
      <c r="AL208" s="61"/>
      <c r="AM208" s="61"/>
      <c r="AN208" s="61"/>
      <c r="AO208" s="61"/>
      <c r="AP208" s="61"/>
      <c r="AQ208" s="61"/>
      <c r="AR208" s="61"/>
      <c r="AS208" s="61"/>
      <c r="AT208" s="61"/>
      <c r="AU208" s="61"/>
    </row>
    <row r="209" spans="1:47" x14ac:dyDescent="0.2">
      <c r="A209" s="61"/>
      <c r="B209" s="61"/>
      <c r="C209" s="61"/>
      <c r="D209" s="61"/>
      <c r="E209" s="61"/>
      <c r="F209" s="61"/>
      <c r="G209" s="61"/>
      <c r="H209" s="61"/>
      <c r="I209" s="61"/>
      <c r="J209" s="61"/>
      <c r="K209" s="61"/>
      <c r="L209" s="61"/>
      <c r="M209" s="61"/>
      <c r="N209" s="61"/>
      <c r="O209" s="61"/>
      <c r="P209" s="61"/>
      <c r="Q209" s="61"/>
      <c r="R209" s="61"/>
      <c r="S209" s="61"/>
      <c r="T209" s="61"/>
      <c r="U209" s="61"/>
      <c r="V209" s="61"/>
      <c r="W209" s="61"/>
      <c r="X209" s="61"/>
      <c r="Y209" s="61"/>
      <c r="Z209" s="61"/>
      <c r="AA209" s="61"/>
      <c r="AB209" s="61"/>
      <c r="AC209" s="61"/>
      <c r="AD209" s="61"/>
      <c r="AE209" s="61"/>
      <c r="AF209" s="61"/>
      <c r="AG209" s="61"/>
      <c r="AH209" s="61"/>
      <c r="AI209" s="61"/>
      <c r="AJ209" s="61"/>
      <c r="AK209" s="61"/>
      <c r="AL209" s="61"/>
      <c r="AM209" s="61"/>
      <c r="AN209" s="61"/>
      <c r="AO209" s="61"/>
      <c r="AP209" s="61"/>
      <c r="AQ209" s="61"/>
      <c r="AR209" s="61"/>
      <c r="AS209" s="61"/>
      <c r="AT209" s="61"/>
      <c r="AU209" s="61"/>
    </row>
    <row r="210" spans="1:47" x14ac:dyDescent="0.2">
      <c r="A210" s="61"/>
      <c r="B210" s="61"/>
      <c r="C210" s="61"/>
      <c r="D210" s="61"/>
      <c r="E210" s="61"/>
      <c r="F210" s="61"/>
      <c r="G210" s="61"/>
      <c r="H210" s="61"/>
      <c r="I210" s="61"/>
      <c r="J210" s="61"/>
      <c r="K210" s="61"/>
      <c r="L210" s="61"/>
      <c r="M210" s="61"/>
      <c r="N210" s="61"/>
      <c r="O210" s="61"/>
      <c r="P210" s="61"/>
      <c r="Q210" s="61"/>
      <c r="R210" s="61"/>
      <c r="S210" s="61"/>
      <c r="T210" s="61"/>
      <c r="U210" s="61"/>
      <c r="V210" s="61"/>
      <c r="W210" s="61"/>
      <c r="X210" s="61"/>
      <c r="Y210" s="61"/>
      <c r="Z210" s="61"/>
      <c r="AA210" s="61"/>
      <c r="AB210" s="61"/>
      <c r="AC210" s="61"/>
      <c r="AD210" s="61"/>
      <c r="AE210" s="61"/>
      <c r="AF210" s="61"/>
      <c r="AG210" s="61"/>
      <c r="AH210" s="61"/>
      <c r="AI210" s="61"/>
      <c r="AJ210" s="61"/>
      <c r="AK210" s="61"/>
      <c r="AL210" s="61"/>
      <c r="AM210" s="61"/>
      <c r="AN210" s="61"/>
      <c r="AO210" s="61"/>
      <c r="AP210" s="61"/>
      <c r="AQ210" s="61"/>
      <c r="AR210" s="61"/>
      <c r="AS210" s="61"/>
      <c r="AT210" s="61"/>
      <c r="AU210" s="61"/>
    </row>
    <row r="211" spans="1:47" x14ac:dyDescent="0.2">
      <c r="A211" s="61"/>
      <c r="B211" s="61"/>
      <c r="C211" s="61"/>
      <c r="D211" s="61"/>
      <c r="E211" s="61"/>
      <c r="F211" s="61"/>
      <c r="G211" s="61"/>
      <c r="H211" s="61"/>
      <c r="I211" s="61"/>
      <c r="J211" s="61"/>
      <c r="K211" s="61"/>
      <c r="L211" s="61"/>
      <c r="M211" s="61"/>
      <c r="N211" s="61"/>
      <c r="O211" s="61"/>
      <c r="P211" s="61"/>
      <c r="Q211" s="61"/>
      <c r="R211" s="61"/>
      <c r="S211" s="61"/>
      <c r="T211" s="61"/>
      <c r="U211" s="61"/>
      <c r="V211" s="61"/>
      <c r="W211" s="61"/>
      <c r="X211" s="61"/>
      <c r="Y211" s="61"/>
      <c r="Z211" s="61"/>
      <c r="AA211" s="61"/>
      <c r="AB211" s="61"/>
      <c r="AC211" s="61"/>
      <c r="AD211" s="61"/>
      <c r="AE211" s="61"/>
      <c r="AF211" s="61"/>
      <c r="AG211" s="61"/>
      <c r="AH211" s="61"/>
      <c r="AI211" s="61"/>
      <c r="AJ211" s="61"/>
      <c r="AK211" s="61"/>
      <c r="AL211" s="61"/>
      <c r="AM211" s="61"/>
      <c r="AN211" s="61"/>
      <c r="AO211" s="61"/>
      <c r="AP211" s="61"/>
      <c r="AQ211" s="61"/>
      <c r="AR211" s="61"/>
      <c r="AS211" s="61"/>
      <c r="AT211" s="61"/>
      <c r="AU211" s="61"/>
    </row>
    <row r="212" spans="1:47" x14ac:dyDescent="0.2">
      <c r="A212" s="61"/>
      <c r="B212" s="61"/>
      <c r="C212" s="61"/>
      <c r="D212" s="61"/>
      <c r="E212" s="61"/>
      <c r="F212" s="61"/>
      <c r="G212" s="61"/>
      <c r="H212" s="61"/>
      <c r="I212" s="61"/>
      <c r="J212" s="61"/>
      <c r="K212" s="61"/>
      <c r="L212" s="61"/>
      <c r="M212" s="61"/>
      <c r="N212" s="61"/>
      <c r="O212" s="61"/>
      <c r="P212" s="61"/>
      <c r="Q212" s="61"/>
      <c r="R212" s="61"/>
      <c r="S212" s="61"/>
      <c r="T212" s="61"/>
      <c r="U212" s="61"/>
      <c r="V212" s="61"/>
      <c r="W212" s="61"/>
      <c r="X212" s="61"/>
      <c r="Y212" s="61"/>
      <c r="Z212" s="61"/>
      <c r="AA212" s="61"/>
      <c r="AB212" s="61"/>
      <c r="AC212" s="61"/>
      <c r="AD212" s="61"/>
      <c r="AE212" s="61"/>
      <c r="AF212" s="61"/>
      <c r="AG212" s="61"/>
      <c r="AH212" s="61"/>
      <c r="AI212" s="61"/>
      <c r="AJ212" s="61"/>
      <c r="AK212" s="61"/>
      <c r="AL212" s="61"/>
      <c r="AM212" s="61"/>
      <c r="AN212" s="61"/>
      <c r="AO212" s="61"/>
      <c r="AP212" s="61"/>
      <c r="AQ212" s="61"/>
      <c r="AR212" s="61"/>
      <c r="AS212" s="61"/>
      <c r="AT212" s="61"/>
      <c r="AU212" s="61"/>
    </row>
    <row r="213" spans="1:47" x14ac:dyDescent="0.2">
      <c r="A213" s="61"/>
      <c r="B213" s="61"/>
      <c r="C213" s="61"/>
      <c r="D213" s="61"/>
      <c r="E213" s="61"/>
      <c r="F213" s="61"/>
      <c r="G213" s="61"/>
      <c r="H213" s="61"/>
      <c r="I213" s="61"/>
      <c r="J213" s="61"/>
      <c r="K213" s="61"/>
      <c r="L213" s="61"/>
      <c r="M213" s="61"/>
      <c r="N213" s="61"/>
      <c r="O213" s="61"/>
      <c r="P213" s="61"/>
      <c r="Q213" s="61"/>
      <c r="R213" s="61"/>
      <c r="S213" s="61"/>
      <c r="T213" s="61"/>
      <c r="U213" s="61"/>
      <c r="V213" s="61"/>
      <c r="W213" s="61"/>
      <c r="X213" s="61"/>
      <c r="Y213" s="61"/>
      <c r="Z213" s="61"/>
      <c r="AA213" s="61"/>
      <c r="AB213" s="61"/>
      <c r="AC213" s="61"/>
      <c r="AD213" s="61"/>
      <c r="AE213" s="61"/>
      <c r="AF213" s="61"/>
      <c r="AG213" s="61"/>
      <c r="AH213" s="61"/>
      <c r="AI213" s="61"/>
      <c r="AJ213" s="61"/>
      <c r="AK213" s="61"/>
      <c r="AL213" s="61"/>
      <c r="AM213" s="61"/>
      <c r="AN213" s="61"/>
      <c r="AO213" s="61"/>
      <c r="AP213" s="61"/>
      <c r="AQ213" s="61"/>
      <c r="AR213" s="61"/>
      <c r="AS213" s="61"/>
      <c r="AT213" s="61"/>
      <c r="AU213" s="61"/>
    </row>
    <row r="214" spans="1:47" x14ac:dyDescent="0.2">
      <c r="A214" s="61"/>
      <c r="B214" s="61"/>
      <c r="C214" s="61"/>
      <c r="D214" s="61"/>
      <c r="E214" s="61"/>
      <c r="F214" s="61"/>
      <c r="G214" s="61"/>
      <c r="H214" s="61"/>
      <c r="I214" s="61"/>
      <c r="J214" s="61"/>
      <c r="K214" s="61"/>
      <c r="L214" s="61"/>
      <c r="M214" s="61"/>
      <c r="N214" s="61"/>
      <c r="O214" s="61"/>
      <c r="P214" s="61"/>
      <c r="Q214" s="61"/>
      <c r="R214" s="61"/>
      <c r="S214" s="61"/>
      <c r="T214" s="61"/>
      <c r="U214" s="61"/>
      <c r="V214" s="61"/>
      <c r="W214" s="61"/>
      <c r="X214" s="61"/>
      <c r="Y214" s="61"/>
      <c r="Z214" s="61"/>
      <c r="AA214" s="61"/>
      <c r="AB214" s="61"/>
      <c r="AC214" s="61"/>
      <c r="AD214" s="61"/>
      <c r="AE214" s="61"/>
      <c r="AF214" s="61"/>
      <c r="AG214" s="61"/>
      <c r="AH214" s="61"/>
      <c r="AI214" s="61"/>
      <c r="AJ214" s="61"/>
      <c r="AK214" s="61"/>
      <c r="AL214" s="61"/>
      <c r="AM214" s="61"/>
      <c r="AN214" s="61"/>
      <c r="AO214" s="61"/>
      <c r="AP214" s="61"/>
      <c r="AQ214" s="61"/>
      <c r="AR214" s="61"/>
      <c r="AS214" s="61"/>
      <c r="AT214" s="61"/>
      <c r="AU214" s="61"/>
    </row>
    <row r="215" spans="1:47" x14ac:dyDescent="0.2">
      <c r="A215" s="61"/>
      <c r="B215" s="61"/>
      <c r="C215" s="61"/>
      <c r="D215" s="61"/>
      <c r="E215" s="61"/>
      <c r="F215" s="61"/>
      <c r="G215" s="61"/>
      <c r="H215" s="61"/>
      <c r="I215" s="61"/>
      <c r="J215" s="61"/>
      <c r="K215" s="61"/>
      <c r="L215" s="61"/>
      <c r="M215" s="61"/>
      <c r="N215" s="61"/>
      <c r="O215" s="61"/>
      <c r="P215" s="61"/>
      <c r="Q215" s="61"/>
      <c r="R215" s="61"/>
      <c r="S215" s="61"/>
      <c r="T215" s="61"/>
      <c r="U215" s="61"/>
      <c r="V215" s="61"/>
      <c r="W215" s="61"/>
      <c r="X215" s="61"/>
      <c r="Y215" s="61"/>
      <c r="Z215" s="61"/>
      <c r="AA215" s="61"/>
      <c r="AB215" s="61"/>
      <c r="AC215" s="61"/>
      <c r="AD215" s="61"/>
      <c r="AE215" s="61"/>
      <c r="AF215" s="61"/>
      <c r="AG215" s="61"/>
      <c r="AH215" s="61"/>
      <c r="AI215" s="61"/>
      <c r="AJ215" s="61"/>
      <c r="AK215" s="61"/>
      <c r="AL215" s="61"/>
      <c r="AM215" s="61"/>
      <c r="AN215" s="61"/>
      <c r="AO215" s="61"/>
      <c r="AP215" s="61"/>
      <c r="AQ215" s="61"/>
      <c r="AR215" s="61"/>
      <c r="AS215" s="61"/>
      <c r="AT215" s="61"/>
      <c r="AU215" s="61"/>
    </row>
    <row r="216" spans="1:47" x14ac:dyDescent="0.2">
      <c r="A216" s="61"/>
      <c r="B216" s="61"/>
      <c r="C216" s="61"/>
      <c r="D216" s="61"/>
      <c r="E216" s="61"/>
      <c r="F216" s="61"/>
      <c r="G216" s="61"/>
      <c r="H216" s="61"/>
      <c r="I216" s="61"/>
      <c r="J216" s="61"/>
      <c r="K216" s="61"/>
      <c r="L216" s="61"/>
      <c r="M216" s="61"/>
      <c r="N216" s="61"/>
      <c r="O216" s="61"/>
      <c r="P216" s="61"/>
      <c r="Q216" s="61"/>
      <c r="R216" s="61"/>
      <c r="S216" s="61"/>
      <c r="T216" s="61"/>
      <c r="U216" s="61"/>
      <c r="V216" s="61"/>
      <c r="W216" s="61"/>
      <c r="X216" s="61"/>
      <c r="Y216" s="61"/>
      <c r="Z216" s="61"/>
      <c r="AA216" s="61"/>
      <c r="AB216" s="61"/>
      <c r="AC216" s="61"/>
      <c r="AD216" s="61"/>
      <c r="AE216" s="61"/>
      <c r="AF216" s="61"/>
      <c r="AG216" s="61"/>
      <c r="AH216" s="61"/>
      <c r="AI216" s="61"/>
      <c r="AJ216" s="61"/>
      <c r="AK216" s="61"/>
      <c r="AL216" s="61"/>
      <c r="AM216" s="61"/>
      <c r="AN216" s="61"/>
      <c r="AO216" s="61"/>
      <c r="AP216" s="61"/>
      <c r="AQ216" s="61"/>
      <c r="AR216" s="61"/>
      <c r="AS216" s="61"/>
      <c r="AT216" s="61"/>
      <c r="AU216" s="61"/>
    </row>
    <row r="217" spans="1:47" x14ac:dyDescent="0.2">
      <c r="A217" s="61"/>
      <c r="B217" s="61"/>
      <c r="C217" s="61"/>
      <c r="D217" s="61"/>
      <c r="E217" s="61"/>
      <c r="F217" s="61"/>
      <c r="G217" s="61"/>
      <c r="H217" s="61"/>
      <c r="I217" s="61"/>
      <c r="J217" s="61"/>
      <c r="K217" s="61"/>
      <c r="L217" s="61"/>
      <c r="M217" s="61"/>
      <c r="N217" s="61"/>
      <c r="O217" s="61"/>
      <c r="P217" s="61"/>
      <c r="Q217" s="61"/>
      <c r="R217" s="61"/>
      <c r="S217" s="61"/>
      <c r="T217" s="61"/>
      <c r="U217" s="61"/>
      <c r="V217" s="61"/>
      <c r="W217" s="61"/>
      <c r="X217" s="61"/>
      <c r="Y217" s="61"/>
      <c r="Z217" s="61"/>
      <c r="AA217" s="61"/>
      <c r="AB217" s="61"/>
      <c r="AC217" s="61"/>
      <c r="AD217" s="61"/>
      <c r="AE217" s="61"/>
      <c r="AF217" s="61"/>
      <c r="AG217" s="61"/>
      <c r="AH217" s="61"/>
      <c r="AI217" s="61"/>
      <c r="AJ217" s="61"/>
      <c r="AK217" s="61"/>
      <c r="AL217" s="61"/>
      <c r="AM217" s="61"/>
      <c r="AN217" s="61"/>
      <c r="AO217" s="61"/>
      <c r="AP217" s="61"/>
      <c r="AQ217" s="61"/>
      <c r="AR217" s="61"/>
      <c r="AS217" s="61"/>
      <c r="AT217" s="61"/>
      <c r="AU217" s="61"/>
    </row>
    <row r="218" spans="1:47" x14ac:dyDescent="0.2">
      <c r="A218" s="61"/>
      <c r="B218" s="61"/>
      <c r="C218" s="61"/>
      <c r="D218" s="61"/>
      <c r="E218" s="61"/>
      <c r="F218" s="61"/>
      <c r="G218" s="61"/>
      <c r="H218" s="61"/>
      <c r="I218" s="61"/>
      <c r="J218" s="61"/>
      <c r="K218" s="61"/>
      <c r="L218" s="61"/>
      <c r="M218" s="61"/>
      <c r="N218" s="61"/>
      <c r="O218" s="61"/>
      <c r="P218" s="61"/>
      <c r="Q218" s="61"/>
      <c r="R218" s="61"/>
      <c r="S218" s="61"/>
      <c r="T218" s="61"/>
      <c r="U218" s="61"/>
      <c r="V218" s="61"/>
      <c r="W218" s="61"/>
      <c r="X218" s="61"/>
      <c r="Y218" s="61"/>
      <c r="Z218" s="61"/>
      <c r="AA218" s="61"/>
      <c r="AB218" s="61"/>
      <c r="AC218" s="61"/>
      <c r="AD218" s="61"/>
      <c r="AE218" s="61"/>
      <c r="AF218" s="61"/>
      <c r="AG218" s="61"/>
      <c r="AH218" s="61"/>
      <c r="AI218" s="61"/>
      <c r="AJ218" s="61"/>
      <c r="AK218" s="61"/>
      <c r="AL218" s="61"/>
      <c r="AM218" s="61"/>
      <c r="AN218" s="61"/>
      <c r="AO218" s="61"/>
      <c r="AP218" s="61"/>
      <c r="AQ218" s="61"/>
      <c r="AR218" s="61"/>
      <c r="AS218" s="61"/>
      <c r="AT218" s="61"/>
      <c r="AU218" s="61"/>
    </row>
    <row r="219" spans="1:47" x14ac:dyDescent="0.2">
      <c r="A219" s="61"/>
      <c r="B219" s="61"/>
      <c r="C219" s="61"/>
      <c r="D219" s="61"/>
      <c r="E219" s="61"/>
      <c r="F219" s="61"/>
      <c r="G219" s="61"/>
      <c r="H219" s="61"/>
      <c r="I219" s="61"/>
      <c r="J219" s="61"/>
      <c r="K219" s="61"/>
      <c r="L219" s="61"/>
      <c r="M219" s="61"/>
      <c r="N219" s="61"/>
      <c r="O219" s="61"/>
      <c r="P219" s="61"/>
      <c r="Q219" s="61"/>
      <c r="R219" s="61"/>
      <c r="S219" s="61"/>
      <c r="T219" s="61"/>
      <c r="U219" s="61"/>
      <c r="V219" s="61"/>
      <c r="W219" s="61"/>
      <c r="X219" s="61"/>
      <c r="Y219" s="61"/>
      <c r="Z219" s="61"/>
      <c r="AA219" s="61"/>
      <c r="AB219" s="61"/>
      <c r="AC219" s="61"/>
      <c r="AD219" s="61"/>
      <c r="AE219" s="61"/>
      <c r="AF219" s="61"/>
      <c r="AG219" s="61"/>
      <c r="AH219" s="61"/>
      <c r="AI219" s="61"/>
      <c r="AJ219" s="61"/>
      <c r="AK219" s="61"/>
      <c r="AL219" s="61"/>
      <c r="AM219" s="61"/>
      <c r="AN219" s="61"/>
      <c r="AO219" s="61"/>
      <c r="AP219" s="61"/>
      <c r="AQ219" s="61"/>
      <c r="AR219" s="61"/>
      <c r="AS219" s="61"/>
      <c r="AT219" s="61"/>
      <c r="AU219" s="61"/>
    </row>
    <row r="220" spans="1:47" x14ac:dyDescent="0.2">
      <c r="A220" s="61"/>
      <c r="B220" s="61"/>
      <c r="C220" s="61"/>
      <c r="D220" s="61"/>
      <c r="E220" s="61"/>
      <c r="F220" s="61"/>
      <c r="G220" s="61"/>
      <c r="H220" s="61"/>
      <c r="I220" s="61"/>
      <c r="J220" s="61"/>
      <c r="K220" s="61"/>
      <c r="L220" s="61"/>
      <c r="M220" s="61"/>
      <c r="N220" s="61"/>
      <c r="O220" s="61"/>
      <c r="P220" s="61"/>
      <c r="Q220" s="61"/>
      <c r="R220" s="61"/>
      <c r="S220" s="61"/>
      <c r="T220" s="61"/>
      <c r="U220" s="61"/>
      <c r="V220" s="61"/>
      <c r="W220" s="61"/>
      <c r="X220" s="61"/>
      <c r="Y220" s="61"/>
      <c r="Z220" s="61"/>
      <c r="AA220" s="61"/>
      <c r="AB220" s="61"/>
      <c r="AC220" s="61"/>
      <c r="AD220" s="61"/>
      <c r="AE220" s="61"/>
      <c r="AF220" s="61"/>
      <c r="AG220" s="61"/>
      <c r="AH220" s="61"/>
      <c r="AI220" s="61"/>
      <c r="AJ220" s="61"/>
      <c r="AK220" s="61"/>
      <c r="AL220" s="61"/>
      <c r="AM220" s="61"/>
      <c r="AN220" s="61"/>
      <c r="AO220" s="61"/>
      <c r="AP220" s="61"/>
      <c r="AQ220" s="61"/>
      <c r="AR220" s="61"/>
      <c r="AS220" s="61"/>
      <c r="AT220" s="61"/>
      <c r="AU220" s="61"/>
    </row>
    <row r="221" spans="1:47" x14ac:dyDescent="0.2">
      <c r="A221" s="61"/>
      <c r="B221" s="61"/>
      <c r="C221" s="61"/>
      <c r="D221" s="61"/>
      <c r="E221" s="61"/>
      <c r="F221" s="61"/>
      <c r="G221" s="61"/>
      <c r="H221" s="61"/>
      <c r="I221" s="61"/>
      <c r="J221" s="61"/>
      <c r="K221" s="61"/>
      <c r="L221" s="61"/>
      <c r="M221" s="61"/>
      <c r="N221" s="61"/>
      <c r="O221" s="61"/>
      <c r="P221" s="61"/>
      <c r="Q221" s="61"/>
      <c r="R221" s="61"/>
      <c r="S221" s="61"/>
      <c r="T221" s="61"/>
      <c r="U221" s="61"/>
      <c r="V221" s="61"/>
      <c r="W221" s="61"/>
      <c r="X221" s="61"/>
      <c r="Y221" s="61"/>
      <c r="Z221" s="61"/>
      <c r="AA221" s="61"/>
      <c r="AB221" s="61"/>
      <c r="AC221" s="61"/>
      <c r="AD221" s="61"/>
      <c r="AE221" s="61"/>
      <c r="AF221" s="61"/>
      <c r="AG221" s="61"/>
      <c r="AH221" s="61"/>
      <c r="AI221" s="61"/>
      <c r="AJ221" s="61"/>
      <c r="AK221" s="61"/>
      <c r="AL221" s="61"/>
      <c r="AM221" s="61"/>
      <c r="AN221" s="61"/>
      <c r="AO221" s="61"/>
      <c r="AP221" s="61"/>
      <c r="AQ221" s="61"/>
      <c r="AR221" s="61"/>
      <c r="AS221" s="61"/>
      <c r="AT221" s="61"/>
      <c r="AU221" s="61"/>
    </row>
    <row r="222" spans="1:47" x14ac:dyDescent="0.2">
      <c r="A222" s="61"/>
      <c r="B222" s="61"/>
      <c r="C222" s="61"/>
      <c r="D222" s="61"/>
      <c r="E222" s="61"/>
      <c r="F222" s="61"/>
      <c r="G222" s="61"/>
      <c r="H222" s="61"/>
      <c r="I222" s="61"/>
      <c r="J222" s="61"/>
      <c r="K222" s="61"/>
      <c r="L222" s="61"/>
      <c r="M222" s="61"/>
      <c r="N222" s="61"/>
      <c r="O222" s="61"/>
      <c r="P222" s="61"/>
      <c r="Q222" s="61"/>
      <c r="R222" s="61"/>
      <c r="S222" s="61"/>
      <c r="T222" s="61"/>
      <c r="U222" s="61"/>
      <c r="V222" s="61"/>
      <c r="W222" s="61"/>
      <c r="X222" s="61"/>
      <c r="Y222" s="61"/>
      <c r="Z222" s="61"/>
      <c r="AA222" s="61"/>
      <c r="AB222" s="61"/>
      <c r="AC222" s="61"/>
      <c r="AD222" s="61"/>
      <c r="AE222" s="61"/>
      <c r="AF222" s="61"/>
      <c r="AG222" s="61"/>
      <c r="AH222" s="61"/>
      <c r="AI222" s="61"/>
      <c r="AJ222" s="61"/>
      <c r="AK222" s="61"/>
      <c r="AL222" s="61"/>
      <c r="AM222" s="61"/>
      <c r="AN222" s="61"/>
      <c r="AO222" s="61"/>
      <c r="AP222" s="61"/>
      <c r="AQ222" s="61"/>
      <c r="AR222" s="61"/>
      <c r="AS222" s="61"/>
      <c r="AT222" s="61"/>
      <c r="AU222" s="61"/>
    </row>
    <row r="223" spans="1:47" x14ac:dyDescent="0.2">
      <c r="A223" s="61"/>
      <c r="B223" s="61"/>
      <c r="C223" s="61"/>
      <c r="D223" s="61"/>
      <c r="E223" s="61"/>
      <c r="F223" s="61"/>
      <c r="G223" s="61"/>
      <c r="H223" s="61"/>
      <c r="I223" s="61"/>
      <c r="J223" s="61"/>
      <c r="K223" s="61"/>
      <c r="L223" s="61"/>
      <c r="M223" s="61"/>
      <c r="N223" s="61"/>
      <c r="O223" s="61"/>
      <c r="P223" s="61"/>
      <c r="Q223" s="61"/>
      <c r="R223" s="61"/>
      <c r="S223" s="61"/>
      <c r="T223" s="61"/>
      <c r="U223" s="61"/>
      <c r="V223" s="61"/>
      <c r="W223" s="61"/>
      <c r="X223" s="61"/>
      <c r="Y223" s="61"/>
      <c r="Z223" s="61"/>
      <c r="AA223" s="61"/>
      <c r="AB223" s="61"/>
      <c r="AC223" s="61"/>
      <c r="AD223" s="61"/>
      <c r="AE223" s="61"/>
      <c r="AF223" s="61"/>
      <c r="AG223" s="61"/>
      <c r="AH223" s="61"/>
      <c r="AI223" s="61"/>
      <c r="AJ223" s="61"/>
      <c r="AK223" s="61"/>
      <c r="AL223" s="61"/>
      <c r="AM223" s="61"/>
      <c r="AN223" s="61"/>
      <c r="AO223" s="61"/>
      <c r="AP223" s="61"/>
      <c r="AQ223" s="61"/>
      <c r="AR223" s="61"/>
      <c r="AS223" s="61"/>
      <c r="AT223" s="61"/>
      <c r="AU223" s="61"/>
    </row>
    <row r="224" spans="1:47" x14ac:dyDescent="0.2">
      <c r="A224" s="61"/>
      <c r="B224" s="61"/>
      <c r="C224" s="61"/>
      <c r="D224" s="61"/>
      <c r="E224" s="61"/>
      <c r="F224" s="61"/>
      <c r="G224" s="61"/>
      <c r="H224" s="61"/>
      <c r="I224" s="61"/>
      <c r="J224" s="61"/>
      <c r="K224" s="61"/>
      <c r="L224" s="61"/>
      <c r="M224" s="61"/>
      <c r="N224" s="61"/>
      <c r="O224" s="61"/>
      <c r="P224" s="61"/>
      <c r="Q224" s="61"/>
      <c r="R224" s="61"/>
      <c r="S224" s="61"/>
      <c r="T224" s="61"/>
      <c r="U224" s="61"/>
      <c r="V224" s="61"/>
      <c r="W224" s="61"/>
      <c r="X224" s="61"/>
      <c r="Y224" s="61"/>
      <c r="Z224" s="61"/>
      <c r="AA224" s="61"/>
      <c r="AB224" s="61"/>
      <c r="AC224" s="61"/>
      <c r="AD224" s="61"/>
      <c r="AE224" s="61"/>
      <c r="AF224" s="61"/>
      <c r="AG224" s="61"/>
      <c r="AH224" s="61"/>
      <c r="AI224" s="61"/>
      <c r="AJ224" s="61"/>
      <c r="AK224" s="61"/>
      <c r="AL224" s="61"/>
      <c r="AM224" s="61"/>
      <c r="AN224" s="61"/>
      <c r="AO224" s="61"/>
      <c r="AP224" s="61"/>
      <c r="AQ224" s="61"/>
      <c r="AR224" s="61"/>
      <c r="AS224" s="61"/>
      <c r="AT224" s="61"/>
      <c r="AU224" s="61"/>
    </row>
    <row r="225" spans="1:47" x14ac:dyDescent="0.2">
      <c r="A225" s="61"/>
      <c r="B225" s="61"/>
      <c r="C225" s="61"/>
      <c r="D225" s="61"/>
      <c r="E225" s="61"/>
      <c r="F225" s="61"/>
      <c r="G225" s="61"/>
      <c r="H225" s="61"/>
      <c r="I225" s="61"/>
      <c r="J225" s="61"/>
      <c r="K225" s="61"/>
      <c r="L225" s="61"/>
      <c r="M225" s="61"/>
      <c r="N225" s="61"/>
      <c r="O225" s="61"/>
      <c r="P225" s="61"/>
      <c r="Q225" s="61"/>
      <c r="R225" s="61"/>
      <c r="S225" s="61"/>
      <c r="T225" s="61"/>
      <c r="U225" s="61"/>
      <c r="V225" s="61"/>
      <c r="W225" s="61"/>
      <c r="X225" s="61"/>
      <c r="Y225" s="61"/>
      <c r="Z225" s="61"/>
      <c r="AA225" s="61"/>
      <c r="AB225" s="61"/>
      <c r="AC225" s="61"/>
      <c r="AD225" s="61"/>
      <c r="AE225" s="61"/>
      <c r="AF225" s="61"/>
      <c r="AG225" s="61"/>
      <c r="AH225" s="61"/>
      <c r="AI225" s="61"/>
      <c r="AJ225" s="61"/>
      <c r="AK225" s="61"/>
      <c r="AL225" s="61"/>
      <c r="AM225" s="61"/>
      <c r="AN225" s="61"/>
      <c r="AO225" s="61"/>
      <c r="AP225" s="61"/>
      <c r="AQ225" s="61"/>
      <c r="AR225" s="61"/>
      <c r="AS225" s="61"/>
      <c r="AT225" s="61"/>
      <c r="AU225" s="61"/>
    </row>
    <row r="226" spans="1:47" x14ac:dyDescent="0.2">
      <c r="A226" s="61"/>
      <c r="B226" s="61"/>
      <c r="C226" s="61"/>
      <c r="D226" s="61"/>
      <c r="E226" s="61"/>
      <c r="F226" s="61"/>
      <c r="G226" s="61"/>
      <c r="H226" s="61"/>
      <c r="I226" s="61"/>
      <c r="J226" s="61"/>
      <c r="K226" s="61"/>
      <c r="L226" s="61"/>
      <c r="M226" s="61"/>
      <c r="N226" s="61"/>
      <c r="O226" s="61"/>
      <c r="P226" s="61"/>
      <c r="Q226" s="61"/>
      <c r="R226" s="61"/>
      <c r="S226" s="61"/>
      <c r="T226" s="61"/>
      <c r="U226" s="61"/>
      <c r="V226" s="61"/>
      <c r="W226" s="61"/>
      <c r="X226" s="61"/>
      <c r="Y226" s="61"/>
      <c r="Z226" s="61"/>
      <c r="AA226" s="61"/>
      <c r="AB226" s="61"/>
      <c r="AC226" s="61"/>
      <c r="AD226" s="61"/>
      <c r="AE226" s="61"/>
      <c r="AF226" s="61"/>
      <c r="AG226" s="61"/>
      <c r="AH226" s="61"/>
      <c r="AI226" s="61"/>
      <c r="AJ226" s="61"/>
      <c r="AK226" s="61"/>
      <c r="AL226" s="61"/>
      <c r="AM226" s="61"/>
      <c r="AN226" s="61"/>
      <c r="AO226" s="61"/>
      <c r="AP226" s="61"/>
      <c r="AQ226" s="61"/>
      <c r="AR226" s="61"/>
      <c r="AS226" s="61"/>
      <c r="AT226" s="61"/>
      <c r="AU226" s="61"/>
    </row>
    <row r="227" spans="1:47" x14ac:dyDescent="0.2">
      <c r="A227" s="61"/>
      <c r="B227" s="61"/>
      <c r="C227" s="61"/>
      <c r="D227" s="61"/>
      <c r="E227" s="61"/>
      <c r="F227" s="61"/>
      <c r="G227" s="61"/>
      <c r="H227" s="61"/>
      <c r="I227" s="61"/>
      <c r="J227" s="61"/>
      <c r="K227" s="61"/>
      <c r="L227" s="61"/>
      <c r="M227" s="61"/>
      <c r="N227" s="61"/>
      <c r="O227" s="61"/>
      <c r="P227" s="61"/>
      <c r="Q227" s="61"/>
      <c r="R227" s="61"/>
      <c r="S227" s="61"/>
      <c r="T227" s="61"/>
      <c r="U227" s="61"/>
      <c r="V227" s="61"/>
      <c r="W227" s="61"/>
      <c r="X227" s="61"/>
      <c r="Y227" s="61"/>
      <c r="Z227" s="61"/>
      <c r="AA227" s="61"/>
      <c r="AB227" s="61"/>
      <c r="AC227" s="61"/>
      <c r="AD227" s="61"/>
      <c r="AE227" s="61"/>
      <c r="AF227" s="61"/>
      <c r="AG227" s="61"/>
      <c r="AH227" s="61"/>
      <c r="AI227" s="61"/>
      <c r="AJ227" s="61"/>
      <c r="AK227" s="61"/>
      <c r="AL227" s="61"/>
      <c r="AM227" s="61"/>
      <c r="AN227" s="61"/>
      <c r="AO227" s="61"/>
      <c r="AP227" s="61"/>
      <c r="AQ227" s="61"/>
      <c r="AR227" s="61"/>
      <c r="AS227" s="61"/>
      <c r="AT227" s="61"/>
      <c r="AU227" s="61"/>
    </row>
    <row r="228" spans="1:47" x14ac:dyDescent="0.2">
      <c r="A228" s="61"/>
      <c r="B228" s="61"/>
      <c r="C228" s="61"/>
      <c r="D228" s="61"/>
      <c r="E228" s="61"/>
      <c r="F228" s="61"/>
      <c r="G228" s="61"/>
      <c r="H228" s="61"/>
      <c r="I228" s="61"/>
      <c r="J228" s="61"/>
      <c r="K228" s="61"/>
      <c r="L228" s="61"/>
      <c r="M228" s="61"/>
      <c r="N228" s="61"/>
      <c r="O228" s="61"/>
      <c r="P228" s="61"/>
      <c r="Q228" s="61"/>
      <c r="R228" s="61"/>
      <c r="S228" s="61"/>
      <c r="T228" s="61"/>
      <c r="U228" s="61"/>
      <c r="V228" s="61"/>
      <c r="W228" s="61"/>
      <c r="X228" s="61"/>
      <c r="Y228" s="61"/>
      <c r="Z228" s="61"/>
      <c r="AA228" s="61"/>
      <c r="AB228" s="61"/>
      <c r="AC228" s="61"/>
      <c r="AD228" s="61"/>
      <c r="AE228" s="61"/>
      <c r="AF228" s="61"/>
      <c r="AG228" s="61"/>
      <c r="AH228" s="61"/>
      <c r="AI228" s="61"/>
      <c r="AJ228" s="61"/>
      <c r="AK228" s="61"/>
      <c r="AL228" s="61"/>
      <c r="AM228" s="61"/>
      <c r="AN228" s="61"/>
      <c r="AO228" s="61"/>
      <c r="AP228" s="61"/>
      <c r="AQ228" s="61"/>
      <c r="AR228" s="61"/>
      <c r="AS228" s="61"/>
      <c r="AT228" s="61"/>
      <c r="AU228" s="61"/>
    </row>
    <row r="229" spans="1:47" x14ac:dyDescent="0.2">
      <c r="A229" s="61"/>
      <c r="B229" s="61"/>
      <c r="C229" s="61"/>
      <c r="D229" s="61"/>
      <c r="E229" s="61"/>
      <c r="F229" s="61"/>
      <c r="G229" s="61"/>
      <c r="H229" s="61"/>
      <c r="I229" s="61"/>
      <c r="J229" s="61"/>
      <c r="K229" s="61"/>
      <c r="L229" s="61"/>
      <c r="M229" s="61"/>
      <c r="N229" s="61"/>
      <c r="O229" s="61"/>
      <c r="P229" s="61"/>
      <c r="Q229" s="61"/>
      <c r="R229" s="61"/>
      <c r="S229" s="61"/>
      <c r="T229" s="61"/>
      <c r="U229" s="61"/>
      <c r="V229" s="61"/>
      <c r="W229" s="61"/>
      <c r="X229" s="61"/>
      <c r="Y229" s="61"/>
      <c r="Z229" s="61"/>
      <c r="AA229" s="61"/>
      <c r="AB229" s="61"/>
      <c r="AC229" s="61"/>
      <c r="AD229" s="61"/>
      <c r="AE229" s="61"/>
      <c r="AF229" s="61"/>
      <c r="AG229" s="61"/>
      <c r="AH229" s="61"/>
      <c r="AI229" s="61"/>
      <c r="AJ229" s="61"/>
      <c r="AK229" s="61"/>
      <c r="AL229" s="61"/>
      <c r="AM229" s="61"/>
      <c r="AN229" s="61"/>
      <c r="AO229" s="61"/>
      <c r="AP229" s="61"/>
      <c r="AQ229" s="61"/>
      <c r="AR229" s="61"/>
      <c r="AS229" s="61"/>
      <c r="AT229" s="61"/>
      <c r="AU229" s="61"/>
    </row>
    <row r="230" spans="1:47" x14ac:dyDescent="0.2">
      <c r="A230" s="61"/>
      <c r="B230" s="61"/>
      <c r="C230" s="61"/>
      <c r="D230" s="61"/>
      <c r="E230" s="61"/>
      <c r="F230" s="61"/>
      <c r="G230" s="61"/>
      <c r="H230" s="61"/>
      <c r="I230" s="61"/>
      <c r="J230" s="61"/>
      <c r="K230" s="61"/>
      <c r="L230" s="61"/>
      <c r="M230" s="61"/>
      <c r="N230" s="61"/>
      <c r="O230" s="61"/>
      <c r="P230" s="61"/>
      <c r="Q230" s="61"/>
      <c r="R230" s="61"/>
      <c r="S230" s="61"/>
      <c r="T230" s="61"/>
      <c r="U230" s="61"/>
      <c r="V230" s="61"/>
      <c r="W230" s="61"/>
      <c r="X230" s="61"/>
      <c r="Y230" s="61"/>
      <c r="Z230" s="61"/>
      <c r="AA230" s="61"/>
      <c r="AB230" s="61"/>
      <c r="AC230" s="61"/>
      <c r="AD230" s="61"/>
      <c r="AE230" s="61"/>
      <c r="AF230" s="61"/>
      <c r="AG230" s="61"/>
      <c r="AH230" s="61"/>
      <c r="AI230" s="61"/>
      <c r="AJ230" s="61"/>
      <c r="AK230" s="61"/>
      <c r="AL230" s="61"/>
      <c r="AM230" s="61"/>
      <c r="AN230" s="61"/>
      <c r="AO230" s="61"/>
      <c r="AP230" s="61"/>
      <c r="AQ230" s="61"/>
      <c r="AR230" s="61"/>
      <c r="AS230" s="61"/>
      <c r="AT230" s="61"/>
      <c r="AU230" s="61"/>
    </row>
    <row r="231" spans="1:47" x14ac:dyDescent="0.2">
      <c r="A231" s="61"/>
      <c r="B231" s="61"/>
      <c r="C231" s="61"/>
      <c r="D231" s="61"/>
      <c r="E231" s="61"/>
      <c r="F231" s="61"/>
      <c r="G231" s="61"/>
      <c r="H231" s="61"/>
      <c r="I231" s="61"/>
      <c r="J231" s="61"/>
      <c r="K231" s="61"/>
      <c r="L231" s="61"/>
      <c r="M231" s="61"/>
      <c r="N231" s="61"/>
      <c r="O231" s="61"/>
      <c r="P231" s="61"/>
      <c r="Q231" s="61"/>
      <c r="R231" s="61"/>
      <c r="S231" s="61"/>
      <c r="T231" s="61"/>
      <c r="U231" s="61"/>
      <c r="V231" s="61"/>
      <c r="W231" s="61"/>
      <c r="X231" s="61"/>
      <c r="Y231" s="61"/>
      <c r="Z231" s="61"/>
      <c r="AA231" s="61"/>
      <c r="AB231" s="61"/>
      <c r="AC231" s="61"/>
      <c r="AD231" s="61"/>
      <c r="AE231" s="61"/>
      <c r="AF231" s="61"/>
      <c r="AG231" s="61"/>
      <c r="AH231" s="61"/>
      <c r="AI231" s="61"/>
      <c r="AJ231" s="61"/>
      <c r="AK231" s="61"/>
      <c r="AL231" s="61"/>
      <c r="AM231" s="61"/>
      <c r="AN231" s="61"/>
      <c r="AO231" s="61"/>
      <c r="AP231" s="61"/>
      <c r="AQ231" s="61"/>
      <c r="AR231" s="61"/>
      <c r="AS231" s="61"/>
      <c r="AT231" s="61"/>
      <c r="AU231" s="61"/>
    </row>
    <row r="232" spans="1:47" x14ac:dyDescent="0.2">
      <c r="A232" s="61"/>
      <c r="B232" s="61"/>
      <c r="C232" s="61"/>
      <c r="D232" s="61"/>
      <c r="E232" s="61"/>
      <c r="F232" s="61"/>
      <c r="G232" s="61"/>
      <c r="H232" s="61"/>
      <c r="I232" s="61"/>
      <c r="J232" s="61"/>
      <c r="K232" s="61"/>
      <c r="L232" s="61"/>
      <c r="M232" s="61"/>
      <c r="N232" s="61"/>
      <c r="O232" s="61"/>
      <c r="P232" s="61"/>
      <c r="Q232" s="61"/>
      <c r="R232" s="61"/>
      <c r="S232" s="61"/>
      <c r="T232" s="61"/>
      <c r="U232" s="61"/>
      <c r="V232" s="61"/>
      <c r="W232" s="61"/>
      <c r="X232" s="61"/>
      <c r="Y232" s="61"/>
      <c r="Z232" s="61"/>
      <c r="AA232" s="61"/>
      <c r="AB232" s="61"/>
      <c r="AC232" s="61"/>
      <c r="AD232" s="61"/>
      <c r="AE232" s="61"/>
      <c r="AF232" s="61"/>
      <c r="AG232" s="61"/>
      <c r="AH232" s="61"/>
      <c r="AI232" s="61"/>
      <c r="AJ232" s="61"/>
      <c r="AK232" s="61"/>
      <c r="AL232" s="61"/>
      <c r="AM232" s="61"/>
      <c r="AN232" s="61"/>
      <c r="AO232" s="61"/>
      <c r="AP232" s="61"/>
      <c r="AQ232" s="61"/>
      <c r="AR232" s="61"/>
      <c r="AS232" s="61"/>
      <c r="AT232" s="61"/>
      <c r="AU232" s="61"/>
    </row>
    <row r="233" spans="1:47" x14ac:dyDescent="0.2">
      <c r="A233" s="61"/>
      <c r="B233" s="61"/>
      <c r="C233" s="61"/>
      <c r="D233" s="61"/>
      <c r="E233" s="61"/>
      <c r="F233" s="61"/>
      <c r="G233" s="61"/>
      <c r="H233" s="61"/>
      <c r="I233" s="61"/>
      <c r="J233" s="61"/>
      <c r="K233" s="61"/>
      <c r="L233" s="61"/>
      <c r="M233" s="61"/>
      <c r="N233" s="61"/>
      <c r="O233" s="61"/>
      <c r="P233" s="61"/>
      <c r="Q233" s="61"/>
      <c r="R233" s="61"/>
      <c r="S233" s="61"/>
      <c r="T233" s="61"/>
      <c r="U233" s="61"/>
      <c r="V233" s="61"/>
      <c r="W233" s="61"/>
      <c r="X233" s="61"/>
      <c r="Y233" s="61"/>
      <c r="Z233" s="61"/>
      <c r="AA233" s="61"/>
      <c r="AB233" s="61"/>
      <c r="AC233" s="61"/>
      <c r="AD233" s="61"/>
      <c r="AE233" s="61"/>
      <c r="AF233" s="61"/>
      <c r="AG233" s="61"/>
      <c r="AH233" s="61"/>
      <c r="AI233" s="61"/>
      <c r="AJ233" s="61"/>
      <c r="AK233" s="61"/>
      <c r="AL233" s="61"/>
      <c r="AM233" s="61"/>
      <c r="AN233" s="61"/>
      <c r="AO233" s="61"/>
      <c r="AP233" s="61"/>
      <c r="AQ233" s="61"/>
      <c r="AR233" s="61"/>
      <c r="AS233" s="61"/>
      <c r="AT233" s="61"/>
      <c r="AU233" s="61"/>
    </row>
    <row r="234" spans="1:47" x14ac:dyDescent="0.2">
      <c r="A234" s="61"/>
      <c r="B234" s="61"/>
      <c r="C234" s="61"/>
      <c r="D234" s="61"/>
      <c r="E234" s="61"/>
      <c r="F234" s="61"/>
      <c r="G234" s="61"/>
      <c r="H234" s="61"/>
      <c r="I234" s="61"/>
      <c r="J234" s="61"/>
      <c r="K234" s="61"/>
      <c r="L234" s="61"/>
      <c r="M234" s="61"/>
      <c r="N234" s="61"/>
      <c r="O234" s="61"/>
      <c r="P234" s="61"/>
      <c r="Q234" s="61"/>
      <c r="R234" s="61"/>
      <c r="S234" s="61"/>
      <c r="T234" s="61"/>
      <c r="U234" s="61"/>
      <c r="V234" s="61"/>
      <c r="W234" s="61"/>
      <c r="X234" s="61"/>
      <c r="Y234" s="61"/>
      <c r="Z234" s="61"/>
      <c r="AA234" s="61"/>
      <c r="AB234" s="61"/>
      <c r="AC234" s="61"/>
      <c r="AD234" s="61"/>
      <c r="AE234" s="61"/>
      <c r="AF234" s="61"/>
      <c r="AG234" s="61"/>
      <c r="AH234" s="61"/>
      <c r="AI234" s="61"/>
      <c r="AJ234" s="61"/>
      <c r="AK234" s="61"/>
      <c r="AL234" s="61"/>
      <c r="AM234" s="61"/>
      <c r="AN234" s="61"/>
      <c r="AO234" s="61"/>
      <c r="AP234" s="61"/>
      <c r="AQ234" s="61"/>
      <c r="AR234" s="61"/>
      <c r="AS234" s="61"/>
      <c r="AT234" s="61"/>
      <c r="AU234" s="61"/>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E245"/>
  <sheetViews>
    <sheetView tabSelected="1" topLeftCell="C1" zoomScale="80" zoomScaleNormal="80" zoomScalePageLayoutView="80" workbookViewId="0">
      <selection activeCell="P13" sqref="P13"/>
    </sheetView>
  </sheetViews>
  <sheetFormatPr baseColWidth="10" defaultColWidth="8.83203125" defaultRowHeight="15" x14ac:dyDescent="0.2"/>
  <cols>
    <col min="1" max="1" width="18.5" customWidth="1"/>
    <col min="2" max="2" width="16" customWidth="1"/>
    <col min="12" max="12" width="14.5" bestFit="1" customWidth="1"/>
    <col min="62" max="64" width="23.33203125" customWidth="1"/>
  </cols>
  <sheetData>
    <row r="1" spans="1:161" x14ac:dyDescent="0.2">
      <c r="A1" t="s">
        <v>127</v>
      </c>
      <c r="L1" t="s">
        <v>48</v>
      </c>
      <c r="M1" t="s">
        <v>41</v>
      </c>
    </row>
    <row r="2" spans="1:161" x14ac:dyDescent="0.2">
      <c r="K2" t="s">
        <v>18</v>
      </c>
      <c r="L2" s="50">
        <f>AVERAGE(M19,M86,M154)</f>
        <v>146.10919740852995</v>
      </c>
      <c r="M2" s="50">
        <f>STDEV(M19,M81,M143)</f>
        <v>109.2633943576982</v>
      </c>
      <c r="AV2" s="40"/>
      <c r="AW2" s="40"/>
      <c r="AX2" s="40"/>
      <c r="AY2" s="40"/>
      <c r="AZ2" s="40"/>
      <c r="BA2" s="40"/>
      <c r="BB2" s="40"/>
      <c r="BC2" s="40"/>
      <c r="BD2" s="40"/>
      <c r="BE2" s="40"/>
      <c r="BF2" s="40"/>
      <c r="BG2" s="40"/>
      <c r="BH2" s="40"/>
      <c r="BI2" s="40"/>
      <c r="BJ2" s="40"/>
      <c r="BK2" s="40"/>
      <c r="BL2" s="40"/>
      <c r="BM2" s="40"/>
    </row>
    <row r="3" spans="1:161" x14ac:dyDescent="0.2">
      <c r="A3" s="40"/>
      <c r="B3" s="40"/>
      <c r="D3" t="s">
        <v>126</v>
      </c>
      <c r="G3" s="53"/>
      <c r="H3" s="53"/>
      <c r="I3" s="53"/>
      <c r="J3" s="53"/>
      <c r="K3" t="s">
        <v>22</v>
      </c>
      <c r="L3" s="50">
        <f>AVERAGE(T19,T86,T154)</f>
        <v>14.705600024261026</v>
      </c>
      <c r="M3" s="50">
        <f>STDEV(T19,T81,T143)</f>
        <v>13.641361657670531</v>
      </c>
      <c r="O3" s="2"/>
      <c r="P3" s="43"/>
      <c r="Q3" s="2"/>
      <c r="R3" s="43"/>
      <c r="S3" s="43"/>
      <c r="T3" s="40"/>
      <c r="BP3" s="40"/>
      <c r="BS3" s="40"/>
      <c r="BV3" s="40"/>
      <c r="BY3" s="40"/>
      <c r="CB3" s="40"/>
      <c r="CE3" s="40"/>
      <c r="CH3" s="40"/>
      <c r="CK3" s="40"/>
      <c r="CN3" s="40"/>
      <c r="CQ3" s="40"/>
      <c r="CT3" s="40"/>
      <c r="CW3" s="40"/>
      <c r="CZ3" s="40"/>
      <c r="DC3" s="40"/>
      <c r="DF3" s="40"/>
      <c r="DI3" s="40"/>
      <c r="DL3" s="40"/>
      <c r="DO3" s="40"/>
      <c r="DR3" s="40"/>
      <c r="DU3" s="40"/>
      <c r="DX3" s="40"/>
      <c r="EA3" s="40"/>
      <c r="ED3" s="40"/>
      <c r="EG3" s="40"/>
      <c r="EJ3" s="40"/>
      <c r="EM3" s="40"/>
      <c r="EP3" s="40"/>
      <c r="ES3" s="40"/>
      <c r="EV3" s="40"/>
      <c r="EY3" s="40"/>
      <c r="FB3" s="40"/>
      <c r="FE3" s="40"/>
    </row>
    <row r="4" spans="1:161" ht="16" customHeight="1" x14ac:dyDescent="0.2">
      <c r="A4" t="s">
        <v>5</v>
      </c>
      <c r="B4" t="s">
        <v>49</v>
      </c>
      <c r="C4" s="40" t="s">
        <v>50</v>
      </c>
      <c r="D4" t="s">
        <v>49</v>
      </c>
      <c r="E4" s="40" t="s">
        <v>50</v>
      </c>
      <c r="G4" s="53"/>
      <c r="H4" s="53"/>
      <c r="I4" s="53"/>
      <c r="J4" s="53"/>
      <c r="K4" s="53" t="s">
        <v>125</v>
      </c>
      <c r="L4" s="57">
        <f>L2/L3</f>
        <v>9.9356161712192446</v>
      </c>
      <c r="M4" s="57"/>
      <c r="O4" t="s">
        <v>128</v>
      </c>
      <c r="P4" t="s">
        <v>129</v>
      </c>
      <c r="R4" t="s">
        <v>134</v>
      </c>
      <c r="T4" t="s">
        <v>130</v>
      </c>
      <c r="BP4" s="40"/>
      <c r="BS4" s="40"/>
      <c r="BV4" s="40"/>
      <c r="BY4" s="40"/>
      <c r="CB4" s="40"/>
      <c r="CE4" s="40"/>
      <c r="CH4" s="40"/>
      <c r="CK4" s="40"/>
      <c r="CN4" s="40"/>
      <c r="CQ4" s="40"/>
      <c r="CT4" s="40"/>
      <c r="CW4" s="40"/>
      <c r="CZ4" s="40"/>
      <c r="DC4" s="40"/>
      <c r="DF4" s="40"/>
      <c r="DI4" s="40"/>
      <c r="DL4" s="40"/>
      <c r="DO4" s="40"/>
      <c r="DR4" s="40"/>
      <c r="DU4" s="40"/>
      <c r="DX4" s="40"/>
      <c r="EA4" s="40"/>
      <c r="ED4" s="40"/>
      <c r="EG4" s="40"/>
      <c r="EJ4" s="40"/>
      <c r="EM4" s="40"/>
      <c r="EP4" s="40"/>
      <c r="ES4" s="40"/>
      <c r="EV4" s="40"/>
      <c r="EY4" s="40"/>
      <c r="FB4" s="40"/>
      <c r="FE4" s="40"/>
    </row>
    <row r="5" spans="1:161" x14ac:dyDescent="0.2">
      <c r="A5" t="s">
        <v>51</v>
      </c>
      <c r="B5" s="32">
        <v>2669.1474999999996</v>
      </c>
      <c r="C5" s="32">
        <v>2323.8541666666665</v>
      </c>
      <c r="D5">
        <f>B5/BioD!B14</f>
        <v>0.65887570888016755</v>
      </c>
      <c r="E5">
        <f>C5/BioD!C14</f>
        <v>0.65830809066515639</v>
      </c>
      <c r="O5" t="s">
        <v>131</v>
      </c>
      <c r="P5" s="50">
        <f>AVERAGE(F19,F86,F154)</f>
        <v>0.85823216232379329</v>
      </c>
      <c r="Q5" s="50">
        <f>STDEV(F19,F86,F154)</f>
        <v>0.35562101148609149</v>
      </c>
      <c r="R5" s="50">
        <f>AVERAGE(M19,M86,M154)</f>
        <v>146.10919740852995</v>
      </c>
      <c r="S5" s="50">
        <f>STDEV(M19,M86,M154)</f>
        <v>96.181082389325312</v>
      </c>
      <c r="T5" s="50">
        <f>AVERAGE(T19,T86,T154)</f>
        <v>14.705600024261026</v>
      </c>
      <c r="U5" s="50">
        <f>STDEV(T19,T86,T154)</f>
        <v>6.4005220396594922</v>
      </c>
      <c r="Z5" s="40"/>
      <c r="AV5" s="40"/>
      <c r="AW5" s="40"/>
      <c r="AX5" s="40"/>
      <c r="AY5" s="40"/>
      <c r="AZ5" s="40"/>
      <c r="BA5" s="40"/>
      <c r="BB5" s="40"/>
      <c r="BC5" s="40"/>
      <c r="BD5" s="40"/>
      <c r="BE5" s="40"/>
      <c r="BF5" s="40"/>
      <c r="BG5" s="40"/>
      <c r="BH5" s="40"/>
      <c r="BI5" s="40"/>
      <c r="BJ5" s="40"/>
      <c r="BK5" s="40"/>
      <c r="BL5" s="40"/>
      <c r="BM5" s="40"/>
      <c r="BP5" s="40"/>
      <c r="BS5" s="40"/>
      <c r="BV5" s="40"/>
      <c r="BY5" s="40"/>
      <c r="CB5" s="40"/>
      <c r="CE5" s="40"/>
      <c r="CH5" s="40"/>
      <c r="CK5" s="40"/>
      <c r="CN5" s="40"/>
      <c r="CQ5" s="40"/>
      <c r="CT5" s="40"/>
      <c r="CW5" s="40"/>
      <c r="CZ5" s="40"/>
      <c r="DC5" s="40"/>
      <c r="DF5" s="40"/>
      <c r="DI5" s="40"/>
      <c r="DL5" s="40"/>
      <c r="DO5" s="40"/>
      <c r="DR5" s="40"/>
      <c r="DU5" s="40"/>
      <c r="DX5" s="40"/>
      <c r="EA5" s="40"/>
      <c r="ED5" s="40"/>
      <c r="EG5" s="40"/>
      <c r="EJ5" s="40"/>
      <c r="EM5" s="40"/>
      <c r="EP5" s="40"/>
      <c r="ES5" s="40"/>
      <c r="EV5" s="40"/>
      <c r="EY5" s="40"/>
      <c r="FB5" s="40"/>
      <c r="FE5" s="40"/>
    </row>
    <row r="6" spans="1:161" x14ac:dyDescent="0.2">
      <c r="A6" t="s">
        <v>52</v>
      </c>
      <c r="B6" s="32">
        <v>332.19524345631663</v>
      </c>
      <c r="C6" s="32">
        <v>357.76761558293128</v>
      </c>
      <c r="G6" t="s">
        <v>53</v>
      </c>
      <c r="H6" s="40"/>
      <c r="K6" s="40"/>
      <c r="O6" t="s">
        <v>132</v>
      </c>
      <c r="P6" s="50">
        <f>AVERAGE(AVERAGE(F37:F75),AVERAGE(F101:F142),AVERAGE(F169:F210))</f>
        <v>1.3406250615540771E-2</v>
      </c>
      <c r="Q6" s="50">
        <f>STDEV(AVERAGE(F37:F75),AVERAGE(F101:F142),AVERAGE(F169:F210))</f>
        <v>7.1418845719582822E-3</v>
      </c>
      <c r="R6" s="50">
        <f>AVERAGE(AVERAGE(M37:M75),AVERAGE(M101:M142),AVERAGE(M169:M210))</f>
        <v>269.41498895711038</v>
      </c>
      <c r="S6" s="50">
        <f>STDEV(AVERAGE(M37:M75),AVERAGE(M101:M142),AVERAGE(M169:M210))</f>
        <v>223.50977910935046</v>
      </c>
      <c r="T6" s="50">
        <f>AVERAGE(AVERAGE(T37:T75),AVERAGE(T101:T142),AVERAGE(T169:T210))</f>
        <v>0.85178307081430427</v>
      </c>
      <c r="U6" s="50">
        <f>STDEV(AVERAGE(T37:T75),AVERAGE(T101:T142),AVERAGE(T169:T210))</f>
        <v>0.4730210090068771</v>
      </c>
      <c r="Z6" s="40"/>
      <c r="BP6" s="40"/>
      <c r="BS6" s="40"/>
      <c r="BV6" s="40"/>
      <c r="BY6" s="40"/>
      <c r="CB6" s="40"/>
      <c r="CE6" s="40"/>
      <c r="CH6" s="40"/>
      <c r="CK6" s="40"/>
      <c r="CN6" s="40"/>
      <c r="CQ6" s="40"/>
      <c r="CT6" s="40"/>
      <c r="CW6" s="40"/>
      <c r="CZ6" s="40"/>
      <c r="DC6" s="40"/>
      <c r="DF6" s="40"/>
      <c r="DI6" s="40"/>
      <c r="DL6" s="40"/>
      <c r="DO6" s="40"/>
      <c r="DR6" s="40"/>
      <c r="DU6" s="40"/>
      <c r="DX6" s="40"/>
      <c r="EA6" s="40"/>
      <c r="ED6" s="40"/>
      <c r="EG6" s="40"/>
      <c r="EJ6" s="40"/>
      <c r="EM6" s="40"/>
      <c r="EP6" s="40"/>
      <c r="ES6" s="40"/>
      <c r="EV6" s="40"/>
      <c r="EY6" s="40"/>
      <c r="FB6" s="40"/>
      <c r="FE6" s="40"/>
    </row>
    <row r="7" spans="1:161" x14ac:dyDescent="0.2">
      <c r="A7" t="s">
        <v>54</v>
      </c>
      <c r="B7" s="32">
        <v>1967.3683333333331</v>
      </c>
      <c r="C7" s="32">
        <v>1808.6370833333333</v>
      </c>
      <c r="D7">
        <f>B7/BioD!D14</f>
        <v>0.65484183374086857</v>
      </c>
      <c r="E7">
        <f>C7/BioD!E14</f>
        <v>0.65614913306873091</v>
      </c>
      <c r="G7" t="s">
        <v>16</v>
      </c>
      <c r="H7" s="40" t="s">
        <v>55</v>
      </c>
      <c r="I7" t="s">
        <v>22</v>
      </c>
      <c r="K7" s="53"/>
      <c r="L7" s="53" t="s">
        <v>48</v>
      </c>
      <c r="M7" s="53" t="s">
        <v>56</v>
      </c>
      <c r="O7" t="s">
        <v>133</v>
      </c>
      <c r="P7">
        <f>P5/P6</f>
        <v>64.017314530053227</v>
      </c>
      <c r="R7">
        <f>R5/R6</f>
        <v>0.54232022492182075</v>
      </c>
      <c r="T7">
        <f>T5/T6</f>
        <v>17.264489666603115</v>
      </c>
      <c r="Z7" s="40"/>
      <c r="BP7" s="40"/>
      <c r="BS7" s="40"/>
      <c r="BV7" s="40"/>
      <c r="BY7" s="40"/>
      <c r="CB7" s="40"/>
      <c r="CE7" s="40"/>
      <c r="CH7" s="40"/>
      <c r="CK7" s="40"/>
      <c r="CN7" s="40"/>
      <c r="CQ7" s="40"/>
      <c r="CT7" s="40"/>
      <c r="CW7" s="40"/>
      <c r="CZ7" s="40"/>
      <c r="DC7" s="40"/>
      <c r="DF7" s="40"/>
      <c r="DI7" s="40"/>
      <c r="DL7" s="40"/>
      <c r="DO7" s="40"/>
      <c r="DR7" s="40"/>
      <c r="DU7" s="40"/>
      <c r="DX7" s="40"/>
      <c r="EA7" s="40"/>
      <c r="ED7" s="40"/>
      <c r="EG7" s="40"/>
      <c r="EJ7" s="40"/>
      <c r="EM7" s="40"/>
      <c r="EP7" s="40"/>
      <c r="ES7" s="40"/>
      <c r="EV7" s="40"/>
      <c r="EY7" s="40"/>
      <c r="FB7" s="40"/>
      <c r="FE7" s="40"/>
    </row>
    <row r="8" spans="1:161" x14ac:dyDescent="0.2">
      <c r="A8" t="s">
        <v>57</v>
      </c>
      <c r="B8" s="32">
        <v>35.910851866404279</v>
      </c>
      <c r="C8" s="32">
        <v>81.711033118749185</v>
      </c>
      <c r="F8" t="s">
        <v>58</v>
      </c>
      <c r="G8" s="53">
        <f>F19/AVERAGE(F37:F75)</f>
        <v>62.629513339593807</v>
      </c>
      <c r="H8" s="53">
        <f>M19/AVERAGE(M37:M75)</f>
        <v>0.47411900527122386</v>
      </c>
      <c r="I8" s="53">
        <f>T19/AVERAGE(T37:T75)</f>
        <v>17.671901806461218</v>
      </c>
      <c r="J8" s="53"/>
      <c r="K8" s="71" t="s">
        <v>16</v>
      </c>
      <c r="L8" s="72">
        <f>AVERAGE(G8:G10)</f>
        <v>70.514901985381741</v>
      </c>
      <c r="M8" s="72">
        <f>STDEV(G8:G12)</f>
        <v>39.624392145098511</v>
      </c>
      <c r="O8" s="2"/>
      <c r="Z8" s="40"/>
      <c r="AV8" s="40"/>
      <c r="AW8" s="40"/>
      <c r="AX8" s="40"/>
      <c r="AY8" s="40"/>
      <c r="AZ8" s="40"/>
      <c r="BA8" s="40"/>
      <c r="BB8" s="40"/>
      <c r="BC8" s="40"/>
      <c r="BD8" s="40"/>
      <c r="BE8" s="40"/>
      <c r="BF8" s="40"/>
      <c r="BG8" s="40"/>
      <c r="BH8" s="40"/>
      <c r="BI8" s="40"/>
      <c r="BJ8" s="40"/>
      <c r="BK8" s="40"/>
      <c r="BL8" s="40"/>
      <c r="BM8" s="40"/>
      <c r="BP8" s="40"/>
      <c r="BS8" s="40"/>
      <c r="BV8" s="40"/>
      <c r="BY8" s="40"/>
      <c r="CB8" s="40"/>
      <c r="CE8" s="40"/>
      <c r="CH8" s="40"/>
      <c r="CK8" s="40"/>
      <c r="CN8" s="40"/>
      <c r="CQ8" s="40"/>
      <c r="CT8" s="40"/>
      <c r="CW8" s="40"/>
      <c r="CZ8" s="40"/>
      <c r="DC8" s="40"/>
      <c r="DF8" s="40"/>
      <c r="DI8" s="40"/>
      <c r="DL8" s="40"/>
      <c r="DO8" s="40"/>
      <c r="DR8" s="40"/>
      <c r="DU8" s="40"/>
      <c r="DX8" s="40"/>
      <c r="EA8" s="40"/>
      <c r="ED8" s="40"/>
      <c r="EG8" s="40"/>
      <c r="EJ8" s="40"/>
      <c r="EM8" s="40"/>
      <c r="EP8" s="40"/>
      <c r="ES8" s="40"/>
      <c r="EV8" s="40"/>
      <c r="EY8" s="40"/>
      <c r="FB8" s="40"/>
      <c r="FE8" s="40"/>
    </row>
    <row r="9" spans="1:161" x14ac:dyDescent="0.2">
      <c r="F9" t="s">
        <v>59</v>
      </c>
      <c r="G9" s="53">
        <f>F86/AVERAGE(F101:F142)</f>
        <v>95.525875497105446</v>
      </c>
      <c r="H9" s="53">
        <f>M86/AVERAGE(M101:M142)</f>
        <v>0.58263764906724924</v>
      </c>
      <c r="I9" s="53">
        <f>T86/AVERAGE(T101:T142)</f>
        <v>24.405047961619829</v>
      </c>
      <c r="J9" s="53"/>
      <c r="K9" s="53" t="s">
        <v>124</v>
      </c>
      <c r="L9" s="57">
        <f>AVERAGE(H8:H10)</f>
        <v>0.58846637899200316</v>
      </c>
      <c r="M9" s="57">
        <f>STDEV(H8:H10)</f>
        <v>0.11737033666305391</v>
      </c>
      <c r="O9" s="2"/>
      <c r="Z9" s="40"/>
      <c r="BP9" s="40"/>
      <c r="BS9" s="40"/>
      <c r="BV9" s="40"/>
      <c r="BY9" s="40"/>
      <c r="CB9" s="40"/>
      <c r="CE9" s="40"/>
      <c r="CH9" s="40"/>
      <c r="CK9" s="40"/>
      <c r="CN9" s="40"/>
      <c r="CQ9" s="40"/>
      <c r="CT9" s="40"/>
      <c r="CW9" s="40"/>
      <c r="CZ9" s="40"/>
      <c r="DC9" s="40"/>
      <c r="DF9" s="40"/>
      <c r="DI9" s="40"/>
      <c r="DL9" s="40"/>
      <c r="DO9" s="40"/>
      <c r="DR9" s="40"/>
      <c r="DU9" s="40"/>
      <c r="DX9" s="40"/>
      <c r="EA9" s="40"/>
      <c r="ED9" s="40"/>
      <c r="EG9" s="40"/>
      <c r="EJ9" s="40"/>
      <c r="EM9" s="40"/>
      <c r="EP9" s="40"/>
      <c r="ES9" s="40"/>
      <c r="EV9" s="40"/>
      <c r="EY9" s="40"/>
      <c r="FB9" s="40"/>
      <c r="FE9" s="40"/>
    </row>
    <row r="10" spans="1:161" x14ac:dyDescent="0.2">
      <c r="F10" t="s">
        <v>60</v>
      </c>
      <c r="G10" s="53">
        <f>F154/AVERAGE(F169:F210)</f>
        <v>53.389317119445977</v>
      </c>
      <c r="H10" s="53">
        <f>M154/AVERAGE(M169:M210)</f>
        <v>0.70864248263753649</v>
      </c>
      <c r="I10" s="53">
        <f>T154/AVERAGE(T169:T210)</f>
        <v>14.95195006913173</v>
      </c>
      <c r="J10" s="53"/>
      <c r="K10" s="53" t="s">
        <v>22</v>
      </c>
      <c r="L10" s="57">
        <f>AVERAGE(I8:I10)</f>
        <v>19.009633279070925</v>
      </c>
      <c r="M10" s="57">
        <f>STDEV(I8:I12)</f>
        <v>10.301932442916844</v>
      </c>
      <c r="O10" s="2"/>
      <c r="Z10" s="40"/>
      <c r="BP10" s="40"/>
      <c r="BS10" s="40"/>
      <c r="BV10" s="40"/>
      <c r="BY10" s="40"/>
      <c r="CB10" s="40"/>
      <c r="CE10" s="40"/>
      <c r="CH10" s="40"/>
      <c r="CK10" s="40"/>
      <c r="CN10" s="40"/>
      <c r="CQ10" s="40"/>
      <c r="CT10" s="40"/>
      <c r="CW10" s="40"/>
      <c r="CZ10" s="40"/>
      <c r="DC10" s="40"/>
      <c r="DF10" s="40"/>
      <c r="DI10" s="40"/>
      <c r="DL10" s="40"/>
      <c r="DO10" s="40"/>
      <c r="DR10" s="40"/>
      <c r="DU10" s="40"/>
      <c r="DX10" s="40"/>
      <c r="EA10" s="40"/>
      <c r="ED10" s="40"/>
      <c r="EG10" s="40"/>
      <c r="EJ10" s="40"/>
      <c r="EM10" s="40"/>
      <c r="EP10" s="40"/>
      <c r="ES10" s="40"/>
      <c r="EV10" s="40"/>
      <c r="EY10" s="40"/>
      <c r="FB10" s="40"/>
      <c r="FE10" s="40"/>
    </row>
    <row r="11" spans="1:161" x14ac:dyDescent="0.2">
      <c r="A11" t="s">
        <v>61</v>
      </c>
      <c r="B11" s="40">
        <v>43655.458333333336</v>
      </c>
      <c r="G11" s="53"/>
      <c r="H11" s="53"/>
      <c r="I11" s="53"/>
      <c r="K11" s="40"/>
      <c r="L11" s="66"/>
      <c r="M11" s="66"/>
      <c r="O11" s="2"/>
      <c r="Z11" s="40"/>
      <c r="AV11" s="40"/>
      <c r="AW11" s="40"/>
      <c r="AX11" s="40"/>
      <c r="AY11" s="40"/>
      <c r="AZ11" s="40"/>
      <c r="BA11" s="40"/>
      <c r="BB11" s="40"/>
      <c r="BC11" s="40"/>
      <c r="BD11" s="40"/>
      <c r="BE11" s="40"/>
      <c r="BF11" s="40"/>
      <c r="BG11" s="40"/>
      <c r="BH11" s="40"/>
      <c r="BI11" s="40"/>
      <c r="BJ11" s="40"/>
      <c r="BK11" s="40"/>
      <c r="BL11" s="40"/>
      <c r="BM11" s="40"/>
      <c r="BP11" s="40"/>
      <c r="BS11" s="40"/>
      <c r="BV11" s="40"/>
      <c r="BY11" s="40"/>
      <c r="CB11" s="40"/>
      <c r="CE11" s="40"/>
      <c r="CH11" s="40"/>
      <c r="CK11" s="40"/>
      <c r="CN11" s="40"/>
      <c r="CQ11" s="40"/>
      <c r="CT11" s="40"/>
      <c r="CW11" s="40"/>
      <c r="CZ11" s="40"/>
      <c r="DC11" s="40"/>
      <c r="DF11" s="40"/>
      <c r="DI11" s="40"/>
      <c r="DL11" s="40"/>
      <c r="DO11" s="40"/>
      <c r="DR11" s="40"/>
      <c r="DU11" s="40"/>
      <c r="DX11" s="40"/>
      <c r="EA11" s="40"/>
      <c r="ED11" s="40"/>
      <c r="EG11" s="40"/>
      <c r="EJ11" s="40"/>
      <c r="EM11" s="40"/>
      <c r="EP11" s="40"/>
      <c r="ES11" s="40"/>
      <c r="EV11" s="40"/>
      <c r="EY11" s="40"/>
      <c r="FB11" s="40"/>
      <c r="FE11" s="40"/>
    </row>
    <row r="12" spans="1:161" x14ac:dyDescent="0.2">
      <c r="A12" t="s">
        <v>62</v>
      </c>
      <c r="B12" s="67">
        <v>43297.375</v>
      </c>
      <c r="F12" t="s">
        <v>63</v>
      </c>
      <c r="G12" s="53">
        <f>AB19/AVERAGE(AB37:AB75)</f>
        <v>0</v>
      </c>
      <c r="H12" s="53">
        <f>AI19/AVERAGE(AI37:AI75)</f>
        <v>0</v>
      </c>
      <c r="I12" s="53">
        <f>AP19/AVERAGE(AP37:AP75)</f>
        <v>0</v>
      </c>
      <c r="K12" s="40"/>
      <c r="L12" s="40"/>
      <c r="M12" s="40"/>
      <c r="O12" s="2"/>
      <c r="Z12" s="40"/>
      <c r="BP12" s="40"/>
      <c r="BS12" s="40"/>
      <c r="BV12" s="40"/>
      <c r="BY12" s="40"/>
      <c r="CB12" s="40"/>
      <c r="CE12" s="40"/>
      <c r="CH12" s="40"/>
      <c r="CK12" s="40"/>
      <c r="CN12" s="40"/>
      <c r="CQ12" s="40"/>
      <c r="CT12" s="40"/>
      <c r="CW12" s="40"/>
      <c r="CZ12" s="40"/>
      <c r="DC12" s="40"/>
      <c r="DF12" s="40"/>
      <c r="DI12" s="40"/>
      <c r="DL12" s="40"/>
      <c r="DO12" s="40"/>
      <c r="DR12" s="40"/>
      <c r="DU12" s="40"/>
      <c r="DX12" s="40"/>
      <c r="EA12" s="40"/>
      <c r="ED12" s="40"/>
      <c r="EG12" s="40"/>
      <c r="EJ12" s="40"/>
      <c r="EM12" s="40"/>
      <c r="EP12" s="40"/>
      <c r="ES12" s="40"/>
      <c r="EV12" s="40"/>
      <c r="EY12" s="40"/>
      <c r="FB12" s="40"/>
      <c r="FE12" s="40"/>
    </row>
    <row r="13" spans="1:161" x14ac:dyDescent="0.2">
      <c r="B13" s="40"/>
      <c r="F13" t="s">
        <v>65</v>
      </c>
      <c r="G13" s="53">
        <f>AB86/AVERAGE(AB101:AB142)</f>
        <v>0</v>
      </c>
      <c r="H13" s="53">
        <f>AI86/AVERAGE(AI101:AI142)</f>
        <v>0</v>
      </c>
      <c r="I13" s="53">
        <f>AP86/AVERAGE(AP101:AP142)</f>
        <v>0</v>
      </c>
      <c r="K13" s="40"/>
      <c r="L13" s="40"/>
      <c r="M13" s="40"/>
      <c r="O13" s="2"/>
      <c r="P13" s="2"/>
      <c r="Q13" s="58"/>
      <c r="R13" s="2"/>
      <c r="S13" s="2"/>
      <c r="T13" s="40"/>
      <c r="W13" s="40"/>
      <c r="Z13" s="40"/>
      <c r="BP13" s="40"/>
      <c r="BS13" s="40"/>
      <c r="BV13" s="40"/>
      <c r="BY13" s="40"/>
      <c r="CB13" s="40"/>
      <c r="CE13" s="40"/>
      <c r="CH13" s="40"/>
      <c r="CK13" s="40"/>
      <c r="CN13" s="40"/>
      <c r="CQ13" s="40"/>
      <c r="CT13" s="40"/>
      <c r="CW13" s="40"/>
      <c r="CZ13" s="40"/>
      <c r="DC13" s="40"/>
      <c r="DF13" s="40"/>
      <c r="DI13" s="40"/>
      <c r="DL13" s="40"/>
      <c r="DO13" s="40"/>
      <c r="DR13" s="40"/>
      <c r="DU13" s="40"/>
      <c r="DX13" s="40"/>
      <c r="EA13" s="40"/>
      <c r="ED13" s="40"/>
      <c r="EG13" s="40"/>
      <c r="EJ13" s="40"/>
      <c r="EM13" s="40"/>
      <c r="EP13" s="40"/>
      <c r="ES13" s="40"/>
      <c r="EV13" s="40"/>
      <c r="EY13" s="40"/>
      <c r="FB13" s="40"/>
      <c r="FE13" s="40"/>
    </row>
    <row r="14" spans="1:161" x14ac:dyDescent="0.2">
      <c r="B14" s="40"/>
      <c r="F14" t="s">
        <v>66</v>
      </c>
      <c r="G14" s="53">
        <f>AB154/AVERAGE(AB169:AB210)</f>
        <v>0</v>
      </c>
      <c r="H14" s="53">
        <f>AI154/AVERAGE(AI169:AI210)</f>
        <v>0</v>
      </c>
      <c r="I14" s="53">
        <f>AP154/AVERAGE(AP169:AP210)</f>
        <v>0</v>
      </c>
      <c r="K14" s="40"/>
      <c r="L14" s="40"/>
      <c r="M14" s="40"/>
      <c r="Q14" s="40"/>
      <c r="T14" s="40"/>
      <c r="W14" s="40"/>
      <c r="Z14" s="40"/>
      <c r="AV14" s="40"/>
      <c r="AW14" s="40"/>
      <c r="AX14" s="40"/>
      <c r="AY14" s="40"/>
      <c r="AZ14" s="40"/>
      <c r="BA14" s="40"/>
      <c r="BB14" s="40"/>
      <c r="BC14" s="40"/>
      <c r="BD14" s="40"/>
      <c r="BE14" s="40"/>
      <c r="BF14" s="40"/>
      <c r="BG14" s="40"/>
      <c r="BH14" s="40"/>
      <c r="BI14" s="40"/>
      <c r="BJ14" s="40"/>
      <c r="BK14" s="40"/>
      <c r="BL14" s="40"/>
      <c r="BM14" s="40"/>
      <c r="BP14" s="40"/>
      <c r="BS14" s="40"/>
      <c r="BV14" s="40"/>
      <c r="BY14" s="40"/>
      <c r="CB14" s="40"/>
      <c r="CE14" s="40"/>
      <c r="CH14" s="40"/>
      <c r="CK14" s="40"/>
      <c r="CN14" s="40"/>
      <c r="CQ14" s="40"/>
      <c r="CT14" s="40"/>
      <c r="CW14" s="40"/>
      <c r="CZ14" s="40"/>
      <c r="DC14" s="40"/>
      <c r="DF14" s="40"/>
      <c r="DI14" s="40"/>
      <c r="DL14" s="40"/>
      <c r="DO14" s="40"/>
      <c r="DR14" s="40"/>
      <c r="DU14" s="40"/>
      <c r="DX14" s="40"/>
      <c r="EA14" s="40"/>
      <c r="ED14" s="40"/>
      <c r="EG14" s="40"/>
      <c r="EJ14" s="40"/>
      <c r="EM14" s="40"/>
      <c r="EP14" s="40"/>
      <c r="ES14" s="40"/>
      <c r="EV14" s="40"/>
      <c r="EY14" s="40"/>
      <c r="FB14" s="40"/>
      <c r="FE14" s="40"/>
    </row>
    <row r="15" spans="1:161" x14ac:dyDescent="0.2">
      <c r="A15" s="59" t="s">
        <v>34</v>
      </c>
      <c r="B15" s="40"/>
      <c r="G15" s="40"/>
      <c r="K15" s="40"/>
      <c r="L15" s="40"/>
      <c r="M15" s="40"/>
      <c r="Q15" s="40"/>
      <c r="T15" s="40"/>
      <c r="W15" s="59" t="s">
        <v>35</v>
      </c>
      <c r="Z15" s="40"/>
      <c r="BP15" s="40"/>
      <c r="BS15" s="40"/>
      <c r="BV15" s="40"/>
      <c r="BY15" s="40"/>
      <c r="CB15" s="40"/>
      <c r="CE15" s="40"/>
      <c r="CH15" s="40"/>
      <c r="CK15" s="40"/>
      <c r="CN15" s="40"/>
      <c r="CQ15" s="40"/>
      <c r="CT15" s="40"/>
      <c r="CW15" s="40"/>
      <c r="CZ15" s="40"/>
      <c r="DC15" s="40"/>
      <c r="DF15" s="40"/>
      <c r="DI15" s="40"/>
      <c r="DL15" s="40"/>
      <c r="DO15" s="40"/>
      <c r="DR15" s="40"/>
      <c r="DU15" s="40"/>
      <c r="DX15" s="40"/>
      <c r="EA15" s="40"/>
      <c r="ED15" s="40"/>
      <c r="EG15" s="40"/>
      <c r="EJ15" s="40"/>
      <c r="EM15" s="40"/>
      <c r="EP15" s="40"/>
      <c r="ES15" s="40"/>
      <c r="EV15" s="40"/>
      <c r="EY15" s="40"/>
      <c r="FB15" s="40"/>
      <c r="FE15" s="40"/>
    </row>
    <row r="16" spans="1:161" x14ac:dyDescent="0.2">
      <c r="A16" s="40"/>
      <c r="B16" s="40"/>
      <c r="G16" s="40"/>
      <c r="K16" s="40"/>
      <c r="L16" s="40"/>
      <c r="M16" s="40"/>
      <c r="Q16" s="40"/>
      <c r="T16" s="40"/>
      <c r="W16" s="40"/>
      <c r="Z16" s="40"/>
      <c r="BP16" s="40"/>
      <c r="BS16" s="40"/>
      <c r="BV16" s="40"/>
      <c r="BY16" s="40"/>
      <c r="CB16" s="40"/>
      <c r="CE16" s="40"/>
      <c r="CH16" s="40"/>
      <c r="CK16" s="40"/>
      <c r="CN16" s="40"/>
      <c r="CQ16" s="40"/>
      <c r="CT16" s="40"/>
      <c r="CW16" s="40"/>
      <c r="CZ16" s="40"/>
      <c r="DC16" s="40"/>
      <c r="DF16" s="40"/>
      <c r="DI16" s="40"/>
      <c r="DL16" s="40"/>
      <c r="DO16" s="40"/>
      <c r="DR16" s="40"/>
      <c r="DU16" s="40"/>
      <c r="DX16" s="40"/>
      <c r="EA16" s="40"/>
      <c r="ED16" s="40"/>
      <c r="EG16" s="40"/>
      <c r="EJ16" s="40"/>
      <c r="EM16" s="40"/>
      <c r="EP16" s="40"/>
      <c r="ES16" s="40"/>
      <c r="EV16" s="40"/>
      <c r="EY16" s="40"/>
      <c r="FB16" s="40"/>
      <c r="FE16" s="40"/>
    </row>
    <row r="17" spans="1:65" x14ac:dyDescent="0.2">
      <c r="A17" t="s">
        <v>94</v>
      </c>
      <c r="H17" t="s">
        <v>95</v>
      </c>
      <c r="O17" t="s">
        <v>96</v>
      </c>
      <c r="W17" t="s">
        <v>73</v>
      </c>
      <c r="AD17" t="s">
        <v>74</v>
      </c>
      <c r="AK17" t="s">
        <v>75</v>
      </c>
      <c r="AV17" s="40"/>
      <c r="AW17" s="40"/>
      <c r="AX17" s="40"/>
      <c r="AY17" s="40"/>
      <c r="AZ17" s="40"/>
      <c r="BA17" s="40"/>
      <c r="BB17" s="40"/>
      <c r="BC17" s="40"/>
      <c r="BD17" s="40"/>
      <c r="BE17" s="40"/>
      <c r="BF17" s="40"/>
      <c r="BG17" s="40"/>
      <c r="BH17" s="40"/>
      <c r="BI17" s="40"/>
      <c r="BJ17" s="40"/>
      <c r="BK17" s="40"/>
      <c r="BL17" s="40"/>
      <c r="BM17" s="40"/>
    </row>
    <row r="18" spans="1:65" x14ac:dyDescent="0.2">
      <c r="A18" s="37" t="s">
        <v>16</v>
      </c>
      <c r="B18" t="s">
        <v>67</v>
      </c>
      <c r="C18">
        <f>BioD!D22</f>
        <v>0.27809999999999979</v>
      </c>
      <c r="H18" s="37" t="s">
        <v>124</v>
      </c>
      <c r="I18" t="s">
        <v>67</v>
      </c>
      <c r="J18">
        <f>BioD!M24</f>
        <v>4.3400000000000105E-2</v>
      </c>
      <c r="O18" s="60" t="s">
        <v>68</v>
      </c>
      <c r="P18" s="61" t="s">
        <v>67</v>
      </c>
      <c r="Q18" s="61">
        <f>BioD!M30</f>
        <v>0.39480000000000004</v>
      </c>
      <c r="R18" s="61"/>
      <c r="S18" s="61"/>
      <c r="T18" s="61"/>
      <c r="W18" s="37" t="s">
        <v>16</v>
      </c>
      <c r="X18" t="s">
        <v>67</v>
      </c>
      <c r="Y18">
        <f>BioD!D76</f>
        <v>0.43469999999999986</v>
      </c>
      <c r="AD18" s="37" t="s">
        <v>20</v>
      </c>
      <c r="AE18" t="s">
        <v>67</v>
      </c>
      <c r="AF18">
        <f>BioD!D78</f>
        <v>0.11519999999999975</v>
      </c>
      <c r="AK18" s="60" t="s">
        <v>68</v>
      </c>
      <c r="AL18" s="61" t="s">
        <v>67</v>
      </c>
      <c r="AM18" s="61">
        <f>BioD!D84</f>
        <v>0.39529999999999976</v>
      </c>
      <c r="AN18" s="61"/>
      <c r="AO18" s="61"/>
      <c r="AP18" s="61"/>
    </row>
    <row r="19" spans="1:65" x14ac:dyDescent="0.2">
      <c r="A19" t="s">
        <v>69</v>
      </c>
      <c r="E19">
        <v>0.23258999999999999</v>
      </c>
      <c r="F19">
        <f>0.82162/E5</f>
        <v>1.2480782351768347</v>
      </c>
      <c r="H19" t="s">
        <v>69</v>
      </c>
      <c r="L19" t="s">
        <v>64</v>
      </c>
      <c r="M19" s="65">
        <f>25.40861*C18/J18/E5</f>
        <v>247.32212764120777</v>
      </c>
      <c r="O19" s="61" t="s">
        <v>69</v>
      </c>
      <c r="P19" s="61"/>
      <c r="Q19" s="61"/>
      <c r="R19" s="61"/>
      <c r="S19" s="61">
        <v>3.9733900000000002</v>
      </c>
      <c r="T19" s="61">
        <f>18.32486*C18/Q18/E5</f>
        <v>19.608091171639433</v>
      </c>
      <c r="W19" t="s">
        <v>69</v>
      </c>
      <c r="AD19" t="s">
        <v>69</v>
      </c>
      <c r="AK19" s="61" t="s">
        <v>69</v>
      </c>
      <c r="AL19" s="61"/>
      <c r="AM19" s="61"/>
      <c r="AN19" s="61"/>
      <c r="AO19" s="61"/>
      <c r="AP19" s="61"/>
    </row>
    <row r="20" spans="1:65" x14ac:dyDescent="0.2">
      <c r="A20" t="s">
        <v>70</v>
      </c>
      <c r="B20" t="s">
        <v>71</v>
      </c>
      <c r="C20" t="s">
        <v>72</v>
      </c>
      <c r="D20" s="2" t="s">
        <v>37</v>
      </c>
      <c r="E20" s="2" t="s">
        <v>38</v>
      </c>
      <c r="F20" s="2" t="s">
        <v>39</v>
      </c>
      <c r="G20" s="2"/>
      <c r="H20" s="2" t="s">
        <v>70</v>
      </c>
      <c r="I20" s="2" t="s">
        <v>71</v>
      </c>
      <c r="J20" s="2" t="s">
        <v>72</v>
      </c>
      <c r="K20" s="2" t="s">
        <v>37</v>
      </c>
      <c r="L20" s="2" t="s">
        <v>38</v>
      </c>
      <c r="M20" s="2" t="s">
        <v>39</v>
      </c>
      <c r="N20" s="2"/>
      <c r="O20" s="62" t="s">
        <v>70</v>
      </c>
      <c r="P20" s="62" t="s">
        <v>71</v>
      </c>
      <c r="Q20" s="62" t="s">
        <v>72</v>
      </c>
      <c r="R20" s="2" t="s">
        <v>37</v>
      </c>
      <c r="S20" s="62" t="s">
        <v>38</v>
      </c>
      <c r="T20" s="62" t="s">
        <v>39</v>
      </c>
      <c r="U20" s="2"/>
      <c r="W20" t="s">
        <v>70</v>
      </c>
      <c r="X20" t="s">
        <v>71</v>
      </c>
      <c r="Y20" t="s">
        <v>72</v>
      </c>
      <c r="Z20" t="s">
        <v>37</v>
      </c>
      <c r="AA20" t="s">
        <v>38</v>
      </c>
      <c r="AB20" t="s">
        <v>39</v>
      </c>
      <c r="AD20" t="s">
        <v>70</v>
      </c>
      <c r="AE20" t="s">
        <v>71</v>
      </c>
      <c r="AF20" t="s">
        <v>72</v>
      </c>
      <c r="AG20" t="s">
        <v>37</v>
      </c>
      <c r="AH20" t="s">
        <v>38</v>
      </c>
      <c r="AI20" t="s">
        <v>39</v>
      </c>
      <c r="AK20" s="61" t="s">
        <v>70</v>
      </c>
      <c r="AL20" s="61" t="s">
        <v>71</v>
      </c>
      <c r="AM20" s="61" t="s">
        <v>72</v>
      </c>
      <c r="AN20" t="s">
        <v>37</v>
      </c>
      <c r="AO20" s="61" t="s">
        <v>38</v>
      </c>
      <c r="AP20" s="61" t="s">
        <v>39</v>
      </c>
      <c r="BF20" s="40"/>
      <c r="BG20" s="40"/>
      <c r="BH20" s="40"/>
      <c r="BI20" s="40"/>
      <c r="BJ20" s="40"/>
      <c r="BK20" s="40"/>
      <c r="BL20" s="40"/>
      <c r="BM20" s="40"/>
    </row>
    <row r="21" spans="1:65" x14ac:dyDescent="0.2">
      <c r="A21" s="40">
        <v>43297.399016203701</v>
      </c>
      <c r="B21" s="50">
        <f>(A21-$B$12)*24</f>
        <v>0.57638888881774619</v>
      </c>
      <c r="C21">
        <v>110.15</v>
      </c>
      <c r="D21">
        <v>425.31</v>
      </c>
      <c r="E21" s="32">
        <f>(C21/$B$5)/$C$18</f>
        <v>0.14839215388658131</v>
      </c>
      <c r="F21" s="32">
        <f>(D21/$C$5)/$C$18</f>
        <v>0.65810582490907044</v>
      </c>
      <c r="G21" s="2"/>
      <c r="H21" s="40">
        <v>43297.399872685186</v>
      </c>
      <c r="I21" s="50">
        <f>(H21-$B$12)*24</f>
        <v>0.5969444444635883</v>
      </c>
      <c r="J21">
        <v>59887.45</v>
      </c>
      <c r="K21">
        <v>40601.370000000003</v>
      </c>
      <c r="L21" s="32">
        <f>(J21/$B$5)/$J$18</f>
        <v>516.97973277622145</v>
      </c>
      <c r="M21" s="32">
        <f>(K21/$C$5)/$J$18</f>
        <v>402.57063081110567</v>
      </c>
      <c r="N21" s="2"/>
      <c r="O21" s="40">
        <v>43297.400717592594</v>
      </c>
      <c r="P21" s="50">
        <f>(O21-$B$12)*24</f>
        <v>0.61722222226671875</v>
      </c>
      <c r="Q21">
        <v>3017.61</v>
      </c>
      <c r="R21">
        <v>9971.48</v>
      </c>
      <c r="S21" s="32">
        <f>(Q21/$B$5)/$Q$18</f>
        <v>2.8636068474113028</v>
      </c>
      <c r="T21" s="32">
        <f>(R21/$C$5)/$Q$18</f>
        <v>10.868600062046461</v>
      </c>
      <c r="U21" s="2"/>
      <c r="W21" s="40">
        <v>43297.406701388885</v>
      </c>
      <c r="X21" s="50">
        <f>(W21-$B$12)*24</f>
        <v>0.76083333324640989</v>
      </c>
      <c r="Y21">
        <v>0.17</v>
      </c>
      <c r="Z21">
        <v>0</v>
      </c>
      <c r="AA21" s="32">
        <f>(Y21/$B$5)/$C$18</f>
        <v>2.2902102733289901E-4</v>
      </c>
      <c r="AB21" s="32">
        <f>(Z21/$C$5)/$C$18</f>
        <v>0</v>
      </c>
      <c r="AD21" s="40">
        <v>43297.407835648148</v>
      </c>
      <c r="AE21" s="50">
        <f>(AD21-$B$12)*24</f>
        <v>0.78805555554572493</v>
      </c>
      <c r="AF21">
        <v>542.61</v>
      </c>
      <c r="AG21">
        <v>463.57</v>
      </c>
      <c r="AH21" s="32">
        <f>(AF21/$B$5)/$C$18</f>
        <v>0.7309947037712019</v>
      </c>
      <c r="AI21" s="32">
        <f>(AG21/$C$5)/$C$18</f>
        <v>0.71730765148502929</v>
      </c>
      <c r="AJ21" s="40"/>
      <c r="AK21" s="40">
        <v>43297.408692129633</v>
      </c>
      <c r="AL21" s="50">
        <f>(AK21-$B$12)*24</f>
        <v>0.80861111119156703</v>
      </c>
      <c r="AM21">
        <v>101.67</v>
      </c>
      <c r="AN21">
        <v>149.88999999999999</v>
      </c>
      <c r="AO21" s="32">
        <f>(AM21/$B$5)/$C$18</f>
        <v>0.13696804617021083</v>
      </c>
      <c r="AP21" s="32">
        <f>(AN21/$C$5)/$C$18</f>
        <v>0.23193313605516111</v>
      </c>
    </row>
    <row r="22" spans="1:65" x14ac:dyDescent="0.2">
      <c r="A22" s="40">
        <v>43297.415358796294</v>
      </c>
      <c r="B22" s="50">
        <f t="shared" ref="B22:B80" si="0">(A22-$B$12)*24</f>
        <v>0.96861111104954034</v>
      </c>
      <c r="C22">
        <v>73.14</v>
      </c>
      <c r="D22">
        <v>304.13</v>
      </c>
      <c r="E22" s="32">
        <f t="shared" ref="E22:E75" si="1">(C22/$B$5)/$C$18</f>
        <v>9.8532929053695484E-2</v>
      </c>
      <c r="F22" s="32">
        <f t="shared" ref="F22:F75" si="2">(D22/$C$5)/$C$18</f>
        <v>0.47059726912039584</v>
      </c>
      <c r="G22" s="2"/>
      <c r="H22" s="40">
        <v>43297.416215277779</v>
      </c>
      <c r="I22" s="50">
        <f t="shared" ref="I22:I80" si="3">(H22-$B$12)*24</f>
        <v>0.98916666669538245</v>
      </c>
      <c r="J22">
        <v>61330.25</v>
      </c>
      <c r="K22">
        <v>44854.559999999998</v>
      </c>
      <c r="L22" s="32">
        <f t="shared" ref="L22:L80" si="4">(J22/$B$5)/$J$18</f>
        <v>529.43473559316442</v>
      </c>
      <c r="M22" s="32">
        <f t="shared" ref="M22:M80" si="5">(K22/$C$5)/$J$18</f>
        <v>444.74185265065154</v>
      </c>
      <c r="N22" s="2"/>
      <c r="O22" s="40">
        <v>43297.417071759257</v>
      </c>
      <c r="P22" s="50">
        <f t="shared" ref="P22:P80" si="6">(O22-$B$12)*24</f>
        <v>1.0097222221666016</v>
      </c>
      <c r="Q22">
        <v>2380.29</v>
      </c>
      <c r="R22">
        <v>7142.87</v>
      </c>
      <c r="S22" s="32">
        <f t="shared" ref="S22:S36" si="7">(Q22/$B$5)/$Q$18</f>
        <v>2.2588123524327695</v>
      </c>
      <c r="T22" s="32">
        <f t="shared" ref="T22:T36" si="8">(R22/$C$5)/$Q$18</f>
        <v>7.7855039898981708</v>
      </c>
      <c r="U22" s="2"/>
      <c r="W22" s="40">
        <v>43297.423043981478</v>
      </c>
      <c r="X22" s="50">
        <f t="shared" ref="X22:X80" si="9">(W22-$B$12)*24</f>
        <v>1.153055555478204</v>
      </c>
      <c r="Y22">
        <v>0</v>
      </c>
      <c r="Z22">
        <v>10.07</v>
      </c>
      <c r="AA22" s="32">
        <f t="shared" ref="AA22:AA80" si="10">(Y22/$B$5)/$C$18</f>
        <v>0</v>
      </c>
      <c r="AB22" s="32">
        <f t="shared" ref="AB22:AB80" si="11">(Z22/$C$5)/$C$18</f>
        <v>1.5581871239412052E-2</v>
      </c>
      <c r="AD22" s="40">
        <v>43297.424328703702</v>
      </c>
      <c r="AE22" s="50">
        <f t="shared" ref="AE22:AE80" si="12">(AD22-$B$12)*24</f>
        <v>1.1838888888596557</v>
      </c>
      <c r="AF22">
        <v>557.29999999999995</v>
      </c>
      <c r="AG22">
        <v>517.20000000000005</v>
      </c>
      <c r="AH22" s="32">
        <f t="shared" ref="AH22:AH80" si="13">(AF22/$B$5)/$C$18</f>
        <v>0.75078481489779181</v>
      </c>
      <c r="AI22" s="32">
        <f t="shared" ref="AI22:AI80" si="14">(AG22/$C$5)/$C$18</f>
        <v>0.80029233416324852</v>
      </c>
      <c r="AK22" s="40">
        <v>43297.425173611111</v>
      </c>
      <c r="AL22" s="50">
        <f t="shared" ref="AL22:AL80" si="15">(AK22-$B$12)*24</f>
        <v>1.2041666666627862</v>
      </c>
      <c r="AM22">
        <v>88.67</v>
      </c>
      <c r="AN22">
        <v>127.93</v>
      </c>
      <c r="AO22" s="32">
        <f t="shared" ref="AO22:AO80" si="16">(AM22/$B$5)/$C$18</f>
        <v>0.11945467349181267</v>
      </c>
      <c r="AP22" s="32">
        <f t="shared" ref="AP22:AP80" si="17">(AN22/$C$5)/$C$18</f>
        <v>0.19795320632154753</v>
      </c>
    </row>
    <row r="23" spans="1:65" x14ac:dyDescent="0.2">
      <c r="A23" s="40">
        <v>43297.431712962964</v>
      </c>
      <c r="B23" s="50">
        <f t="shared" si="0"/>
        <v>1.3611111111240461</v>
      </c>
      <c r="C23">
        <v>50.15</v>
      </c>
      <c r="D23">
        <v>185.96</v>
      </c>
      <c r="E23" s="32">
        <f>(C23/$B$5)/$C$18</f>
        <v>6.7561203063205205E-2</v>
      </c>
      <c r="F23" s="32">
        <f t="shared" si="2"/>
        <v>0.28774625379156554</v>
      </c>
      <c r="G23" s="2"/>
      <c r="H23" s="40">
        <v>43297.432569444441</v>
      </c>
      <c r="I23" s="50">
        <f t="shared" si="3"/>
        <v>1.3816666665952653</v>
      </c>
      <c r="J23">
        <v>62378.49</v>
      </c>
      <c r="K23">
        <v>47926.71</v>
      </c>
      <c r="L23" s="32">
        <f t="shared" si="4"/>
        <v>538.48369050918348</v>
      </c>
      <c r="M23" s="32">
        <f t="shared" si="5"/>
        <v>475.20282880604583</v>
      </c>
      <c r="N23" s="2"/>
      <c r="O23" s="40">
        <v>43297.433425925927</v>
      </c>
      <c r="P23" s="50">
        <f t="shared" si="6"/>
        <v>1.4022222222411074</v>
      </c>
      <c r="Q23">
        <v>2063.63</v>
      </c>
      <c r="R23">
        <v>5277.49</v>
      </c>
      <c r="S23" s="32">
        <f t="shared" si="7"/>
        <v>1.9583130353237783</v>
      </c>
      <c r="T23" s="32">
        <f t="shared" si="8"/>
        <v>5.7522983690936131</v>
      </c>
      <c r="U23" s="2"/>
      <c r="W23" s="40">
        <v>43297.439398148148</v>
      </c>
      <c r="X23" s="50">
        <f t="shared" si="9"/>
        <v>1.5455555555527098</v>
      </c>
      <c r="Y23">
        <v>0</v>
      </c>
      <c r="Z23">
        <v>7.23</v>
      </c>
      <c r="AA23" s="32">
        <f t="shared" si="10"/>
        <v>0</v>
      </c>
      <c r="AB23" s="32">
        <f t="shared" si="11"/>
        <v>1.1187381237432882E-2</v>
      </c>
      <c r="AD23" s="40">
        <v>43297.44090277778</v>
      </c>
      <c r="AE23" s="50">
        <f t="shared" si="12"/>
        <v>1.5816666667233221</v>
      </c>
      <c r="AF23">
        <v>513.73</v>
      </c>
      <c r="AG23">
        <v>527.32000000000005</v>
      </c>
      <c r="AH23" s="32">
        <f t="shared" si="13"/>
        <v>0.6920880727748836</v>
      </c>
      <c r="AI23" s="32">
        <f t="shared" si="14"/>
        <v>0.8159515731843856</v>
      </c>
      <c r="AK23" s="40">
        <v>43297.441759259258</v>
      </c>
      <c r="AL23" s="50">
        <f t="shared" si="15"/>
        <v>1.6022222221945412</v>
      </c>
      <c r="AM23">
        <v>98.19</v>
      </c>
      <c r="AN23">
        <v>119.77</v>
      </c>
      <c r="AO23" s="32">
        <f t="shared" si="16"/>
        <v>0.13227985102245501</v>
      </c>
      <c r="AP23" s="32">
        <f t="shared" si="17"/>
        <v>0.18532678434402994</v>
      </c>
      <c r="BF23" s="40"/>
      <c r="BG23" s="40"/>
      <c r="BH23" s="40"/>
      <c r="BI23" s="40"/>
      <c r="BJ23" s="40"/>
      <c r="BK23" s="40"/>
      <c r="BL23" s="40"/>
      <c r="BM23" s="40"/>
    </row>
    <row r="24" spans="1:65" x14ac:dyDescent="0.2">
      <c r="A24" s="40">
        <v>43297.448171296295</v>
      </c>
      <c r="B24" s="50">
        <f t="shared" si="0"/>
        <v>1.7561111110844649</v>
      </c>
      <c r="C24">
        <v>21.17</v>
      </c>
      <c r="D24">
        <v>166.96</v>
      </c>
      <c r="E24" s="32">
        <f t="shared" si="1"/>
        <v>2.8519853815514543E-2</v>
      </c>
      <c r="F24" s="32">
        <f t="shared" si="2"/>
        <v>0.25834649673607113</v>
      </c>
      <c r="G24" s="2"/>
      <c r="H24" s="40">
        <v>43297.449016203704</v>
      </c>
      <c r="I24" s="50">
        <f t="shared" si="3"/>
        <v>1.7763888888875954</v>
      </c>
      <c r="J24">
        <v>62821.94</v>
      </c>
      <c r="K24">
        <v>49952.85</v>
      </c>
      <c r="L24" s="32">
        <f t="shared" si="4"/>
        <v>542.31178241324039</v>
      </c>
      <c r="M24" s="32">
        <f t="shared" si="5"/>
        <v>495.29240849046562</v>
      </c>
      <c r="N24" s="2"/>
      <c r="O24" s="40">
        <v>43297.449872685182</v>
      </c>
      <c r="P24" s="50">
        <f t="shared" si="6"/>
        <v>1.7969444443588145</v>
      </c>
      <c r="Q24">
        <v>1811.08</v>
      </c>
      <c r="R24">
        <v>3965.22</v>
      </c>
      <c r="S24" s="32">
        <f t="shared" si="7"/>
        <v>1.7186518765545125</v>
      </c>
      <c r="T24" s="32">
        <f t="shared" si="8"/>
        <v>4.3219652787778617</v>
      </c>
      <c r="U24" s="2"/>
      <c r="W24" s="40">
        <v>43297.45584490741</v>
      </c>
      <c r="X24" s="50">
        <f t="shared" si="9"/>
        <v>1.94027777784504</v>
      </c>
      <c r="Y24">
        <v>0</v>
      </c>
      <c r="Z24">
        <v>5.3</v>
      </c>
      <c r="AA24" s="32">
        <f t="shared" si="10"/>
        <v>0</v>
      </c>
      <c r="AB24" s="32">
        <f t="shared" si="11"/>
        <v>8.2009848628484486E-3</v>
      </c>
      <c r="AD24" s="40">
        <v>43297.457256944443</v>
      </c>
      <c r="AE24" s="50">
        <f t="shared" si="12"/>
        <v>1.9741666666232049</v>
      </c>
      <c r="AF24">
        <v>569.75</v>
      </c>
      <c r="AG24">
        <v>493.56</v>
      </c>
      <c r="AH24" s="32">
        <f t="shared" si="13"/>
        <v>0.76755723719364233</v>
      </c>
      <c r="AI24" s="32">
        <f t="shared" si="14"/>
        <v>0.76371284696367547</v>
      </c>
      <c r="AK24" s="40">
        <v>43297.458113425928</v>
      </c>
      <c r="AL24" s="50">
        <f t="shared" si="15"/>
        <v>1.9947222222690471</v>
      </c>
      <c r="AM24">
        <v>106.19</v>
      </c>
      <c r="AN24">
        <v>118.28</v>
      </c>
      <c r="AO24" s="32">
        <f t="shared" si="16"/>
        <v>0.14305731113223852</v>
      </c>
      <c r="AP24" s="32">
        <f t="shared" si="17"/>
        <v>0.18302122444862537</v>
      </c>
    </row>
    <row r="25" spans="1:65" x14ac:dyDescent="0.2">
      <c r="A25" s="40">
        <v>43297.46465277778</v>
      </c>
      <c r="B25" s="50">
        <f t="shared" si="0"/>
        <v>2.151666666730307</v>
      </c>
      <c r="C25">
        <v>41.63</v>
      </c>
      <c r="D25">
        <v>115.9</v>
      </c>
      <c r="E25" s="32">
        <f t="shared" si="1"/>
        <v>5.6083208046285797E-2</v>
      </c>
      <c r="F25" s="32">
        <f t="shared" si="2"/>
        <v>0.17933851803851605</v>
      </c>
      <c r="G25" s="2"/>
      <c r="H25" s="40">
        <v>43297.465509259258</v>
      </c>
      <c r="I25" s="50">
        <f t="shared" si="3"/>
        <v>2.1722222222015262</v>
      </c>
      <c r="J25">
        <v>62902.03</v>
      </c>
      <c r="K25">
        <v>51185.95</v>
      </c>
      <c r="L25" s="32">
        <f t="shared" si="4"/>
        <v>543.00316110440269</v>
      </c>
      <c r="M25" s="32">
        <f t="shared" si="5"/>
        <v>507.51883939299864</v>
      </c>
      <c r="N25" s="2"/>
      <c r="O25" s="40">
        <v>43297.466365740744</v>
      </c>
      <c r="P25" s="50">
        <f t="shared" si="6"/>
        <v>2.1927777778473683</v>
      </c>
      <c r="Q25">
        <v>1682.55</v>
      </c>
      <c r="R25">
        <v>3126.87</v>
      </c>
      <c r="S25" s="32">
        <f t="shared" si="7"/>
        <v>1.5966813806661189</v>
      </c>
      <c r="T25" s="32">
        <f t="shared" si="8"/>
        <v>3.4081901057828148</v>
      </c>
      <c r="U25" s="2"/>
      <c r="W25" s="40">
        <v>43297.472337962965</v>
      </c>
      <c r="X25" s="50">
        <f t="shared" si="9"/>
        <v>2.3361111111589707</v>
      </c>
      <c r="Y25">
        <v>0</v>
      </c>
      <c r="Z25">
        <v>2.92</v>
      </c>
      <c r="AA25" s="32">
        <f t="shared" si="10"/>
        <v>0</v>
      </c>
      <c r="AB25" s="32">
        <f t="shared" si="11"/>
        <v>4.5182784527391445E-3</v>
      </c>
      <c r="AD25" s="40">
        <v>43297.473749999997</v>
      </c>
      <c r="AE25" s="50">
        <f t="shared" si="12"/>
        <v>2.3699999999371357</v>
      </c>
      <c r="AF25">
        <v>573.22</v>
      </c>
      <c r="AG25">
        <v>548.85</v>
      </c>
      <c r="AH25" s="32">
        <f t="shared" si="13"/>
        <v>0.77223196051626097</v>
      </c>
      <c r="AI25" s="32">
        <f t="shared" si="14"/>
        <v>0.8492661399951642</v>
      </c>
      <c r="AK25" s="40">
        <v>43297.474606481483</v>
      </c>
      <c r="AL25" s="50">
        <f t="shared" si="15"/>
        <v>2.3905555555829778</v>
      </c>
      <c r="AM25">
        <v>97.18</v>
      </c>
      <c r="AN25">
        <v>88.22</v>
      </c>
      <c r="AO25" s="32">
        <f t="shared" si="16"/>
        <v>0.13091919668359486</v>
      </c>
      <c r="AP25" s="32">
        <f t="shared" si="17"/>
        <v>0.13650771407556414</v>
      </c>
    </row>
    <row r="26" spans="1:65" x14ac:dyDescent="0.2">
      <c r="A26" s="40">
        <v>43297.481145833335</v>
      </c>
      <c r="B26" s="50">
        <f t="shared" si="0"/>
        <v>2.5475000000442378</v>
      </c>
      <c r="C26">
        <v>20.16</v>
      </c>
      <c r="D26">
        <v>87.24</v>
      </c>
      <c r="E26" s="32">
        <f t="shared" si="1"/>
        <v>2.7159199476654374E-2</v>
      </c>
      <c r="F26" s="32">
        <f t="shared" si="2"/>
        <v>0.13499130555375444</v>
      </c>
      <c r="G26" s="2"/>
      <c r="H26" s="40">
        <v>43297.482002314813</v>
      </c>
      <c r="I26" s="50">
        <f t="shared" si="3"/>
        <v>2.5680555555154569</v>
      </c>
      <c r="J26">
        <v>62731.25</v>
      </c>
      <c r="K26">
        <v>51981.15</v>
      </c>
      <c r="L26" s="32">
        <f t="shared" si="4"/>
        <v>541.52889898832461</v>
      </c>
      <c r="M26" s="32">
        <f t="shared" si="5"/>
        <v>515.40340500300124</v>
      </c>
      <c r="N26" s="2"/>
      <c r="O26" s="40">
        <v>43297.482858796298</v>
      </c>
      <c r="P26" s="50">
        <f t="shared" si="6"/>
        <v>2.588611111161299</v>
      </c>
      <c r="Q26">
        <v>1568.65</v>
      </c>
      <c r="R26">
        <v>2427.17</v>
      </c>
      <c r="S26" s="32">
        <f t="shared" si="7"/>
        <v>1.4885942455094399</v>
      </c>
      <c r="T26" s="32">
        <f t="shared" si="8"/>
        <v>2.6455390787122184</v>
      </c>
      <c r="U26" s="2"/>
      <c r="W26" s="40">
        <v>43297.48883101852</v>
      </c>
      <c r="X26" s="50">
        <f t="shared" si="9"/>
        <v>2.7319444444729015</v>
      </c>
      <c r="Y26">
        <v>0</v>
      </c>
      <c r="Z26">
        <v>1.73</v>
      </c>
      <c r="AA26" s="32">
        <f t="shared" si="10"/>
        <v>0</v>
      </c>
      <c r="AB26" s="32">
        <f t="shared" si="11"/>
        <v>2.6769252476844933E-3</v>
      </c>
      <c r="AD26" s="40">
        <v>43297.490243055552</v>
      </c>
      <c r="AE26" s="50">
        <f t="shared" si="12"/>
        <v>2.7658333332510665</v>
      </c>
      <c r="AF26">
        <v>570.32000000000005</v>
      </c>
      <c r="AG26">
        <v>526.26</v>
      </c>
      <c r="AH26" s="32">
        <f t="shared" si="13"/>
        <v>0.76832513122646451</v>
      </c>
      <c r="AI26" s="32">
        <f t="shared" si="14"/>
        <v>0.81431137621181582</v>
      </c>
      <c r="AK26" s="40">
        <v>43297.491099537037</v>
      </c>
      <c r="AL26" s="50">
        <f t="shared" si="15"/>
        <v>2.7863888888969086</v>
      </c>
      <c r="AM26">
        <v>101.68</v>
      </c>
      <c r="AN26">
        <v>123.28</v>
      </c>
      <c r="AO26" s="32">
        <f t="shared" si="16"/>
        <v>0.13698151799534808</v>
      </c>
      <c r="AP26" s="32">
        <f t="shared" si="17"/>
        <v>0.19075800262112388</v>
      </c>
      <c r="BF26" s="40"/>
      <c r="BG26" s="40"/>
      <c r="BH26" s="40"/>
      <c r="BI26" s="40"/>
      <c r="BJ26" s="40"/>
      <c r="BK26" s="40"/>
      <c r="BL26" s="40"/>
      <c r="BM26" s="40"/>
    </row>
    <row r="27" spans="1:65" x14ac:dyDescent="0.2">
      <c r="A27" s="40">
        <v>43297.49763888889</v>
      </c>
      <c r="B27" s="50">
        <f t="shared" si="0"/>
        <v>2.9433333333581686</v>
      </c>
      <c r="C27">
        <v>19.66</v>
      </c>
      <c r="D27">
        <v>52.93</v>
      </c>
      <c r="E27" s="32">
        <f t="shared" si="1"/>
        <v>2.6485608219792907E-2</v>
      </c>
      <c r="F27" s="32">
        <f t="shared" si="2"/>
        <v>8.1901533734069498E-2</v>
      </c>
      <c r="G27" s="2"/>
      <c r="H27" s="40">
        <v>43297.498495370368</v>
      </c>
      <c r="I27" s="50">
        <f t="shared" si="3"/>
        <v>2.9638888888293877</v>
      </c>
      <c r="J27">
        <v>63256.66</v>
      </c>
      <c r="K27">
        <v>52553.1</v>
      </c>
      <c r="L27" s="32">
        <f t="shared" si="4"/>
        <v>546.06451239978151</v>
      </c>
      <c r="M27" s="32">
        <f t="shared" si="5"/>
        <v>521.0744026144713</v>
      </c>
      <c r="N27" s="2"/>
      <c r="O27" s="40">
        <v>43297.499351851853</v>
      </c>
      <c r="P27" s="50">
        <f t="shared" si="6"/>
        <v>2.9844444444752298</v>
      </c>
      <c r="Q27">
        <v>1459.1</v>
      </c>
      <c r="R27">
        <v>2114.85</v>
      </c>
      <c r="S27" s="32">
        <f t="shared" si="7"/>
        <v>1.384635108929859</v>
      </c>
      <c r="T27" s="32">
        <f t="shared" si="8"/>
        <v>2.3051200866089046</v>
      </c>
      <c r="U27" s="2"/>
      <c r="W27" s="40">
        <v>43297.505324074074</v>
      </c>
      <c r="X27" s="50">
        <f t="shared" si="9"/>
        <v>3.1277777777868323</v>
      </c>
      <c r="Y27">
        <v>0</v>
      </c>
      <c r="Z27">
        <v>0</v>
      </c>
      <c r="AA27" s="32">
        <f t="shared" si="10"/>
        <v>0</v>
      </c>
      <c r="AB27" s="32">
        <f t="shared" si="11"/>
        <v>0</v>
      </c>
      <c r="AD27" s="40">
        <v>43297.506805555553</v>
      </c>
      <c r="AE27" s="50">
        <f t="shared" si="12"/>
        <v>3.1633333332720213</v>
      </c>
      <c r="AF27">
        <v>502.3</v>
      </c>
      <c r="AG27">
        <v>551.44000000000005</v>
      </c>
      <c r="AH27" s="32">
        <f t="shared" si="13"/>
        <v>0.67668977664303043</v>
      </c>
      <c r="AI27" s="32">
        <f t="shared" si="14"/>
        <v>0.85327379108851864</v>
      </c>
      <c r="AK27" s="40">
        <v>43297.507662037038</v>
      </c>
      <c r="AL27" s="50">
        <f t="shared" si="15"/>
        <v>3.1838888889178634</v>
      </c>
      <c r="AM27">
        <v>75.69</v>
      </c>
      <c r="AN27">
        <v>107.16</v>
      </c>
      <c r="AO27" s="32">
        <f t="shared" si="16"/>
        <v>0.10196824446368898</v>
      </c>
      <c r="AP27" s="32">
        <f t="shared" si="17"/>
        <v>0.16581462979298858</v>
      </c>
    </row>
    <row r="28" spans="1:65" x14ac:dyDescent="0.2">
      <c r="A28" s="40">
        <v>43297.514074074075</v>
      </c>
      <c r="B28" s="50">
        <f t="shared" si="0"/>
        <v>3.3377777778077871</v>
      </c>
      <c r="C28">
        <v>25.14</v>
      </c>
      <c r="D28">
        <v>53.92</v>
      </c>
      <c r="E28" s="32">
        <f t="shared" si="1"/>
        <v>3.386816839499459E-2</v>
      </c>
      <c r="F28" s="32">
        <f t="shared" si="2"/>
        <v>8.3433415812224201E-2</v>
      </c>
      <c r="G28" s="2"/>
      <c r="H28" s="40">
        <v>43297.514918981484</v>
      </c>
      <c r="I28" s="50">
        <f t="shared" si="3"/>
        <v>3.3580555556109175</v>
      </c>
      <c r="J28">
        <v>63122.27</v>
      </c>
      <c r="K28">
        <v>52944.35</v>
      </c>
      <c r="L28" s="32">
        <f t="shared" si="4"/>
        <v>544.90438776118367</v>
      </c>
      <c r="M28" s="32">
        <f t="shared" si="5"/>
        <v>524.95372391089165</v>
      </c>
      <c r="N28" s="2"/>
      <c r="O28" s="40">
        <v>43297.515775462962</v>
      </c>
      <c r="P28" s="50">
        <f t="shared" si="6"/>
        <v>3.3786111110821366</v>
      </c>
      <c r="Q28">
        <v>1351</v>
      </c>
      <c r="R28">
        <v>1739.4</v>
      </c>
      <c r="S28" s="32">
        <f t="shared" si="7"/>
        <v>1.282051971875978</v>
      </c>
      <c r="T28" s="32">
        <f t="shared" si="8"/>
        <v>1.8958913769995644</v>
      </c>
      <c r="U28" s="2"/>
      <c r="W28" s="40">
        <v>43297.521747685183</v>
      </c>
      <c r="X28" s="50">
        <f t="shared" si="9"/>
        <v>3.5219444443937391</v>
      </c>
      <c r="Y28">
        <v>8.69</v>
      </c>
      <c r="Z28">
        <v>12</v>
      </c>
      <c r="AA28" s="32">
        <f t="shared" si="10"/>
        <v>1.1707016044252307E-2</v>
      </c>
      <c r="AB28" s="32">
        <f t="shared" si="11"/>
        <v>1.8568267613996485E-2</v>
      </c>
      <c r="AD28" s="40">
        <v>43297.523159722223</v>
      </c>
      <c r="AE28" s="50">
        <f t="shared" si="12"/>
        <v>3.5558333333465271</v>
      </c>
      <c r="AF28">
        <v>523.78</v>
      </c>
      <c r="AG28">
        <v>564.85</v>
      </c>
      <c r="AH28" s="32">
        <f t="shared" si="13"/>
        <v>0.70562725703779905</v>
      </c>
      <c r="AI28" s="32">
        <f t="shared" si="14"/>
        <v>0.87402383014715956</v>
      </c>
      <c r="AK28" s="40">
        <v>43297.524016203701</v>
      </c>
      <c r="AL28" s="50">
        <f t="shared" si="15"/>
        <v>3.5763888888177462</v>
      </c>
      <c r="AM28">
        <v>103.66</v>
      </c>
      <c r="AN28">
        <v>138.27000000000001</v>
      </c>
      <c r="AO28" s="32">
        <f t="shared" si="16"/>
        <v>0.13964893937251946</v>
      </c>
      <c r="AP28" s="32">
        <f t="shared" si="17"/>
        <v>0.21395286358227453</v>
      </c>
    </row>
    <row r="29" spans="1:65" x14ac:dyDescent="0.2">
      <c r="A29" s="40">
        <v>43297.530555555553</v>
      </c>
      <c r="B29" s="50">
        <f t="shared" si="0"/>
        <v>3.7333333332790062</v>
      </c>
      <c r="C29">
        <v>17.66</v>
      </c>
      <c r="D29">
        <v>42.84</v>
      </c>
      <c r="E29" s="32">
        <f t="shared" si="1"/>
        <v>2.3791243192347038E-2</v>
      </c>
      <c r="F29" s="32">
        <f t="shared" si="2"/>
        <v>6.6288715381967456E-2</v>
      </c>
      <c r="G29" s="2"/>
      <c r="H29" s="40">
        <v>43297.531412037039</v>
      </c>
      <c r="I29" s="50">
        <f t="shared" si="3"/>
        <v>3.7538888889248483</v>
      </c>
      <c r="J29">
        <v>62685.01</v>
      </c>
      <c r="K29">
        <v>53527.49</v>
      </c>
      <c r="L29" s="32">
        <f t="shared" si="4"/>
        <v>541.12973116862997</v>
      </c>
      <c r="M29" s="32">
        <f t="shared" si="5"/>
        <v>530.73567259023889</v>
      </c>
      <c r="N29" s="2"/>
      <c r="O29" s="40">
        <v>43297.532268518517</v>
      </c>
      <c r="P29" s="50">
        <f t="shared" si="6"/>
        <v>3.7744444443960674</v>
      </c>
      <c r="Q29">
        <v>1406.54</v>
      </c>
      <c r="R29">
        <v>1535.72</v>
      </c>
      <c r="S29" s="32">
        <f t="shared" si="7"/>
        <v>1.3347574985362236</v>
      </c>
      <c r="T29" s="32">
        <f t="shared" si="8"/>
        <v>1.6738865732354669</v>
      </c>
      <c r="U29" s="2"/>
      <c r="W29" s="40">
        <v>43297.538240740738</v>
      </c>
      <c r="X29" s="50">
        <f t="shared" si="9"/>
        <v>3.9177777777076699</v>
      </c>
      <c r="Y29">
        <v>7.16</v>
      </c>
      <c r="Z29">
        <v>12.45</v>
      </c>
      <c r="AA29" s="32">
        <f t="shared" si="10"/>
        <v>9.645826798256216E-3</v>
      </c>
      <c r="AB29" s="32">
        <f t="shared" si="11"/>
        <v>1.9264577649521351E-2</v>
      </c>
      <c r="AD29" s="40">
        <v>43297.539652777778</v>
      </c>
      <c r="AE29" s="50">
        <f t="shared" si="12"/>
        <v>3.9516666666604578</v>
      </c>
      <c r="AF29">
        <v>525.6</v>
      </c>
      <c r="AG29">
        <v>565.45000000000005</v>
      </c>
      <c r="AH29" s="32">
        <f t="shared" si="13"/>
        <v>0.70807912921277483</v>
      </c>
      <c r="AI29" s="32">
        <f t="shared" si="14"/>
        <v>0.8749522435278595</v>
      </c>
      <c r="AK29" s="40">
        <v>43297.540509259263</v>
      </c>
      <c r="AL29" s="50">
        <f t="shared" si="15"/>
        <v>3.9722222223063</v>
      </c>
      <c r="AM29">
        <v>99.16</v>
      </c>
      <c r="AN29">
        <v>89.21</v>
      </c>
      <c r="AO29" s="32">
        <f t="shared" si="16"/>
        <v>0.13358661806076627</v>
      </c>
      <c r="AP29" s="32">
        <f t="shared" si="17"/>
        <v>0.13803959615371886</v>
      </c>
      <c r="BF29" s="40"/>
      <c r="BG29" s="40"/>
      <c r="BH29" s="40"/>
      <c r="BI29" s="40"/>
      <c r="BJ29" s="40"/>
      <c r="BK29" s="40"/>
      <c r="BL29" s="40"/>
      <c r="BM29" s="40"/>
    </row>
    <row r="30" spans="1:65" x14ac:dyDescent="0.2">
      <c r="A30" s="40">
        <v>43297.5471412037</v>
      </c>
      <c r="B30" s="50">
        <f t="shared" si="0"/>
        <v>4.1313888888107613</v>
      </c>
      <c r="C30">
        <v>19.16</v>
      </c>
      <c r="D30">
        <v>45.86</v>
      </c>
      <c r="E30" s="32">
        <f t="shared" si="1"/>
        <v>2.581201696293144E-2</v>
      </c>
      <c r="F30" s="32">
        <f t="shared" si="2"/>
        <v>7.0961729398156564E-2</v>
      </c>
      <c r="G30" s="2"/>
      <c r="H30" s="40">
        <v>43297.547997685186</v>
      </c>
      <c r="I30" s="50">
        <f t="shared" si="3"/>
        <v>4.1519444444566034</v>
      </c>
      <c r="J30">
        <v>63077.22</v>
      </c>
      <c r="K30">
        <v>54206.84</v>
      </c>
      <c r="L30" s="32">
        <f t="shared" si="4"/>
        <v>544.51549264273115</v>
      </c>
      <c r="M30" s="32">
        <f t="shared" si="5"/>
        <v>537.471562488573</v>
      </c>
      <c r="N30" s="2"/>
      <c r="O30" s="40">
        <v>43297.548854166664</v>
      </c>
      <c r="P30" s="50">
        <f t="shared" si="6"/>
        <v>4.1724999999278225</v>
      </c>
      <c r="Q30">
        <v>1322.44</v>
      </c>
      <c r="R30">
        <v>1381.04</v>
      </c>
      <c r="S30" s="32">
        <f t="shared" si="7"/>
        <v>1.2549495260456465</v>
      </c>
      <c r="T30" s="32">
        <f t="shared" si="8"/>
        <v>1.5052902307068403</v>
      </c>
      <c r="U30" s="2"/>
      <c r="W30" s="40">
        <v>43297.554826388892</v>
      </c>
      <c r="X30" s="50">
        <f t="shared" si="9"/>
        <v>4.315833333414048</v>
      </c>
      <c r="Y30">
        <v>0</v>
      </c>
      <c r="Z30">
        <v>0</v>
      </c>
      <c r="AA30" s="32">
        <f t="shared" si="10"/>
        <v>0</v>
      </c>
      <c r="AB30" s="32">
        <f t="shared" si="11"/>
        <v>0</v>
      </c>
      <c r="AD30" s="40">
        <v>43297.55609953704</v>
      </c>
      <c r="AE30" s="50">
        <f t="shared" si="12"/>
        <v>4.346388888952788</v>
      </c>
      <c r="AF30">
        <v>539.72</v>
      </c>
      <c r="AG30">
        <v>467.55</v>
      </c>
      <c r="AH30" s="32">
        <f t="shared" si="13"/>
        <v>0.72710134630654266</v>
      </c>
      <c r="AI30" s="32">
        <f t="shared" si="14"/>
        <v>0.72346612691033807</v>
      </c>
      <c r="AK30" s="40">
        <v>43297.556956018518</v>
      </c>
      <c r="AL30" s="50">
        <f t="shared" si="15"/>
        <v>4.3669444444240071</v>
      </c>
      <c r="AM30">
        <v>87.7</v>
      </c>
      <c r="AN30">
        <v>94.98</v>
      </c>
      <c r="AO30" s="32">
        <f t="shared" si="16"/>
        <v>0.11814790645350144</v>
      </c>
      <c r="AP30" s="32">
        <f t="shared" si="17"/>
        <v>0.14696783816478221</v>
      </c>
    </row>
    <row r="31" spans="1:65" x14ac:dyDescent="0.2">
      <c r="A31" s="40">
        <v>43297.563506944447</v>
      </c>
      <c r="B31" s="50">
        <f t="shared" si="0"/>
        <v>4.5241666667279787</v>
      </c>
      <c r="C31">
        <v>7.68</v>
      </c>
      <c r="D31">
        <v>18.61</v>
      </c>
      <c r="E31" s="32">
        <f t="shared" si="1"/>
        <v>1.0346361705392142E-2</v>
      </c>
      <c r="F31" s="32">
        <f t="shared" si="2"/>
        <v>2.8796288358039546E-2</v>
      </c>
      <c r="G31" s="2"/>
      <c r="H31" s="40">
        <v>43297.564363425925</v>
      </c>
      <c r="I31" s="50">
        <f t="shared" si="3"/>
        <v>4.5447222221991979</v>
      </c>
      <c r="J31">
        <v>62553.82</v>
      </c>
      <c r="K31">
        <v>53199.79</v>
      </c>
      <c r="L31" s="32">
        <f t="shared" si="4"/>
        <v>539.99723060059921</v>
      </c>
      <c r="M31" s="32">
        <f t="shared" si="5"/>
        <v>527.48646213953737</v>
      </c>
      <c r="N31" s="2"/>
      <c r="O31" s="40">
        <v>43297.56521990741</v>
      </c>
      <c r="P31" s="50">
        <f t="shared" si="6"/>
        <v>4.56527777784504</v>
      </c>
      <c r="Q31">
        <v>1337.51</v>
      </c>
      <c r="R31">
        <v>1223.4000000000001</v>
      </c>
      <c r="S31" s="32">
        <f t="shared" si="7"/>
        <v>1.2692504314610211</v>
      </c>
      <c r="T31" s="32">
        <f t="shared" si="8"/>
        <v>1.3334675811321532</v>
      </c>
      <c r="U31" s="2"/>
      <c r="W31" s="40">
        <v>43297.571192129632</v>
      </c>
      <c r="X31" s="50">
        <f t="shared" si="9"/>
        <v>4.7086111111566424</v>
      </c>
      <c r="Y31">
        <v>0</v>
      </c>
      <c r="Z31">
        <v>0</v>
      </c>
      <c r="AA31" s="32">
        <f t="shared" si="10"/>
        <v>0</v>
      </c>
      <c r="AB31" s="32">
        <f t="shared" si="11"/>
        <v>0</v>
      </c>
      <c r="AD31" s="40">
        <v>43297.572627314818</v>
      </c>
      <c r="AE31" s="50">
        <f t="shared" si="12"/>
        <v>4.7430555556202307</v>
      </c>
      <c r="AF31">
        <v>567.25</v>
      </c>
      <c r="AG31">
        <v>523.29</v>
      </c>
      <c r="AH31" s="32">
        <f t="shared" si="13"/>
        <v>0.76418928090933513</v>
      </c>
      <c r="AI31" s="32">
        <f t="shared" si="14"/>
        <v>0.80971572997735175</v>
      </c>
      <c r="AK31" s="40">
        <v>43297.573483796295</v>
      </c>
      <c r="AL31" s="50">
        <f t="shared" si="15"/>
        <v>4.7636111110914499</v>
      </c>
      <c r="AM31">
        <v>96.18</v>
      </c>
      <c r="AN31">
        <v>85.76</v>
      </c>
      <c r="AO31" s="32">
        <f t="shared" si="16"/>
        <v>0.12957201416987194</v>
      </c>
      <c r="AP31" s="32">
        <f t="shared" si="17"/>
        <v>0.13270121921469488</v>
      </c>
    </row>
    <row r="32" spans="1:65" x14ac:dyDescent="0.2">
      <c r="A32" s="40">
        <v>43297.580034722225</v>
      </c>
      <c r="B32" s="50">
        <f t="shared" si="0"/>
        <v>4.9208333333954215</v>
      </c>
      <c r="C32">
        <v>12.17</v>
      </c>
      <c r="D32">
        <v>25.68</v>
      </c>
      <c r="E32" s="32">
        <f t="shared" si="1"/>
        <v>1.6395211192008124E-2</v>
      </c>
      <c r="F32" s="32">
        <f t="shared" si="2"/>
        <v>3.9736092693952479E-2</v>
      </c>
      <c r="G32" s="2"/>
      <c r="H32" s="40">
        <v>43297.580891203703</v>
      </c>
      <c r="I32" s="50">
        <f t="shared" si="3"/>
        <v>4.9413888888666406</v>
      </c>
      <c r="J32">
        <v>62468.22</v>
      </c>
      <c r="K32">
        <v>53738.76</v>
      </c>
      <c r="L32" s="32">
        <f t="shared" si="4"/>
        <v>539.25828671292925</v>
      </c>
      <c r="M32" s="32">
        <f t="shared" si="5"/>
        <v>532.83045651431496</v>
      </c>
      <c r="N32" s="2"/>
      <c r="O32" s="40">
        <v>43297.581747685188</v>
      </c>
      <c r="P32" s="50">
        <f t="shared" si="6"/>
        <v>4.9619444445124827</v>
      </c>
      <c r="Q32">
        <v>1343.93</v>
      </c>
      <c r="R32">
        <v>1227.9000000000001</v>
      </c>
      <c r="S32" s="32">
        <f t="shared" si="7"/>
        <v>1.275342787981705</v>
      </c>
      <c r="T32" s="32">
        <f t="shared" si="8"/>
        <v>1.3383724398170433</v>
      </c>
      <c r="U32" s="2"/>
      <c r="W32" s="40">
        <v>43297.587719907409</v>
      </c>
      <c r="X32" s="50">
        <f t="shared" si="9"/>
        <v>5.1052777778240852</v>
      </c>
      <c r="Y32">
        <v>22.16</v>
      </c>
      <c r="Z32">
        <v>5.3</v>
      </c>
      <c r="AA32" s="32">
        <f t="shared" si="10"/>
        <v>2.9853564504100247E-2</v>
      </c>
      <c r="AB32" s="32">
        <f t="shared" si="11"/>
        <v>8.2009848628484486E-3</v>
      </c>
      <c r="AD32" s="40">
        <v>43297.588993055557</v>
      </c>
      <c r="AE32" s="50">
        <f t="shared" si="12"/>
        <v>5.1358333333628252</v>
      </c>
      <c r="AF32">
        <v>602.24</v>
      </c>
      <c r="AG32">
        <v>492.08</v>
      </c>
      <c r="AH32" s="32">
        <f t="shared" si="13"/>
        <v>0.81132719706450063</v>
      </c>
      <c r="AI32" s="32">
        <f t="shared" si="14"/>
        <v>0.76142276062461578</v>
      </c>
      <c r="AK32" s="40">
        <v>43297.589849537035</v>
      </c>
      <c r="AL32" s="50">
        <f t="shared" si="15"/>
        <v>5.1563888888340443</v>
      </c>
      <c r="AM32">
        <v>115.18</v>
      </c>
      <c r="AN32">
        <v>110.4</v>
      </c>
      <c r="AO32" s="32">
        <f t="shared" si="16"/>
        <v>0.1551684819306077</v>
      </c>
      <c r="AP32" s="32">
        <f t="shared" si="17"/>
        <v>0.17082806204876766</v>
      </c>
      <c r="BF32" s="40"/>
      <c r="BG32" s="40"/>
      <c r="BH32" s="40"/>
      <c r="BI32" s="40"/>
      <c r="BJ32" s="40"/>
      <c r="BK32" s="40"/>
      <c r="BL32" s="40"/>
      <c r="BM32" s="40"/>
    </row>
    <row r="33" spans="1:65" x14ac:dyDescent="0.2">
      <c r="A33" s="40">
        <v>43297.596400462964</v>
      </c>
      <c r="B33" s="50">
        <f t="shared" si="0"/>
        <v>5.313611111138016</v>
      </c>
      <c r="C33">
        <v>29.65</v>
      </c>
      <c r="D33">
        <v>16.41</v>
      </c>
      <c r="E33" s="32">
        <f t="shared" si="1"/>
        <v>3.9943961531885029E-2</v>
      </c>
      <c r="F33" s="32">
        <f t="shared" si="2"/>
        <v>2.5392105962140196E-2</v>
      </c>
      <c r="G33" s="2"/>
      <c r="H33" s="40">
        <v>43297.597256944442</v>
      </c>
      <c r="I33" s="50">
        <f t="shared" si="3"/>
        <v>5.3341666666092351</v>
      </c>
      <c r="J33">
        <v>62964.81</v>
      </c>
      <c r="K33">
        <v>53289.89</v>
      </c>
      <c r="L33" s="32">
        <f t="shared" si="4"/>
        <v>543.54511083884108</v>
      </c>
      <c r="M33" s="32">
        <f t="shared" si="5"/>
        <v>528.37982149751178</v>
      </c>
      <c r="N33" s="2"/>
      <c r="O33" s="40">
        <v>43297.598113425927</v>
      </c>
      <c r="P33" s="50">
        <f t="shared" si="6"/>
        <v>5.3547222222550772</v>
      </c>
      <c r="Q33">
        <v>1317.92</v>
      </c>
      <c r="R33">
        <v>1102.02</v>
      </c>
      <c r="S33" s="32">
        <f t="shared" si="7"/>
        <v>1.2506602033862244</v>
      </c>
      <c r="T33" s="32">
        <f t="shared" si="8"/>
        <v>1.2011671928717143</v>
      </c>
      <c r="U33" s="2"/>
      <c r="W33" s="40">
        <v>43297.604085648149</v>
      </c>
      <c r="X33" s="50">
        <f t="shared" si="9"/>
        <v>5.4980555555666797</v>
      </c>
      <c r="Y33">
        <v>14.69</v>
      </c>
      <c r="Z33">
        <v>5.3</v>
      </c>
      <c r="AA33" s="32">
        <f t="shared" si="10"/>
        <v>1.9790111126589918E-2</v>
      </c>
      <c r="AB33" s="32">
        <f t="shared" si="11"/>
        <v>8.2009848628484486E-3</v>
      </c>
      <c r="AD33" s="40">
        <v>43297.605509259258</v>
      </c>
      <c r="AE33" s="50">
        <f t="shared" si="12"/>
        <v>5.5322222221875563</v>
      </c>
      <c r="AF33">
        <v>575.64</v>
      </c>
      <c r="AG33">
        <v>532.63</v>
      </c>
      <c r="AH33" s="32">
        <f t="shared" si="13"/>
        <v>0.77549214219947049</v>
      </c>
      <c r="AI33" s="32">
        <f t="shared" si="14"/>
        <v>0.82416803160357899</v>
      </c>
      <c r="AK33" s="40">
        <v>43297.606365740743</v>
      </c>
      <c r="AL33" s="50">
        <f t="shared" si="15"/>
        <v>5.5527777778333984</v>
      </c>
      <c r="AM33">
        <v>120.7</v>
      </c>
      <c r="AN33">
        <v>88.25</v>
      </c>
      <c r="AO33" s="32">
        <f t="shared" si="16"/>
        <v>0.16260492940635829</v>
      </c>
      <c r="AP33" s="32">
        <f t="shared" si="17"/>
        <v>0.13655413474459915</v>
      </c>
    </row>
    <row r="34" spans="1:65" x14ac:dyDescent="0.2">
      <c r="A34" s="40">
        <v>43297.612905092596</v>
      </c>
      <c r="B34" s="50">
        <f t="shared" si="0"/>
        <v>5.7097222222946584</v>
      </c>
      <c r="C34">
        <v>33.65</v>
      </c>
      <c r="D34">
        <v>16.600000000000001</v>
      </c>
      <c r="E34" s="32">
        <f t="shared" si="1"/>
        <v>4.5332691586776774E-2</v>
      </c>
      <c r="F34" s="32">
        <f t="shared" si="2"/>
        <v>2.568610353269514E-2</v>
      </c>
      <c r="G34" s="2"/>
      <c r="H34" s="40">
        <v>43297.613761574074</v>
      </c>
      <c r="I34" s="50">
        <f t="shared" si="3"/>
        <v>5.7302777777658775</v>
      </c>
      <c r="J34">
        <v>63105.32</v>
      </c>
      <c r="K34">
        <v>53797.51</v>
      </c>
      <c r="L34" s="32">
        <f t="shared" si="4"/>
        <v>544.7580665123985</v>
      </c>
      <c r="M34" s="32">
        <f t="shared" si="5"/>
        <v>533.4129744086656</v>
      </c>
      <c r="N34" s="2"/>
      <c r="O34" s="40">
        <v>43297.614618055559</v>
      </c>
      <c r="P34" s="50">
        <f t="shared" si="6"/>
        <v>5.7508333334117197</v>
      </c>
      <c r="Q34">
        <v>1198.07</v>
      </c>
      <c r="R34">
        <v>1099.43</v>
      </c>
      <c r="S34" s="32">
        <f t="shared" si="7"/>
        <v>1.1369267253482258</v>
      </c>
      <c r="T34" s="32">
        <f t="shared" si="8"/>
        <v>1.1983441742064109</v>
      </c>
      <c r="U34" s="2"/>
      <c r="W34" s="40">
        <v>43297.62059027778</v>
      </c>
      <c r="X34" s="50">
        <f t="shared" si="9"/>
        <v>5.8941666667233221</v>
      </c>
      <c r="Y34">
        <v>10.69</v>
      </c>
      <c r="Z34">
        <v>3.89</v>
      </c>
      <c r="AA34" s="32">
        <f t="shared" si="10"/>
        <v>1.4401381071698178E-2</v>
      </c>
      <c r="AB34" s="32">
        <f t="shared" si="11"/>
        <v>6.0192134182038611E-3</v>
      </c>
      <c r="AD34" s="40">
        <v>43297.621724537035</v>
      </c>
      <c r="AE34" s="50">
        <f t="shared" si="12"/>
        <v>5.9213888888480142</v>
      </c>
      <c r="AF34">
        <v>568.26</v>
      </c>
      <c r="AG34">
        <v>591.79</v>
      </c>
      <c r="AH34" s="32">
        <f t="shared" si="13"/>
        <v>0.76554993524819515</v>
      </c>
      <c r="AI34" s="32">
        <f t="shared" si="14"/>
        <v>0.91570959094058157</v>
      </c>
      <c r="AK34" s="40">
        <v>43297.622581018521</v>
      </c>
      <c r="AL34" s="50">
        <f t="shared" si="15"/>
        <v>5.9419444444938563</v>
      </c>
      <c r="AM34">
        <v>109.18</v>
      </c>
      <c r="AN34">
        <v>72.75</v>
      </c>
      <c r="AO34" s="32">
        <f t="shared" si="16"/>
        <v>0.14708538684827011</v>
      </c>
      <c r="AP34" s="32">
        <f t="shared" si="17"/>
        <v>0.11257012240985369</v>
      </c>
    </row>
    <row r="35" spans="1:65" x14ac:dyDescent="0.2">
      <c r="A35" s="40">
        <v>43297.628842592596</v>
      </c>
      <c r="B35" s="50">
        <f t="shared" si="0"/>
        <v>6.0922222223016433</v>
      </c>
      <c r="C35">
        <v>16.149999999999999</v>
      </c>
      <c r="D35">
        <v>15.58</v>
      </c>
      <c r="E35" s="32">
        <f t="shared" si="1"/>
        <v>2.1756997596625402E-2</v>
      </c>
      <c r="F35" s="32">
        <f t="shared" si="2"/>
        <v>2.4107800785505437E-2</v>
      </c>
      <c r="G35" s="2"/>
      <c r="H35" s="40">
        <v>43297.629699074074</v>
      </c>
      <c r="I35" s="50">
        <f t="shared" si="3"/>
        <v>6.1127777777728625</v>
      </c>
      <c r="J35">
        <v>62867.519999999997</v>
      </c>
      <c r="K35">
        <v>53557.88</v>
      </c>
      <c r="L35" s="32">
        <f t="shared" si="4"/>
        <v>542.70525276838055</v>
      </c>
      <c r="M35" s="32">
        <f t="shared" si="5"/>
        <v>531.03699546358894</v>
      </c>
      <c r="N35" s="2"/>
      <c r="O35" s="40">
        <v>43297.630555555559</v>
      </c>
      <c r="P35" s="50">
        <f t="shared" si="6"/>
        <v>6.1333333334187046</v>
      </c>
      <c r="Q35">
        <v>1208.92</v>
      </c>
      <c r="R35">
        <v>1080.17</v>
      </c>
      <c r="S35" s="32">
        <f t="shared" si="7"/>
        <v>1.1472229976612194</v>
      </c>
      <c r="T35" s="32">
        <f t="shared" si="8"/>
        <v>1.1773513790350807</v>
      </c>
      <c r="U35" s="2"/>
      <c r="W35" s="40">
        <v>43297.63652777778</v>
      </c>
      <c r="X35" s="50">
        <f t="shared" si="9"/>
        <v>6.276666666730307</v>
      </c>
      <c r="Y35">
        <v>4.6900000000000004</v>
      </c>
      <c r="Z35">
        <v>7.69</v>
      </c>
      <c r="AA35" s="32">
        <f t="shared" si="10"/>
        <v>6.3182859893605664E-3</v>
      </c>
      <c r="AB35" s="32">
        <f t="shared" si="11"/>
        <v>1.1899164829302748E-2</v>
      </c>
      <c r="AD35" s="40">
        <v>43297.638055555559</v>
      </c>
      <c r="AE35" s="50">
        <f t="shared" si="12"/>
        <v>6.3133333334117197</v>
      </c>
      <c r="AF35">
        <v>552.74</v>
      </c>
      <c r="AG35">
        <v>557.38</v>
      </c>
      <c r="AH35" s="32">
        <f t="shared" si="13"/>
        <v>0.74464166263521525</v>
      </c>
      <c r="AI35" s="32">
        <f t="shared" si="14"/>
        <v>0.86246508355744678</v>
      </c>
      <c r="AK35" s="40">
        <v>43297.63890046296</v>
      </c>
      <c r="AL35" s="50">
        <f t="shared" si="15"/>
        <v>6.3336111110402271</v>
      </c>
      <c r="AM35">
        <v>114.73</v>
      </c>
      <c r="AN35">
        <v>103.27</v>
      </c>
      <c r="AO35" s="32">
        <f t="shared" si="16"/>
        <v>0.15456224979943237</v>
      </c>
      <c r="AP35" s="32">
        <f t="shared" si="17"/>
        <v>0.15979541637478475</v>
      </c>
      <c r="BF35" s="40"/>
      <c r="BG35" s="40"/>
      <c r="BH35" s="40"/>
      <c r="BI35" s="40"/>
      <c r="BJ35" s="40"/>
      <c r="BK35" s="40"/>
      <c r="BL35" s="40"/>
      <c r="BM35" s="40"/>
    </row>
    <row r="36" spans="1:65" x14ac:dyDescent="0.2">
      <c r="A36" s="40">
        <v>43297.645312499997</v>
      </c>
      <c r="B36" s="50">
        <f t="shared" si="0"/>
        <v>6.4874999999301508</v>
      </c>
      <c r="C36">
        <v>21.16</v>
      </c>
      <c r="D36">
        <v>12.18</v>
      </c>
      <c r="E36" s="32">
        <f t="shared" si="1"/>
        <v>2.8506381990377309E-2</v>
      </c>
      <c r="F36" s="32">
        <f t="shared" si="2"/>
        <v>1.8846791628206433E-2</v>
      </c>
      <c r="G36" s="2"/>
      <c r="H36" s="40">
        <v>43297.646168981482</v>
      </c>
      <c r="I36" s="50">
        <f t="shared" si="3"/>
        <v>6.5080555555759929</v>
      </c>
      <c r="J36">
        <v>62351.41</v>
      </c>
      <c r="K36">
        <v>53789.21</v>
      </c>
      <c r="L36" s="32">
        <f t="shared" si="4"/>
        <v>538.24992181200946</v>
      </c>
      <c r="M36" s="32">
        <f t="shared" si="5"/>
        <v>533.33067826359138</v>
      </c>
      <c r="N36" s="2"/>
      <c r="O36" s="40">
        <v>43297.647013888891</v>
      </c>
      <c r="P36" s="50">
        <f t="shared" si="6"/>
        <v>6.5283333333791234</v>
      </c>
      <c r="Q36">
        <v>1238.83</v>
      </c>
      <c r="R36">
        <v>1052.93</v>
      </c>
      <c r="S36" s="32">
        <f t="shared" si="7"/>
        <v>1.1756065464982366</v>
      </c>
      <c r="T36" s="32">
        <f t="shared" si="8"/>
        <v>1.1476606344625453</v>
      </c>
      <c r="U36" s="2"/>
      <c r="W36" s="40">
        <v>43297.652997685182</v>
      </c>
      <c r="X36" s="50">
        <f t="shared" si="9"/>
        <v>6.6719444443588145</v>
      </c>
      <c r="Y36">
        <v>4.17</v>
      </c>
      <c r="Z36">
        <v>0</v>
      </c>
      <c r="AA36" s="32">
        <f t="shared" si="10"/>
        <v>5.6177510822246401E-3</v>
      </c>
      <c r="AB36" s="32">
        <f t="shared" si="11"/>
        <v>0</v>
      </c>
      <c r="AD36" s="40">
        <v>43297.654409722221</v>
      </c>
      <c r="AE36" s="50">
        <f t="shared" si="12"/>
        <v>6.7058333333116025</v>
      </c>
      <c r="AF36">
        <v>575.23</v>
      </c>
      <c r="AG36">
        <v>483.68</v>
      </c>
      <c r="AH36" s="32">
        <f t="shared" si="13"/>
        <v>0.77493979736884411</v>
      </c>
      <c r="AI36" s="32">
        <f t="shared" si="14"/>
        <v>0.74842497329481827</v>
      </c>
      <c r="AK36" s="40">
        <v>43297.65525462963</v>
      </c>
      <c r="AL36" s="50">
        <f t="shared" si="15"/>
        <v>6.7261111111147329</v>
      </c>
      <c r="AM36">
        <v>94.18</v>
      </c>
      <c r="AN36">
        <v>106.26</v>
      </c>
      <c r="AO36" s="32">
        <f t="shared" si="16"/>
        <v>0.12687764914242605</v>
      </c>
      <c r="AP36" s="32">
        <f t="shared" si="17"/>
        <v>0.16442200972193888</v>
      </c>
    </row>
    <row r="37" spans="1:65" x14ac:dyDescent="0.2">
      <c r="A37" s="40">
        <v>43297.661793981482</v>
      </c>
      <c r="B37" s="50">
        <f t="shared" si="0"/>
        <v>6.8830555555759929</v>
      </c>
      <c r="C37">
        <v>5.67</v>
      </c>
      <c r="D37">
        <v>16.600000000000001</v>
      </c>
      <c r="E37" s="32">
        <f t="shared" si="1"/>
        <v>7.6385248528090428E-3</v>
      </c>
      <c r="F37" s="32">
        <f t="shared" si="2"/>
        <v>2.568610353269514E-2</v>
      </c>
      <c r="G37" s="2"/>
      <c r="H37" s="40">
        <v>43297.66265046296</v>
      </c>
      <c r="I37" s="50">
        <f t="shared" si="3"/>
        <v>6.903611111047212</v>
      </c>
      <c r="J37">
        <v>62575.88</v>
      </c>
      <c r="K37">
        <v>53246.09</v>
      </c>
      <c r="L37" s="32">
        <f t="shared" si="4"/>
        <v>540.18766403707116</v>
      </c>
      <c r="M37" s="32">
        <f t="shared" si="5"/>
        <v>527.94553581627679</v>
      </c>
      <c r="N37" s="2"/>
      <c r="O37" s="40">
        <v>43297.663506944446</v>
      </c>
      <c r="P37" s="50">
        <f t="shared" si="6"/>
        <v>6.9241666666930541</v>
      </c>
      <c r="Q37">
        <v>1224.67</v>
      </c>
      <c r="R37">
        <v>1069.8800000000001</v>
      </c>
      <c r="S37" s="32">
        <f t="shared" ref="S37:S56" si="18">(Q37/$B$5)/$Q$18</f>
        <v>1.1621691994058876</v>
      </c>
      <c r="T37" s="32">
        <f t="shared" ref="T37:T56" si="19">(R37/$C$5)/$Q$18</f>
        <v>1.1661356021756319</v>
      </c>
      <c r="U37" s="2"/>
      <c r="W37" s="40">
        <v>43297.669479166667</v>
      </c>
      <c r="X37" s="50">
        <f t="shared" si="9"/>
        <v>7.0675000000046566</v>
      </c>
      <c r="Y37">
        <v>0</v>
      </c>
      <c r="Z37">
        <v>2.46</v>
      </c>
      <c r="AA37" s="32">
        <f t="shared" si="10"/>
        <v>0</v>
      </c>
      <c r="AB37" s="32">
        <f t="shared" si="11"/>
        <v>3.8064948608692796E-3</v>
      </c>
      <c r="AD37" s="40">
        <v>43297.670891203707</v>
      </c>
      <c r="AE37" s="50">
        <f t="shared" si="12"/>
        <v>7.1013888889574446</v>
      </c>
      <c r="AF37">
        <v>527.26</v>
      </c>
      <c r="AG37">
        <v>535.32000000000005</v>
      </c>
      <c r="AH37" s="32">
        <f t="shared" si="13"/>
        <v>0.71031545218555492</v>
      </c>
      <c r="AI37" s="32">
        <f t="shared" si="14"/>
        <v>0.82833041826038323</v>
      </c>
      <c r="AK37" s="40">
        <v>43297.671747685185</v>
      </c>
      <c r="AL37" s="50">
        <f t="shared" si="15"/>
        <v>7.1219444444286637</v>
      </c>
      <c r="AM37">
        <v>105.71</v>
      </c>
      <c r="AN37">
        <v>94.48</v>
      </c>
      <c r="AO37" s="32">
        <f t="shared" si="16"/>
        <v>0.14241066352565146</v>
      </c>
      <c r="AP37" s="32">
        <f t="shared" si="17"/>
        <v>0.14619416034753233</v>
      </c>
    </row>
    <row r="38" spans="1:65" x14ac:dyDescent="0.2">
      <c r="A38" s="40">
        <v>43297.678287037037</v>
      </c>
      <c r="B38" s="50">
        <f t="shared" si="0"/>
        <v>7.2788888888899237</v>
      </c>
      <c r="C38">
        <v>12.66</v>
      </c>
      <c r="D38">
        <v>15.59</v>
      </c>
      <c r="E38" s="32">
        <f t="shared" si="1"/>
        <v>1.7055330623732361E-2</v>
      </c>
      <c r="F38" s="32">
        <f t="shared" si="2"/>
        <v>2.4123274341850433E-2</v>
      </c>
      <c r="G38" s="2"/>
      <c r="H38" s="40">
        <v>43297.679143518515</v>
      </c>
      <c r="I38" s="50">
        <f t="shared" si="3"/>
        <v>7.2994444443611428</v>
      </c>
      <c r="J38">
        <v>62890.31</v>
      </c>
      <c r="K38">
        <v>53550.12</v>
      </c>
      <c r="L38" s="32">
        <f t="shared" si="4"/>
        <v>542.90198794595074</v>
      </c>
      <c r="M38" s="32">
        <f t="shared" si="5"/>
        <v>530.9600535255438</v>
      </c>
      <c r="N38" s="2"/>
      <c r="O38" s="40">
        <v>43297.68</v>
      </c>
      <c r="P38" s="50">
        <f t="shared" si="6"/>
        <v>7.3200000000069849</v>
      </c>
      <c r="Q38">
        <v>1225.04</v>
      </c>
      <c r="R38">
        <v>1105.7</v>
      </c>
      <c r="S38" s="32">
        <f t="shared" si="18"/>
        <v>1.1625203165262386</v>
      </c>
      <c r="T38" s="32">
        <f t="shared" si="19"/>
        <v>1.205178277307358</v>
      </c>
      <c r="U38" s="2"/>
      <c r="W38" s="40">
        <v>43297.685972222222</v>
      </c>
      <c r="X38" s="50">
        <f t="shared" si="9"/>
        <v>7.4633333333185874</v>
      </c>
      <c r="Y38">
        <v>0</v>
      </c>
      <c r="Z38">
        <v>0</v>
      </c>
      <c r="AA38" s="32">
        <f t="shared" si="10"/>
        <v>0</v>
      </c>
      <c r="AB38" s="32">
        <f t="shared" si="11"/>
        <v>0</v>
      </c>
      <c r="AD38" s="40">
        <v>43297.687384259261</v>
      </c>
      <c r="AE38" s="50">
        <f t="shared" si="12"/>
        <v>7.4972222222713754</v>
      </c>
      <c r="AF38">
        <v>514.26</v>
      </c>
      <c r="AG38">
        <v>542.5</v>
      </c>
      <c r="AH38" s="32">
        <f t="shared" si="13"/>
        <v>0.69280207950715678</v>
      </c>
      <c r="AI38" s="32">
        <f t="shared" si="14"/>
        <v>0.83944043171609106</v>
      </c>
      <c r="AK38" s="40">
        <v>43297.688240740739</v>
      </c>
      <c r="AL38" s="50">
        <f t="shared" si="15"/>
        <v>7.5177777777425945</v>
      </c>
      <c r="AM38">
        <v>89.18</v>
      </c>
      <c r="AN38">
        <v>98.24</v>
      </c>
      <c r="AO38" s="32">
        <f t="shared" si="16"/>
        <v>0.12014173657381139</v>
      </c>
      <c r="AP38" s="32">
        <f t="shared" si="17"/>
        <v>0.15201221753325123</v>
      </c>
      <c r="BF38" s="40"/>
      <c r="BG38" s="40"/>
      <c r="BH38" s="40"/>
      <c r="BI38" s="40"/>
      <c r="BJ38" s="40"/>
      <c r="BK38" s="40"/>
      <c r="BL38" s="40"/>
      <c r="BM38" s="40"/>
    </row>
    <row r="39" spans="1:65" x14ac:dyDescent="0.2">
      <c r="A39" s="40">
        <v>43297.694791666669</v>
      </c>
      <c r="B39" s="50">
        <f t="shared" si="0"/>
        <v>7.6750000000465661</v>
      </c>
      <c r="C39">
        <v>15.18</v>
      </c>
      <c r="D39">
        <v>14.57</v>
      </c>
      <c r="E39" s="32">
        <f t="shared" si="1"/>
        <v>2.0450230558314159E-2</v>
      </c>
      <c r="F39" s="32">
        <f t="shared" si="2"/>
        <v>2.2544971594660731E-2</v>
      </c>
      <c r="G39" s="2"/>
      <c r="H39" s="40">
        <v>43297.695648148147</v>
      </c>
      <c r="I39" s="50">
        <f t="shared" si="3"/>
        <v>7.6955555555177853</v>
      </c>
      <c r="J39">
        <v>62244.65</v>
      </c>
      <c r="K39">
        <v>53782.2</v>
      </c>
      <c r="L39" s="32">
        <f t="shared" si="4"/>
        <v>537.32831375771434</v>
      </c>
      <c r="M39" s="32">
        <f t="shared" si="5"/>
        <v>533.26117272419731</v>
      </c>
      <c r="N39" s="2"/>
      <c r="O39" s="40">
        <v>43297.696504629632</v>
      </c>
      <c r="P39" s="50">
        <f t="shared" si="6"/>
        <v>7.7161111111636274</v>
      </c>
      <c r="Q39">
        <v>1244.96</v>
      </c>
      <c r="R39">
        <v>1046.67</v>
      </c>
      <c r="S39" s="32">
        <f t="shared" si="18"/>
        <v>1.1814237031137806</v>
      </c>
      <c r="T39" s="32">
        <f t="shared" si="19"/>
        <v>1.1408374310475649</v>
      </c>
      <c r="U39" s="2"/>
      <c r="W39" s="40">
        <v>43297.702476851853</v>
      </c>
      <c r="X39" s="50">
        <f t="shared" si="9"/>
        <v>7.8594444444752298</v>
      </c>
      <c r="Y39">
        <v>0</v>
      </c>
      <c r="Z39">
        <v>5.3</v>
      </c>
      <c r="AA39" s="32">
        <f t="shared" si="10"/>
        <v>0</v>
      </c>
      <c r="AB39" s="32">
        <f t="shared" si="11"/>
        <v>8.2009848628484486E-3</v>
      </c>
      <c r="AD39" s="40">
        <v>43297.703888888886</v>
      </c>
      <c r="AE39" s="50">
        <f t="shared" si="12"/>
        <v>7.8933333332533948</v>
      </c>
      <c r="AF39">
        <v>519.76</v>
      </c>
      <c r="AG39">
        <v>529.17999999999995</v>
      </c>
      <c r="AH39" s="32">
        <f t="shared" si="13"/>
        <v>0.70021158333263289</v>
      </c>
      <c r="AI39" s="32">
        <f t="shared" si="14"/>
        <v>0.81882965466455493</v>
      </c>
      <c r="AK39" s="40">
        <v>43297.704745370371</v>
      </c>
      <c r="AL39" s="50">
        <f t="shared" si="15"/>
        <v>7.9138888888992369</v>
      </c>
      <c r="AM39">
        <v>85.18</v>
      </c>
      <c r="AN39">
        <v>79.430000000000007</v>
      </c>
      <c r="AO39" s="32">
        <f t="shared" si="16"/>
        <v>0.11475300651891963</v>
      </c>
      <c r="AP39" s="32">
        <f t="shared" si="17"/>
        <v>0.12290645804831174</v>
      </c>
    </row>
    <row r="40" spans="1:65" x14ac:dyDescent="0.2">
      <c r="A40" s="40">
        <v>43297.711296296293</v>
      </c>
      <c r="B40" s="50">
        <f t="shared" si="0"/>
        <v>8.0711111110285856</v>
      </c>
      <c r="C40">
        <v>4.6900000000000004</v>
      </c>
      <c r="D40">
        <v>16.600000000000001</v>
      </c>
      <c r="E40" s="32">
        <f t="shared" si="1"/>
        <v>6.3182859893605664E-3</v>
      </c>
      <c r="F40" s="32">
        <f t="shared" si="2"/>
        <v>2.568610353269514E-2</v>
      </c>
      <c r="G40" s="2"/>
      <c r="H40" s="40">
        <v>43297.712152777778</v>
      </c>
      <c r="I40" s="50">
        <f t="shared" si="3"/>
        <v>8.0916666666744277</v>
      </c>
      <c r="J40">
        <v>62627.35</v>
      </c>
      <c r="K40">
        <v>53783.62</v>
      </c>
      <c r="L40" s="32">
        <f t="shared" si="4"/>
        <v>540.6319799470989</v>
      </c>
      <c r="M40" s="32">
        <f t="shared" si="5"/>
        <v>533.2752523056439</v>
      </c>
      <c r="N40" s="2"/>
      <c r="O40" s="40">
        <v>43297.713009259256</v>
      </c>
      <c r="P40" s="50">
        <f t="shared" si="6"/>
        <v>8.1122222221456468</v>
      </c>
      <c r="Q40">
        <v>1206.3699999999999</v>
      </c>
      <c r="R40">
        <v>1001.22</v>
      </c>
      <c r="S40" s="32">
        <f t="shared" si="18"/>
        <v>1.1448031364263682</v>
      </c>
      <c r="T40" s="32">
        <f t="shared" si="19"/>
        <v>1.0912983583301736</v>
      </c>
      <c r="U40" s="2"/>
      <c r="W40" s="40">
        <v>43297.718981481485</v>
      </c>
      <c r="X40" s="50">
        <f t="shared" si="9"/>
        <v>8.2555555556318723</v>
      </c>
      <c r="Y40">
        <v>0</v>
      </c>
      <c r="Z40">
        <v>0</v>
      </c>
      <c r="AA40" s="32">
        <f t="shared" si="10"/>
        <v>0</v>
      </c>
      <c r="AB40" s="32">
        <f t="shared" si="11"/>
        <v>0</v>
      </c>
      <c r="AD40" s="40">
        <v>43297.720393518517</v>
      </c>
      <c r="AE40" s="50">
        <f t="shared" si="12"/>
        <v>8.2894444444100372</v>
      </c>
      <c r="AF40">
        <v>550.22</v>
      </c>
      <c r="AG40">
        <v>558.70000000000005</v>
      </c>
      <c r="AH40" s="32">
        <f t="shared" si="13"/>
        <v>0.7412467627006335</v>
      </c>
      <c r="AI40" s="32">
        <f t="shared" si="14"/>
        <v>0.86450759299498647</v>
      </c>
      <c r="AK40" s="40">
        <v>43297.721250000002</v>
      </c>
      <c r="AL40" s="50">
        <f t="shared" si="15"/>
        <v>8.3100000000558794</v>
      </c>
      <c r="AM40">
        <v>75.19</v>
      </c>
      <c r="AN40">
        <v>70.69</v>
      </c>
      <c r="AO40" s="32">
        <f t="shared" si="16"/>
        <v>0.10129465320682751</v>
      </c>
      <c r="AP40" s="32">
        <f t="shared" si="17"/>
        <v>0.10938256980278428</v>
      </c>
    </row>
    <row r="41" spans="1:65" x14ac:dyDescent="0.2">
      <c r="A41" s="40">
        <v>43297.727893518517</v>
      </c>
      <c r="B41" s="50">
        <f t="shared" si="0"/>
        <v>8.4694444444030523</v>
      </c>
      <c r="C41">
        <v>16.16</v>
      </c>
      <c r="D41">
        <v>20.64</v>
      </c>
      <c r="E41" s="32">
        <f t="shared" si="1"/>
        <v>2.1770469421762636E-2</v>
      </c>
      <c r="F41" s="32">
        <f t="shared" si="2"/>
        <v>3.1937420296073958E-2</v>
      </c>
      <c r="G41" s="2"/>
      <c r="H41" s="40">
        <v>43297.728738425925</v>
      </c>
      <c r="I41" s="50">
        <f t="shared" si="3"/>
        <v>8.4897222222061828</v>
      </c>
      <c r="J41">
        <v>62409.65</v>
      </c>
      <c r="K41">
        <v>53634.39</v>
      </c>
      <c r="L41" s="32">
        <f t="shared" si="4"/>
        <v>538.75267989633062</v>
      </c>
      <c r="M41" s="32">
        <f t="shared" si="5"/>
        <v>531.79560727800208</v>
      </c>
      <c r="N41" s="2"/>
      <c r="O41" s="40">
        <v>43297.729594907411</v>
      </c>
      <c r="P41" s="50">
        <f t="shared" si="6"/>
        <v>8.5102777778520249</v>
      </c>
      <c r="Q41">
        <v>1230.97</v>
      </c>
      <c r="R41">
        <v>1024.67</v>
      </c>
      <c r="S41" s="32">
        <f t="shared" si="18"/>
        <v>1.1681476801037547</v>
      </c>
      <c r="T41" s="32">
        <f t="shared" si="19"/>
        <v>1.1168581219214349</v>
      </c>
      <c r="U41" s="2"/>
      <c r="W41" s="40">
        <v>43297.735578703701</v>
      </c>
      <c r="X41" s="50">
        <f t="shared" si="9"/>
        <v>8.653888888831716</v>
      </c>
      <c r="Y41">
        <v>0</v>
      </c>
      <c r="Z41">
        <v>2.92</v>
      </c>
      <c r="AA41" s="32">
        <f t="shared" si="10"/>
        <v>0</v>
      </c>
      <c r="AB41" s="32">
        <f t="shared" si="11"/>
        <v>4.5182784527391445E-3</v>
      </c>
      <c r="AD41" s="40">
        <v>43297.736851851849</v>
      </c>
      <c r="AE41" s="50">
        <f t="shared" si="12"/>
        <v>8.684444444370456</v>
      </c>
      <c r="AF41">
        <v>565.72</v>
      </c>
      <c r="AG41">
        <v>557.79</v>
      </c>
      <c r="AH41" s="32">
        <f t="shared" si="13"/>
        <v>0.76212809166333895</v>
      </c>
      <c r="AI41" s="32">
        <f t="shared" si="14"/>
        <v>0.86309949936759156</v>
      </c>
      <c r="AK41" s="40">
        <v>43297.737696759257</v>
      </c>
      <c r="AL41" s="50">
        <f t="shared" si="15"/>
        <v>8.7047222221735865</v>
      </c>
      <c r="AM41">
        <v>75.680000000000007</v>
      </c>
      <c r="AN41">
        <v>97.95</v>
      </c>
      <c r="AO41" s="32">
        <f t="shared" si="16"/>
        <v>0.10195477263855175</v>
      </c>
      <c r="AP41" s="32">
        <f t="shared" si="17"/>
        <v>0.15156348439924633</v>
      </c>
      <c r="BF41" s="40"/>
      <c r="BG41" s="40"/>
      <c r="BH41" s="40"/>
      <c r="BI41" s="40"/>
      <c r="BJ41" s="40"/>
      <c r="BK41" s="40"/>
      <c r="BL41" s="40"/>
      <c r="BM41" s="40"/>
    </row>
    <row r="42" spans="1:65" x14ac:dyDescent="0.2">
      <c r="A42" s="40">
        <v>43297.744247685187</v>
      </c>
      <c r="B42" s="50">
        <f t="shared" si="0"/>
        <v>8.8619444444775581</v>
      </c>
      <c r="C42">
        <v>0</v>
      </c>
      <c r="D42">
        <v>6.51</v>
      </c>
      <c r="E42" s="32">
        <f t="shared" si="1"/>
        <v>0</v>
      </c>
      <c r="F42" s="32">
        <f t="shared" si="2"/>
        <v>1.0073285180593094E-2</v>
      </c>
      <c r="G42" s="2"/>
      <c r="H42" s="40">
        <v>43297.745092592595</v>
      </c>
      <c r="I42" s="50">
        <f t="shared" si="3"/>
        <v>8.8822222222806886</v>
      </c>
      <c r="J42">
        <v>62014.82</v>
      </c>
      <c r="K42">
        <v>53353.85</v>
      </c>
      <c r="L42" s="32">
        <f t="shared" si="4"/>
        <v>535.34430121445268</v>
      </c>
      <c r="M42" s="32">
        <f t="shared" si="5"/>
        <v>529.01399757449337</v>
      </c>
      <c r="N42" s="2"/>
      <c r="O42" s="40">
        <v>43297.745949074073</v>
      </c>
      <c r="P42" s="50">
        <f t="shared" si="6"/>
        <v>8.9027777777519077</v>
      </c>
      <c r="Q42">
        <v>1203.8499999999999</v>
      </c>
      <c r="R42">
        <v>1015.42</v>
      </c>
      <c r="S42" s="32">
        <f t="shared" si="18"/>
        <v>1.1424117441472215</v>
      </c>
      <c r="T42" s="32">
        <f t="shared" si="19"/>
        <v>1.1067759124024936</v>
      </c>
      <c r="U42" s="2"/>
      <c r="W42" s="40">
        <v>43297.751921296294</v>
      </c>
      <c r="X42" s="50">
        <f t="shared" si="9"/>
        <v>9.0461111110635102</v>
      </c>
      <c r="Y42">
        <v>0</v>
      </c>
      <c r="Z42">
        <v>0.54</v>
      </c>
      <c r="AA42" s="32">
        <f t="shared" si="10"/>
        <v>0</v>
      </c>
      <c r="AB42" s="32">
        <f t="shared" si="11"/>
        <v>8.3557204262984185E-4</v>
      </c>
      <c r="AD42" s="40">
        <v>43297.753344907411</v>
      </c>
      <c r="AE42" s="50">
        <f t="shared" si="12"/>
        <v>9.0802777778590098</v>
      </c>
      <c r="AF42">
        <v>548.28</v>
      </c>
      <c r="AG42">
        <v>584.84</v>
      </c>
      <c r="AH42" s="32">
        <f t="shared" si="13"/>
        <v>0.73863322862401093</v>
      </c>
      <c r="AI42" s="32">
        <f t="shared" si="14"/>
        <v>0.90495546928080883</v>
      </c>
      <c r="AK42" s="40">
        <v>43297.754189814812</v>
      </c>
      <c r="AL42" s="50">
        <f t="shared" si="15"/>
        <v>9.1005555554875173</v>
      </c>
      <c r="AM42">
        <v>86.18</v>
      </c>
      <c r="AN42">
        <v>105.76</v>
      </c>
      <c r="AO42" s="32">
        <f t="shared" si="16"/>
        <v>0.11610018903264256</v>
      </c>
      <c r="AP42" s="32">
        <f t="shared" si="17"/>
        <v>0.16364833190468903</v>
      </c>
    </row>
    <row r="43" spans="1:65" x14ac:dyDescent="0.2">
      <c r="A43" s="40">
        <v>43297.760740740741</v>
      </c>
      <c r="B43" s="50">
        <f t="shared" si="0"/>
        <v>9.2577777777914889</v>
      </c>
      <c r="C43">
        <v>20.16</v>
      </c>
      <c r="D43">
        <v>18.62</v>
      </c>
      <c r="E43" s="32">
        <f t="shared" si="1"/>
        <v>2.7159199476654374E-2</v>
      </c>
      <c r="F43" s="32">
        <f t="shared" si="2"/>
        <v>2.8811761914384549E-2</v>
      </c>
      <c r="G43" s="2"/>
      <c r="H43" s="40">
        <v>43297.761597222219</v>
      </c>
      <c r="I43" s="50">
        <f t="shared" si="3"/>
        <v>9.278333333262708</v>
      </c>
      <c r="J43">
        <v>62395.83</v>
      </c>
      <c r="K43">
        <v>53575.39</v>
      </c>
      <c r="L43" s="32">
        <f t="shared" si="4"/>
        <v>538.63337844156899</v>
      </c>
      <c r="M43" s="32">
        <f t="shared" si="5"/>
        <v>531.210610584101</v>
      </c>
      <c r="N43" s="2"/>
      <c r="O43" s="40">
        <v>43297.762453703705</v>
      </c>
      <c r="P43" s="50">
        <f t="shared" si="6"/>
        <v>9.2988888889085501</v>
      </c>
      <c r="Q43">
        <v>1197.95</v>
      </c>
      <c r="R43">
        <v>1063.45</v>
      </c>
      <c r="S43" s="32">
        <f t="shared" si="18"/>
        <v>1.1368128495254093</v>
      </c>
      <c r="T43" s="32">
        <f t="shared" si="19"/>
        <v>1.1591271040992219</v>
      </c>
      <c r="U43" s="2"/>
      <c r="W43" s="40">
        <v>43297.768425925926</v>
      </c>
      <c r="X43" s="50">
        <f t="shared" si="9"/>
        <v>9.4422222222201526</v>
      </c>
      <c r="Y43">
        <v>0</v>
      </c>
      <c r="Z43">
        <v>0</v>
      </c>
      <c r="AA43" s="32">
        <f t="shared" si="10"/>
        <v>0</v>
      </c>
      <c r="AB43" s="32">
        <f t="shared" si="11"/>
        <v>0</v>
      </c>
      <c r="AD43" s="40">
        <v>43297.769849537035</v>
      </c>
      <c r="AE43" s="50">
        <f t="shared" si="12"/>
        <v>9.4763888888410293</v>
      </c>
      <c r="AF43">
        <v>506.71</v>
      </c>
      <c r="AG43">
        <v>571.67999999999995</v>
      </c>
      <c r="AH43" s="32">
        <f t="shared" si="13"/>
        <v>0.68263085152854852</v>
      </c>
      <c r="AI43" s="32">
        <f t="shared" si="14"/>
        <v>0.88459226913079247</v>
      </c>
      <c r="AJ43" s="40"/>
      <c r="AK43" s="40">
        <v>43297.77070601852</v>
      </c>
      <c r="AL43" s="50">
        <f t="shared" si="15"/>
        <v>9.4969444444868714</v>
      </c>
      <c r="AM43">
        <v>102.7</v>
      </c>
      <c r="AN43">
        <v>92.54</v>
      </c>
      <c r="AO43" s="32">
        <f t="shared" si="16"/>
        <v>0.13835564415934545</v>
      </c>
      <c r="AP43" s="32">
        <f t="shared" si="17"/>
        <v>0.14319229041660292</v>
      </c>
    </row>
    <row r="44" spans="1:65" x14ac:dyDescent="0.2">
      <c r="A44" s="40">
        <v>43297.777268518519</v>
      </c>
      <c r="B44" s="50">
        <f t="shared" si="0"/>
        <v>9.6544444444589317</v>
      </c>
      <c r="C44">
        <v>1.18</v>
      </c>
      <c r="D44">
        <v>14.58</v>
      </c>
      <c r="E44" s="32">
        <f t="shared" si="1"/>
        <v>1.5896753661930635E-3</v>
      </c>
      <c r="F44" s="32">
        <f t="shared" si="2"/>
        <v>2.2560445151005731E-2</v>
      </c>
      <c r="G44" s="2"/>
      <c r="H44" s="40">
        <v>43297.778113425928</v>
      </c>
      <c r="I44" s="50">
        <f t="shared" si="3"/>
        <v>9.6747222222620621</v>
      </c>
      <c r="J44">
        <v>61933.4</v>
      </c>
      <c r="K44">
        <v>53373.18</v>
      </c>
      <c r="L44" s="32">
        <f t="shared" si="4"/>
        <v>534.64144126896088</v>
      </c>
      <c r="M44" s="32">
        <f t="shared" si="5"/>
        <v>529.20565835573257</v>
      </c>
      <c r="N44" s="2"/>
      <c r="O44" s="40">
        <v>43297.778969907406</v>
      </c>
      <c r="P44" s="50">
        <f t="shared" si="6"/>
        <v>9.6952777777332813</v>
      </c>
      <c r="Q44">
        <v>1261.4100000000001</v>
      </c>
      <c r="R44">
        <v>1024.51</v>
      </c>
      <c r="S44" s="32">
        <f t="shared" si="18"/>
        <v>1.1970341804915452</v>
      </c>
      <c r="T44" s="32">
        <f t="shared" si="19"/>
        <v>1.116683726945972</v>
      </c>
      <c r="U44" s="2"/>
      <c r="W44" s="40">
        <v>43297.784953703704</v>
      </c>
      <c r="X44" s="50">
        <f t="shared" si="9"/>
        <v>9.8388888888875954</v>
      </c>
      <c r="Y44">
        <v>0</v>
      </c>
      <c r="Z44">
        <v>0</v>
      </c>
      <c r="AA44" s="32">
        <f t="shared" si="10"/>
        <v>0</v>
      </c>
      <c r="AB44" s="32">
        <f t="shared" si="11"/>
        <v>0</v>
      </c>
      <c r="AD44" s="40">
        <v>43297.786365740743</v>
      </c>
      <c r="AE44" s="50">
        <f t="shared" si="12"/>
        <v>9.8727777778403834</v>
      </c>
      <c r="AF44">
        <v>537.71</v>
      </c>
      <c r="AG44">
        <v>553.1</v>
      </c>
      <c r="AH44" s="32">
        <f t="shared" si="13"/>
        <v>0.72439350945395964</v>
      </c>
      <c r="AI44" s="32">
        <f t="shared" si="14"/>
        <v>0.85584240144178803</v>
      </c>
      <c r="AK44" s="40">
        <v>43297.787210648145</v>
      </c>
      <c r="AL44" s="50">
        <f t="shared" si="15"/>
        <v>9.8930555554688908</v>
      </c>
      <c r="AM44">
        <v>98.21</v>
      </c>
      <c r="AN44">
        <v>72.72</v>
      </c>
      <c r="AO44" s="32">
        <f t="shared" si="16"/>
        <v>0.13230679467272946</v>
      </c>
      <c r="AP44" s="32">
        <f t="shared" si="17"/>
        <v>0.1125237017408187</v>
      </c>
      <c r="AV44" s="40"/>
      <c r="AW44" s="40"/>
      <c r="AX44" s="40"/>
      <c r="AY44" s="40"/>
      <c r="AZ44" s="40"/>
      <c r="BA44" s="40"/>
      <c r="BB44" s="40"/>
      <c r="BC44" s="40"/>
      <c r="BD44" s="40"/>
      <c r="BE44" s="40"/>
      <c r="BF44" s="40"/>
      <c r="BG44" s="40"/>
      <c r="BH44" s="40"/>
      <c r="BI44" s="40"/>
      <c r="BJ44" s="40"/>
      <c r="BK44" s="40"/>
      <c r="BL44" s="40"/>
      <c r="BM44" s="40"/>
    </row>
    <row r="45" spans="1:65" x14ac:dyDescent="0.2">
      <c r="A45" s="40">
        <v>43297.793773148151</v>
      </c>
      <c r="B45" s="50">
        <f t="shared" si="0"/>
        <v>10.050555555615574</v>
      </c>
      <c r="C45">
        <v>9.68</v>
      </c>
      <c r="D45">
        <v>15.59</v>
      </c>
      <c r="E45" s="32">
        <f t="shared" si="1"/>
        <v>1.3040726732838013E-2</v>
      </c>
      <c r="F45" s="32">
        <f t="shared" si="2"/>
        <v>2.4123274341850433E-2</v>
      </c>
      <c r="G45" s="2"/>
      <c r="H45" s="40">
        <v>43297.794618055559</v>
      </c>
      <c r="I45" s="50">
        <f t="shared" si="3"/>
        <v>10.070833333418705</v>
      </c>
      <c r="J45">
        <v>62085.43</v>
      </c>
      <c r="K45">
        <v>53592.22</v>
      </c>
      <c r="L45" s="32">
        <f t="shared" si="4"/>
        <v>535.95384359655986</v>
      </c>
      <c r="M45" s="32">
        <f t="shared" si="5"/>
        <v>531.37748336983589</v>
      </c>
      <c r="N45" s="2"/>
      <c r="O45" s="40">
        <v>43297.795474537037</v>
      </c>
      <c r="P45" s="50">
        <f t="shared" si="6"/>
        <v>10.091388888889924</v>
      </c>
      <c r="Q45">
        <v>1197.08</v>
      </c>
      <c r="R45">
        <v>1024.17</v>
      </c>
      <c r="S45" s="32">
        <f t="shared" si="18"/>
        <v>1.1359872498099894</v>
      </c>
      <c r="T45" s="32">
        <f t="shared" si="19"/>
        <v>1.1163131376231137</v>
      </c>
      <c r="U45" s="2"/>
      <c r="W45" s="40">
        <v>43297.801446759258</v>
      </c>
      <c r="X45" s="50">
        <f t="shared" si="9"/>
        <v>10.234722222201526</v>
      </c>
      <c r="Y45">
        <v>0</v>
      </c>
      <c r="Z45">
        <v>0</v>
      </c>
      <c r="AA45" s="32">
        <f t="shared" si="10"/>
        <v>0</v>
      </c>
      <c r="AB45" s="32">
        <f t="shared" si="11"/>
        <v>0</v>
      </c>
      <c r="AD45" s="40">
        <v>43297.802719907406</v>
      </c>
      <c r="AE45" s="50">
        <f t="shared" si="12"/>
        <v>10.265277777740266</v>
      </c>
      <c r="AF45">
        <v>544.25</v>
      </c>
      <c r="AG45">
        <v>522.67999999999995</v>
      </c>
      <c r="AH45" s="32">
        <f t="shared" si="13"/>
        <v>0.73320408309370755</v>
      </c>
      <c r="AI45" s="32">
        <f t="shared" si="14"/>
        <v>0.8087718430403068</v>
      </c>
      <c r="AK45" s="40">
        <v>43297.803576388891</v>
      </c>
      <c r="AL45" s="50">
        <f t="shared" si="15"/>
        <v>10.285833333386108</v>
      </c>
      <c r="AM45">
        <v>78.69</v>
      </c>
      <c r="AN45">
        <v>89.2</v>
      </c>
      <c r="AO45" s="32">
        <f t="shared" si="16"/>
        <v>0.10600979200485777</v>
      </c>
      <c r="AP45" s="32">
        <f t="shared" si="17"/>
        <v>0.13802412259737387</v>
      </c>
    </row>
    <row r="46" spans="1:65" x14ac:dyDescent="0.2">
      <c r="A46" s="40">
        <v>43297.810115740744</v>
      </c>
      <c r="B46" s="50">
        <f t="shared" si="0"/>
        <v>10.442777777847368</v>
      </c>
      <c r="C46">
        <v>1.17</v>
      </c>
      <c r="D46">
        <v>5.49</v>
      </c>
      <c r="E46" s="32">
        <f t="shared" si="1"/>
        <v>1.5762035410558342E-3</v>
      </c>
      <c r="F46" s="32">
        <f t="shared" si="2"/>
        <v>8.4949824334033929E-3</v>
      </c>
      <c r="G46" s="2"/>
      <c r="H46" s="40">
        <v>43297.810972222222</v>
      </c>
      <c r="I46" s="50">
        <f t="shared" si="3"/>
        <v>10.463333333318587</v>
      </c>
      <c r="J46">
        <v>62169.440000000002</v>
      </c>
      <c r="K46">
        <v>53049.94</v>
      </c>
      <c r="L46" s="32">
        <f t="shared" si="4"/>
        <v>536.67906177416694</v>
      </c>
      <c r="M46" s="32">
        <f t="shared" si="5"/>
        <v>526.00066968901069</v>
      </c>
      <c r="N46" s="2"/>
      <c r="O46" s="40">
        <v>43297.811828703707</v>
      </c>
      <c r="P46" s="50">
        <f t="shared" si="6"/>
        <v>10.483888888964429</v>
      </c>
      <c r="Q46">
        <v>1246.3699999999999</v>
      </c>
      <c r="R46">
        <v>1047.7</v>
      </c>
      <c r="S46" s="32">
        <f t="shared" si="18"/>
        <v>1.1827617440318747</v>
      </c>
      <c r="T46" s="32">
        <f t="shared" si="19"/>
        <v>1.1419600987021064</v>
      </c>
      <c r="U46" s="2"/>
      <c r="W46" s="40">
        <v>43297.817800925928</v>
      </c>
      <c r="X46" s="50">
        <f t="shared" si="9"/>
        <v>10.627222222276032</v>
      </c>
      <c r="Y46">
        <v>0</v>
      </c>
      <c r="Z46">
        <v>0</v>
      </c>
      <c r="AA46" s="32">
        <f t="shared" si="10"/>
        <v>0</v>
      </c>
      <c r="AB46" s="32">
        <f t="shared" si="11"/>
        <v>0</v>
      </c>
      <c r="AD46" s="40">
        <v>43297.819212962961</v>
      </c>
      <c r="AE46" s="50">
        <f t="shared" si="12"/>
        <v>10.661111111054197</v>
      </c>
      <c r="AF46">
        <v>537.30999999999995</v>
      </c>
      <c r="AG46">
        <v>539.04999999999995</v>
      </c>
      <c r="AH46" s="32">
        <f t="shared" si="13"/>
        <v>0.72385463644847037</v>
      </c>
      <c r="AI46" s="32">
        <f t="shared" si="14"/>
        <v>0.834102054777067</v>
      </c>
      <c r="AK46" s="40">
        <v>43297.820069444446</v>
      </c>
      <c r="AL46" s="50">
        <f t="shared" si="15"/>
        <v>10.681666666700039</v>
      </c>
      <c r="AM46">
        <v>87.18</v>
      </c>
      <c r="AN46">
        <v>110.77</v>
      </c>
      <c r="AO46" s="32">
        <f t="shared" si="16"/>
        <v>0.11744737154636549</v>
      </c>
      <c r="AP46" s="32">
        <f t="shared" si="17"/>
        <v>0.17140058363353255</v>
      </c>
    </row>
    <row r="47" spans="1:65" x14ac:dyDescent="0.2">
      <c r="A47" s="40">
        <v>43297.826608796298</v>
      </c>
      <c r="B47" s="50">
        <f t="shared" si="0"/>
        <v>10.838611111161299</v>
      </c>
      <c r="C47">
        <v>6.16</v>
      </c>
      <c r="D47">
        <v>15.82</v>
      </c>
      <c r="E47" s="32">
        <f t="shared" si="1"/>
        <v>8.2986442845332815E-3</v>
      </c>
      <c r="F47" s="32">
        <f t="shared" si="2"/>
        <v>2.4479166137785367E-2</v>
      </c>
      <c r="G47" s="2"/>
      <c r="H47" s="40">
        <v>43297.827465277776</v>
      </c>
      <c r="I47" s="50">
        <f t="shared" si="3"/>
        <v>10.859166666632518</v>
      </c>
      <c r="J47">
        <v>61958.37</v>
      </c>
      <c r="K47">
        <v>52648.63</v>
      </c>
      <c r="L47" s="32">
        <f t="shared" si="4"/>
        <v>534.8569953446048</v>
      </c>
      <c r="M47" s="32">
        <f t="shared" si="5"/>
        <v>522.02160149868098</v>
      </c>
      <c r="N47" s="2"/>
      <c r="O47" s="40">
        <v>43297.828321759262</v>
      </c>
      <c r="P47" s="50">
        <f t="shared" si="6"/>
        <v>10.87972222227836</v>
      </c>
      <c r="Q47">
        <v>1218.58</v>
      </c>
      <c r="R47">
        <v>993.17</v>
      </c>
      <c r="S47" s="32">
        <f t="shared" si="18"/>
        <v>1.1563900013979491</v>
      </c>
      <c r="T47" s="32">
        <f t="shared" si="19"/>
        <v>1.0825241111272033</v>
      </c>
      <c r="U47" s="2"/>
      <c r="W47" s="40">
        <v>43297.834293981483</v>
      </c>
      <c r="X47" s="50">
        <f t="shared" si="9"/>
        <v>11.023055555589963</v>
      </c>
      <c r="Y47">
        <v>0</v>
      </c>
      <c r="Z47">
        <v>0</v>
      </c>
      <c r="AA47" s="32">
        <f t="shared" si="10"/>
        <v>0</v>
      </c>
      <c r="AB47" s="32">
        <f t="shared" si="11"/>
        <v>0</v>
      </c>
      <c r="AD47" s="40">
        <v>43297.835706018515</v>
      </c>
      <c r="AE47" s="50">
        <f t="shared" si="12"/>
        <v>11.056944444368128</v>
      </c>
      <c r="AF47">
        <v>578.05999999999995</v>
      </c>
      <c r="AG47">
        <v>556.12</v>
      </c>
      <c r="AH47" s="32">
        <f t="shared" si="13"/>
        <v>0.7787523238826799</v>
      </c>
      <c r="AI47" s="32">
        <f t="shared" si="14"/>
        <v>0.86051541545797716</v>
      </c>
      <c r="AK47" s="40">
        <v>43297.836562500001</v>
      </c>
      <c r="AL47" s="50">
        <f t="shared" si="15"/>
        <v>11.07750000001397</v>
      </c>
      <c r="AM47">
        <v>70.150000000000006</v>
      </c>
      <c r="AN47">
        <v>116.99</v>
      </c>
      <c r="AO47" s="32">
        <f t="shared" si="16"/>
        <v>9.4504853337663924E-2</v>
      </c>
      <c r="AP47" s="32">
        <f t="shared" si="17"/>
        <v>0.18102513568012074</v>
      </c>
      <c r="AV47" s="40"/>
      <c r="AW47" s="40"/>
      <c r="AX47" s="40"/>
      <c r="AY47" s="40"/>
      <c r="AZ47" s="40"/>
      <c r="BA47" s="40"/>
      <c r="BB47" s="40"/>
      <c r="BC47" s="40"/>
      <c r="BD47" s="40"/>
      <c r="BE47" s="40"/>
      <c r="BF47" s="40"/>
      <c r="BG47" s="40"/>
      <c r="BH47" s="40"/>
      <c r="BI47" s="40"/>
      <c r="BJ47" s="40"/>
      <c r="BK47" s="40"/>
      <c r="BL47" s="40"/>
      <c r="BM47" s="40"/>
    </row>
    <row r="48" spans="1:65" x14ac:dyDescent="0.2">
      <c r="A48" s="40">
        <v>43297.843113425923</v>
      </c>
      <c r="B48" s="50">
        <f t="shared" si="0"/>
        <v>11.234722222143319</v>
      </c>
      <c r="C48">
        <v>5.67</v>
      </c>
      <c r="D48">
        <v>14.58</v>
      </c>
      <c r="E48" s="32">
        <f t="shared" si="1"/>
        <v>7.6385248528090428E-3</v>
      </c>
      <c r="F48" s="32">
        <f t="shared" si="2"/>
        <v>2.2560445151005731E-2</v>
      </c>
      <c r="G48" s="2"/>
      <c r="H48" s="40">
        <v>43297.843969907408</v>
      </c>
      <c r="I48" s="50">
        <f t="shared" si="3"/>
        <v>11.255277777789161</v>
      </c>
      <c r="J48">
        <v>61744.15</v>
      </c>
      <c r="K48">
        <v>53057.4</v>
      </c>
      <c r="L48" s="32">
        <f t="shared" si="4"/>
        <v>533.00773647057827</v>
      </c>
      <c r="M48" s="32">
        <f t="shared" si="5"/>
        <v>526.0746370675954</v>
      </c>
      <c r="N48" s="2"/>
      <c r="O48" s="40">
        <v>43297.844814814816</v>
      </c>
      <c r="P48" s="50">
        <f t="shared" si="6"/>
        <v>11.275555555592291</v>
      </c>
      <c r="Q48">
        <v>1214.4000000000001</v>
      </c>
      <c r="R48">
        <v>1016.11</v>
      </c>
      <c r="S48" s="32">
        <f t="shared" si="18"/>
        <v>1.1524233269031738</v>
      </c>
      <c r="T48" s="32">
        <f t="shared" si="19"/>
        <v>1.1075279907341768</v>
      </c>
      <c r="U48" s="2"/>
      <c r="W48" s="40">
        <v>43297.850798611114</v>
      </c>
      <c r="X48" s="50">
        <f t="shared" si="9"/>
        <v>11.419166666746605</v>
      </c>
      <c r="Y48">
        <v>0</v>
      </c>
      <c r="Z48">
        <v>0</v>
      </c>
      <c r="AA48" s="32">
        <f t="shared" si="10"/>
        <v>0</v>
      </c>
      <c r="AB48" s="32">
        <f t="shared" si="11"/>
        <v>0</v>
      </c>
      <c r="AD48" s="40">
        <v>43297.852210648147</v>
      </c>
      <c r="AE48" s="50">
        <f t="shared" si="12"/>
        <v>11.45305555552477</v>
      </c>
      <c r="AF48">
        <v>508.22</v>
      </c>
      <c r="AG48">
        <v>564.64</v>
      </c>
      <c r="AH48" s="32">
        <f t="shared" si="13"/>
        <v>0.68466509712427026</v>
      </c>
      <c r="AI48" s="32">
        <f t="shared" si="14"/>
        <v>0.87369888546391461</v>
      </c>
      <c r="AK48" s="40">
        <v>43297.853055555555</v>
      </c>
      <c r="AL48" s="50">
        <f t="shared" si="15"/>
        <v>11.473333333327901</v>
      </c>
      <c r="AM48">
        <v>83.19</v>
      </c>
      <c r="AN48">
        <v>90.27</v>
      </c>
      <c r="AO48" s="32">
        <f t="shared" si="16"/>
        <v>0.11207211331661099</v>
      </c>
      <c r="AP48" s="32">
        <f t="shared" si="17"/>
        <v>0.13967979312628856</v>
      </c>
    </row>
    <row r="49" spans="1:65" x14ac:dyDescent="0.2">
      <c r="A49" s="40">
        <v>43297.859606481485</v>
      </c>
      <c r="B49" s="50">
        <f t="shared" si="0"/>
        <v>11.630555555631872</v>
      </c>
      <c r="C49">
        <v>0</v>
      </c>
      <c r="D49">
        <v>9.5399999999999991</v>
      </c>
      <c r="E49" s="32">
        <f t="shared" si="1"/>
        <v>0</v>
      </c>
      <c r="F49" s="32">
        <f t="shared" si="2"/>
        <v>1.4761772753127206E-2</v>
      </c>
      <c r="G49" s="2"/>
      <c r="H49" s="40">
        <v>43297.860451388886</v>
      </c>
      <c r="I49" s="50">
        <f t="shared" si="3"/>
        <v>11.65083333326038</v>
      </c>
      <c r="J49">
        <v>61419.55</v>
      </c>
      <c r="K49">
        <v>52953.84</v>
      </c>
      <c r="L49" s="32">
        <f t="shared" si="4"/>
        <v>530.2056198124277</v>
      </c>
      <c r="M49" s="32">
        <f t="shared" si="5"/>
        <v>525.04781914182593</v>
      </c>
      <c r="N49" s="2"/>
      <c r="O49" s="40">
        <v>43297.861307870371</v>
      </c>
      <c r="P49" s="50">
        <f t="shared" si="6"/>
        <v>11.671388888906222</v>
      </c>
      <c r="Q49">
        <v>1215.8599999999999</v>
      </c>
      <c r="R49">
        <v>1020.64</v>
      </c>
      <c r="S49" s="32">
        <f t="shared" si="18"/>
        <v>1.1538088160807747</v>
      </c>
      <c r="T49" s="32">
        <f t="shared" si="19"/>
        <v>1.1124655484769663</v>
      </c>
      <c r="U49" s="2"/>
      <c r="W49" s="40">
        <v>43297.867280092592</v>
      </c>
      <c r="X49" s="50">
        <f t="shared" si="9"/>
        <v>11.814722222217824</v>
      </c>
      <c r="Y49">
        <v>0</v>
      </c>
      <c r="Z49">
        <v>0</v>
      </c>
      <c r="AA49" s="32">
        <f t="shared" si="10"/>
        <v>0</v>
      </c>
      <c r="AB49" s="32">
        <f t="shared" si="11"/>
        <v>0</v>
      </c>
      <c r="AD49" s="40">
        <v>43297.868703703702</v>
      </c>
      <c r="AE49" s="50">
        <f t="shared" si="12"/>
        <v>11.848888888838701</v>
      </c>
      <c r="AF49">
        <v>556.12</v>
      </c>
      <c r="AG49">
        <v>535.24</v>
      </c>
      <c r="AH49" s="32">
        <f t="shared" si="13"/>
        <v>0.74919513953159877</v>
      </c>
      <c r="AI49" s="32">
        <f t="shared" si="14"/>
        <v>0.82820662980962323</v>
      </c>
      <c r="AK49" s="40">
        <v>43297.86954861111</v>
      </c>
      <c r="AL49" s="50">
        <f t="shared" si="15"/>
        <v>11.869166666641831</v>
      </c>
      <c r="AM49">
        <v>77.150000000000006</v>
      </c>
      <c r="AN49">
        <v>85.46</v>
      </c>
      <c r="AO49" s="32">
        <f t="shared" si="16"/>
        <v>0.10393513093372446</v>
      </c>
      <c r="AP49" s="32">
        <f t="shared" si="17"/>
        <v>0.13223701252434497</v>
      </c>
    </row>
    <row r="50" spans="1:65" x14ac:dyDescent="0.2">
      <c r="A50" s="40">
        <v>43297.876087962963</v>
      </c>
      <c r="B50" s="50">
        <f t="shared" si="0"/>
        <v>12.026111111103091</v>
      </c>
      <c r="C50">
        <v>13.66</v>
      </c>
      <c r="D50">
        <v>10.16</v>
      </c>
      <c r="E50" s="32">
        <f t="shared" si="1"/>
        <v>1.8402513137455296E-2</v>
      </c>
      <c r="F50" s="32">
        <f t="shared" si="2"/>
        <v>1.5721133246517024E-2</v>
      </c>
      <c r="G50" s="2"/>
      <c r="H50" s="40">
        <v>43297.876944444448</v>
      </c>
      <c r="I50" s="50">
        <f t="shared" si="3"/>
        <v>12.046666666748933</v>
      </c>
      <c r="J50">
        <v>61882.68</v>
      </c>
      <c r="K50">
        <v>52805.5</v>
      </c>
      <c r="L50" s="32">
        <f t="shared" si="4"/>
        <v>534.20359975047234</v>
      </c>
      <c r="M50" s="32">
        <f t="shared" si="5"/>
        <v>523.57699864058384</v>
      </c>
      <c r="N50" s="2"/>
      <c r="O50" s="40">
        <v>43297.877800925926</v>
      </c>
      <c r="P50" s="50">
        <f t="shared" si="6"/>
        <v>12.067222222220153</v>
      </c>
      <c r="Q50">
        <v>1234.3399999999999</v>
      </c>
      <c r="R50">
        <v>1010.16</v>
      </c>
      <c r="S50" s="32">
        <f t="shared" si="18"/>
        <v>1.1713456927945185</v>
      </c>
      <c r="T50" s="32">
        <f t="shared" si="19"/>
        <v>1.1010426775841553</v>
      </c>
      <c r="U50" s="2"/>
      <c r="W50" s="40">
        <v>43297.883773148147</v>
      </c>
      <c r="X50" s="50">
        <f t="shared" si="9"/>
        <v>12.210555555531755</v>
      </c>
      <c r="Y50">
        <v>0</v>
      </c>
      <c r="Z50">
        <v>0</v>
      </c>
      <c r="AA50" s="32">
        <f t="shared" si="10"/>
        <v>0</v>
      </c>
      <c r="AB50" s="32">
        <f t="shared" si="11"/>
        <v>0</v>
      </c>
      <c r="AD50" s="40">
        <v>43297.885185185187</v>
      </c>
      <c r="AE50" s="50">
        <f t="shared" si="12"/>
        <v>12.244444444484543</v>
      </c>
      <c r="AF50">
        <v>553.76</v>
      </c>
      <c r="AG50">
        <v>572.75</v>
      </c>
      <c r="AH50" s="32">
        <f t="shared" si="13"/>
        <v>0.7460157887992126</v>
      </c>
      <c r="AI50" s="32">
        <f t="shared" si="14"/>
        <v>0.88624793965970727</v>
      </c>
      <c r="AK50" s="40">
        <v>43297.886041666665</v>
      </c>
      <c r="AL50" s="50">
        <f t="shared" si="15"/>
        <v>12.264999999955762</v>
      </c>
      <c r="AM50">
        <v>78.19</v>
      </c>
      <c r="AN50">
        <v>110.76</v>
      </c>
      <c r="AO50" s="32">
        <f t="shared" si="16"/>
        <v>0.10533620074799631</v>
      </c>
      <c r="AP50" s="32">
        <f t="shared" si="17"/>
        <v>0.17138511007718757</v>
      </c>
      <c r="AV50" s="40"/>
      <c r="AW50" s="40"/>
      <c r="AX50" s="40"/>
      <c r="AY50" s="40"/>
      <c r="AZ50" s="40"/>
      <c r="BA50" s="40"/>
      <c r="BB50" s="40"/>
      <c r="BC50" s="40"/>
      <c r="BD50" s="40"/>
      <c r="BE50" s="40"/>
      <c r="BF50" s="40"/>
      <c r="BG50" s="40"/>
      <c r="BH50" s="40"/>
      <c r="BI50" s="40"/>
      <c r="BJ50" s="40"/>
      <c r="BK50" s="40"/>
      <c r="BL50" s="40"/>
      <c r="BM50" s="40"/>
    </row>
    <row r="51" spans="1:65" x14ac:dyDescent="0.2">
      <c r="A51" s="40">
        <v>43297.892592592594</v>
      </c>
      <c r="B51" s="50">
        <f t="shared" si="0"/>
        <v>12.422222222259734</v>
      </c>
      <c r="C51">
        <v>0</v>
      </c>
      <c r="D51">
        <v>11.55</v>
      </c>
      <c r="E51" s="32">
        <f t="shared" si="1"/>
        <v>0</v>
      </c>
      <c r="F51" s="32">
        <f t="shared" si="2"/>
        <v>1.7871957578471619E-2</v>
      </c>
      <c r="G51" s="2"/>
      <c r="H51" s="40">
        <v>43297.893449074072</v>
      </c>
      <c r="I51" s="50">
        <f t="shared" si="3"/>
        <v>12.442777777730953</v>
      </c>
      <c r="J51">
        <v>61444.63</v>
      </c>
      <c r="K51">
        <v>53422.19</v>
      </c>
      <c r="L51" s="32">
        <f t="shared" si="4"/>
        <v>530.42212346549729</v>
      </c>
      <c r="M51" s="32">
        <f t="shared" si="5"/>
        <v>529.69160221959851</v>
      </c>
      <c r="N51" s="2"/>
      <c r="O51" s="40">
        <v>43297.894305555557</v>
      </c>
      <c r="P51" s="50">
        <f t="shared" si="6"/>
        <v>12.463333333376795</v>
      </c>
      <c r="Q51">
        <v>1236.8699999999999</v>
      </c>
      <c r="R51">
        <v>1055.04</v>
      </c>
      <c r="S51" s="32">
        <f t="shared" si="18"/>
        <v>1.1737465747255669</v>
      </c>
      <c r="T51" s="32">
        <f t="shared" si="19"/>
        <v>1.1499604682014604</v>
      </c>
      <c r="U51" s="2"/>
      <c r="W51" s="40">
        <v>43297.900277777779</v>
      </c>
      <c r="X51" s="50">
        <f t="shared" si="9"/>
        <v>12.606666666688398</v>
      </c>
      <c r="Y51">
        <v>0</v>
      </c>
      <c r="Z51">
        <v>6.5</v>
      </c>
      <c r="AA51" s="32">
        <f t="shared" si="10"/>
        <v>0</v>
      </c>
      <c r="AB51" s="32">
        <f t="shared" si="11"/>
        <v>1.0057811624248096E-2</v>
      </c>
      <c r="AD51" s="40">
        <v>43297.901689814818</v>
      </c>
      <c r="AE51" s="50">
        <f t="shared" si="12"/>
        <v>12.640555555641185</v>
      </c>
      <c r="AF51">
        <v>541.25</v>
      </c>
      <c r="AG51">
        <v>525.51</v>
      </c>
      <c r="AH51" s="32">
        <f t="shared" si="13"/>
        <v>0.72916253555253874</v>
      </c>
      <c r="AI51" s="32">
        <f t="shared" si="14"/>
        <v>0.81315085948594112</v>
      </c>
      <c r="AK51" s="40">
        <v>43297.902546296296</v>
      </c>
      <c r="AL51" s="50">
        <f t="shared" si="15"/>
        <v>12.661111111112405</v>
      </c>
      <c r="AM51">
        <v>98.18</v>
      </c>
      <c r="AN51">
        <v>71.94</v>
      </c>
      <c r="AO51" s="32">
        <f t="shared" si="16"/>
        <v>0.13226637919731779</v>
      </c>
      <c r="AP51" s="32">
        <f t="shared" si="17"/>
        <v>0.11131676434590893</v>
      </c>
    </row>
    <row r="52" spans="1:65" x14ac:dyDescent="0.2">
      <c r="A52" s="40">
        <v>43297.909085648149</v>
      </c>
      <c r="B52" s="50">
        <f t="shared" si="0"/>
        <v>12.818055555573665</v>
      </c>
      <c r="C52">
        <v>9.17</v>
      </c>
      <c r="D52">
        <v>29.72</v>
      </c>
      <c r="E52" s="32">
        <f t="shared" si="1"/>
        <v>1.2353663650839317E-2</v>
      </c>
      <c r="F52" s="32">
        <f t="shared" si="2"/>
        <v>4.5987409457331291E-2</v>
      </c>
      <c r="G52" s="2"/>
      <c r="H52" s="40">
        <v>43297.909942129627</v>
      </c>
      <c r="I52" s="50">
        <f t="shared" si="3"/>
        <v>12.838611111044884</v>
      </c>
      <c r="J52">
        <v>61703.13</v>
      </c>
      <c r="K52">
        <v>52313.61</v>
      </c>
      <c r="L52" s="32">
        <f t="shared" si="4"/>
        <v>532.65363041599619</v>
      </c>
      <c r="M52" s="32">
        <f t="shared" si="5"/>
        <v>518.69981179714296</v>
      </c>
      <c r="N52" s="2"/>
      <c r="O52" s="40">
        <v>43297.910798611112</v>
      </c>
      <c r="P52" s="50">
        <f t="shared" si="6"/>
        <v>12.859166666690726</v>
      </c>
      <c r="Q52">
        <v>1185.92</v>
      </c>
      <c r="R52">
        <v>1067.77</v>
      </c>
      <c r="S52" s="32">
        <f t="shared" si="18"/>
        <v>1.1253967982880533</v>
      </c>
      <c r="T52" s="32">
        <f t="shared" si="19"/>
        <v>1.1638357684367167</v>
      </c>
      <c r="U52" s="2"/>
      <c r="W52" s="40">
        <v>43297.916770833333</v>
      </c>
      <c r="X52" s="50">
        <f t="shared" si="9"/>
        <v>13.002500000002328</v>
      </c>
      <c r="Y52">
        <v>0</v>
      </c>
      <c r="Z52">
        <v>0.53</v>
      </c>
      <c r="AA52" s="32">
        <f t="shared" si="10"/>
        <v>0</v>
      </c>
      <c r="AB52" s="32">
        <f t="shared" si="11"/>
        <v>8.2009848628484476E-4</v>
      </c>
      <c r="AD52" s="40">
        <v>43297.918182870373</v>
      </c>
      <c r="AE52" s="50">
        <f t="shared" si="12"/>
        <v>13.036388888955116</v>
      </c>
      <c r="AF52">
        <v>528.82000000000005</v>
      </c>
      <c r="AG52">
        <v>569.55999999999995</v>
      </c>
      <c r="AH52" s="32">
        <f t="shared" si="13"/>
        <v>0.71241705690696266</v>
      </c>
      <c r="AI52" s="32">
        <f t="shared" si="14"/>
        <v>0.88131187518565313</v>
      </c>
      <c r="AK52" s="40">
        <v>43297.919039351851</v>
      </c>
      <c r="AL52" s="50">
        <f t="shared" si="15"/>
        <v>13.056944444426335</v>
      </c>
      <c r="AM52">
        <v>67.19</v>
      </c>
      <c r="AN52">
        <v>105.76</v>
      </c>
      <c r="AO52" s="32">
        <f t="shared" si="16"/>
        <v>9.0517193097044021E-2</v>
      </c>
      <c r="AP52" s="32">
        <f t="shared" si="17"/>
        <v>0.16364833190468903</v>
      </c>
    </row>
    <row r="53" spans="1:65" x14ac:dyDescent="0.2">
      <c r="A53" s="40">
        <v>43297.925578703704</v>
      </c>
      <c r="B53" s="50">
        <f t="shared" si="0"/>
        <v>13.213888888887595</v>
      </c>
      <c r="C53">
        <v>19.190000000000001</v>
      </c>
      <c r="D53">
        <v>11.55</v>
      </c>
      <c r="E53" s="32">
        <f t="shared" si="1"/>
        <v>2.5852432438343127E-2</v>
      </c>
      <c r="F53" s="32">
        <f t="shared" si="2"/>
        <v>1.7871957578471619E-2</v>
      </c>
      <c r="G53" s="2"/>
      <c r="H53" s="40">
        <v>43297.926435185182</v>
      </c>
      <c r="I53" s="50">
        <f t="shared" si="3"/>
        <v>13.234444444358815</v>
      </c>
      <c r="J53">
        <v>61149.54</v>
      </c>
      <c r="K53">
        <v>52879.33</v>
      </c>
      <c r="L53" s="32">
        <f t="shared" si="4"/>
        <v>527.87475253310777</v>
      </c>
      <c r="M53" s="32">
        <f t="shared" si="5"/>
        <v>524.30903772381635</v>
      </c>
      <c r="N53" s="2"/>
      <c r="O53" s="40">
        <v>43297.927291666667</v>
      </c>
      <c r="P53" s="50">
        <f t="shared" si="6"/>
        <v>13.255000000004657</v>
      </c>
      <c r="Q53">
        <v>1168.8900000000001</v>
      </c>
      <c r="R53">
        <v>986.09</v>
      </c>
      <c r="S53" s="32">
        <f t="shared" si="18"/>
        <v>1.1092359211000089</v>
      </c>
      <c r="T53" s="32">
        <f t="shared" si="19"/>
        <v>1.0748071334629761</v>
      </c>
      <c r="U53" s="2"/>
      <c r="W53" s="40">
        <v>43297.933263888888</v>
      </c>
      <c r="X53" s="50">
        <f t="shared" si="9"/>
        <v>13.398333333316259</v>
      </c>
      <c r="Y53">
        <v>0</v>
      </c>
      <c r="Z53">
        <v>6.49</v>
      </c>
      <c r="AA53" s="32">
        <f t="shared" si="10"/>
        <v>0</v>
      </c>
      <c r="AB53" s="32">
        <f t="shared" si="11"/>
        <v>1.0042338067903099E-2</v>
      </c>
      <c r="AD53" s="40">
        <v>43297.934687499997</v>
      </c>
      <c r="AE53" s="50">
        <f t="shared" si="12"/>
        <v>13.432499999937136</v>
      </c>
      <c r="AF53">
        <v>507.28</v>
      </c>
      <c r="AG53">
        <v>537.9</v>
      </c>
      <c r="AH53" s="32">
        <f t="shared" si="13"/>
        <v>0.68339874556137048</v>
      </c>
      <c r="AI53" s="32">
        <f t="shared" si="14"/>
        <v>0.83232259579739243</v>
      </c>
      <c r="AK53" s="40">
        <v>43297.935543981483</v>
      </c>
      <c r="AL53" s="50">
        <f t="shared" si="15"/>
        <v>13.453055555582978</v>
      </c>
      <c r="AM53">
        <v>70.7</v>
      </c>
      <c r="AN53">
        <v>104.52</v>
      </c>
      <c r="AO53" s="32">
        <f t="shared" si="16"/>
        <v>9.5245803720211533E-2</v>
      </c>
      <c r="AP53" s="32">
        <f t="shared" si="17"/>
        <v>0.16172961091790938</v>
      </c>
      <c r="AV53" s="40"/>
      <c r="AW53" s="40"/>
      <c r="AX53" s="40"/>
      <c r="AY53" s="40"/>
      <c r="AZ53" s="40"/>
      <c r="BA53" s="40"/>
      <c r="BB53" s="40"/>
      <c r="BC53" s="40"/>
      <c r="BD53" s="40"/>
      <c r="BE53" s="40"/>
      <c r="BF53" s="40"/>
      <c r="BG53" s="40"/>
      <c r="BH53" s="40"/>
      <c r="BI53" s="40"/>
      <c r="BJ53" s="40"/>
      <c r="BK53" s="40"/>
      <c r="BL53" s="40"/>
      <c r="BM53" s="40"/>
    </row>
    <row r="54" spans="1:65" x14ac:dyDescent="0.2">
      <c r="A54" s="40">
        <v>43297.942083333335</v>
      </c>
      <c r="B54" s="50">
        <f t="shared" si="0"/>
        <v>13.610000000044238</v>
      </c>
      <c r="C54">
        <v>4.16</v>
      </c>
      <c r="D54">
        <v>6.5</v>
      </c>
      <c r="E54" s="32">
        <f t="shared" si="1"/>
        <v>5.6042792570874106E-3</v>
      </c>
      <c r="F54" s="32">
        <f t="shared" si="2"/>
        <v>1.0057811624248096E-2</v>
      </c>
      <c r="G54" s="2"/>
      <c r="H54" s="40">
        <v>43297.942939814813</v>
      </c>
      <c r="I54" s="50">
        <f t="shared" si="3"/>
        <v>13.630555555515457</v>
      </c>
      <c r="J54">
        <v>61646.2</v>
      </c>
      <c r="K54">
        <v>52582.15</v>
      </c>
      <c r="L54" s="32">
        <f t="shared" si="4"/>
        <v>532.16218093556324</v>
      </c>
      <c r="M54" s="32">
        <f t="shared" si="5"/>
        <v>521.36243912223108</v>
      </c>
      <c r="N54" s="2"/>
      <c r="O54" s="40">
        <v>43297.943784722222</v>
      </c>
      <c r="P54" s="50">
        <f t="shared" si="6"/>
        <v>13.650833333318587</v>
      </c>
      <c r="Q54">
        <v>1220.98</v>
      </c>
      <c r="R54">
        <v>979.8</v>
      </c>
      <c r="S54" s="32">
        <f t="shared" si="18"/>
        <v>1.1586675178542796</v>
      </c>
      <c r="T54" s="32">
        <f t="shared" si="19"/>
        <v>1.067951230990096</v>
      </c>
      <c r="U54" s="2"/>
      <c r="W54" s="40">
        <v>43297.94976851852</v>
      </c>
      <c r="X54" s="50">
        <f t="shared" si="9"/>
        <v>13.794444444472902</v>
      </c>
      <c r="Y54">
        <v>0</v>
      </c>
      <c r="Z54">
        <v>0</v>
      </c>
      <c r="AA54" s="32">
        <f t="shared" si="10"/>
        <v>0</v>
      </c>
      <c r="AB54" s="32">
        <f t="shared" si="11"/>
        <v>0</v>
      </c>
      <c r="AD54" s="40">
        <v>43297.951180555552</v>
      </c>
      <c r="AE54" s="50">
        <f t="shared" si="12"/>
        <v>13.828333333251067</v>
      </c>
      <c r="AF54">
        <v>538.59</v>
      </c>
      <c r="AG54">
        <v>539.94000000000005</v>
      </c>
      <c r="AH54" s="32">
        <f t="shared" si="13"/>
        <v>0.72557903006603575</v>
      </c>
      <c r="AI54" s="32">
        <f t="shared" si="14"/>
        <v>0.835479201291772</v>
      </c>
      <c r="AK54" s="40">
        <v>43297.952037037037</v>
      </c>
      <c r="AL54" s="50">
        <f t="shared" si="15"/>
        <v>13.848888888896909</v>
      </c>
      <c r="AM54">
        <v>76.150000000000006</v>
      </c>
      <c r="AN54">
        <v>88.97</v>
      </c>
      <c r="AO54" s="32">
        <f t="shared" si="16"/>
        <v>0.10258794842000153</v>
      </c>
      <c r="AP54" s="32">
        <f t="shared" si="17"/>
        <v>0.13766823080143892</v>
      </c>
    </row>
    <row r="55" spans="1:65" x14ac:dyDescent="0.2">
      <c r="A55" s="40">
        <v>43297.958587962959</v>
      </c>
      <c r="B55" s="50">
        <f t="shared" si="0"/>
        <v>14.006111111026257</v>
      </c>
      <c r="C55">
        <v>4.72</v>
      </c>
      <c r="D55">
        <v>17.61</v>
      </c>
      <c r="E55" s="32">
        <f t="shared" si="1"/>
        <v>6.3587014647722541E-3</v>
      </c>
      <c r="F55" s="32">
        <f t="shared" si="2"/>
        <v>2.7248932723539843E-2</v>
      </c>
      <c r="G55" s="2"/>
      <c r="H55" s="40">
        <v>43297.959444444445</v>
      </c>
      <c r="I55" s="50">
        <f t="shared" si="3"/>
        <v>14.026666666672099</v>
      </c>
      <c r="J55">
        <v>61324.5</v>
      </c>
      <c r="K55">
        <v>52862.02</v>
      </c>
      <c r="L55" s="32">
        <f t="shared" si="4"/>
        <v>529.38509859136411</v>
      </c>
      <c r="M55" s="32">
        <f t="shared" si="5"/>
        <v>524.1374056429446</v>
      </c>
      <c r="N55" s="2"/>
      <c r="O55" s="40">
        <v>43297.960300925923</v>
      </c>
      <c r="P55" s="50">
        <f t="shared" si="6"/>
        <v>14.047222222143319</v>
      </c>
      <c r="Q55">
        <v>1234.94</v>
      </c>
      <c r="R55">
        <v>991.16</v>
      </c>
      <c r="S55" s="32">
        <f t="shared" si="18"/>
        <v>1.1719150719086013</v>
      </c>
      <c r="T55" s="32">
        <f t="shared" si="19"/>
        <v>1.0803332742479523</v>
      </c>
      <c r="U55" s="2"/>
      <c r="W55" s="40">
        <v>43297.966273148151</v>
      </c>
      <c r="X55" s="50">
        <f t="shared" si="9"/>
        <v>14.190555555629544</v>
      </c>
      <c r="Y55">
        <v>0</v>
      </c>
      <c r="Z55">
        <v>5.3</v>
      </c>
      <c r="AA55" s="32">
        <f t="shared" si="10"/>
        <v>0</v>
      </c>
      <c r="AB55" s="32">
        <f t="shared" si="11"/>
        <v>8.2009848628484486E-3</v>
      </c>
      <c r="AD55" s="40">
        <v>43297.967673611114</v>
      </c>
      <c r="AE55" s="50">
        <f t="shared" si="12"/>
        <v>14.22416666673962</v>
      </c>
      <c r="AF55">
        <v>562.6</v>
      </c>
      <c r="AG55">
        <v>545.91</v>
      </c>
      <c r="AH55" s="32">
        <f t="shared" si="13"/>
        <v>0.75792488222052345</v>
      </c>
      <c r="AI55" s="32">
        <f t="shared" si="14"/>
        <v>0.84471691442973507</v>
      </c>
      <c r="AK55" s="40">
        <v>43297.968530092592</v>
      </c>
      <c r="AL55" s="50">
        <f t="shared" si="15"/>
        <v>14.244722222210839</v>
      </c>
      <c r="AM55">
        <v>91.14</v>
      </c>
      <c r="AN55">
        <v>75.66</v>
      </c>
      <c r="AO55" s="32">
        <f t="shared" si="16"/>
        <v>0.12278221430070831</v>
      </c>
      <c r="AP55" s="32">
        <f t="shared" si="17"/>
        <v>0.11707292730624783</v>
      </c>
    </row>
    <row r="56" spans="1:65" x14ac:dyDescent="0.2">
      <c r="A56" s="40">
        <v>43297.975069444445</v>
      </c>
      <c r="B56" s="50">
        <f t="shared" si="0"/>
        <v>14.401666666672099</v>
      </c>
      <c r="C56">
        <v>2.17</v>
      </c>
      <c r="D56">
        <v>13.38</v>
      </c>
      <c r="E56" s="32">
        <f t="shared" si="1"/>
        <v>2.9233860547787692E-3</v>
      </c>
      <c r="F56" s="32">
        <f t="shared" si="2"/>
        <v>2.070361838960608E-2</v>
      </c>
      <c r="G56" s="2"/>
      <c r="H56" s="40">
        <v>43297.975925925923</v>
      </c>
      <c r="I56" s="50">
        <f t="shared" si="3"/>
        <v>14.422222222143319</v>
      </c>
      <c r="J56">
        <v>61164.12</v>
      </c>
      <c r="K56">
        <v>52729.279999999999</v>
      </c>
      <c r="L56" s="32">
        <f t="shared" si="4"/>
        <v>528.00061470462913</v>
      </c>
      <c r="M56" s="32">
        <f t="shared" si="5"/>
        <v>522.82126223364924</v>
      </c>
      <c r="N56" s="2"/>
      <c r="O56" s="40">
        <v>43297.976782407408</v>
      </c>
      <c r="P56" s="50">
        <f t="shared" si="6"/>
        <v>14.442777777789161</v>
      </c>
      <c r="Q56">
        <v>1161.1400000000001</v>
      </c>
      <c r="R56">
        <v>1029.03</v>
      </c>
      <c r="S56" s="32">
        <f t="shared" si="18"/>
        <v>1.1018814408764421</v>
      </c>
      <c r="T56" s="32">
        <f t="shared" si="19"/>
        <v>1.121610385002795</v>
      </c>
      <c r="U56" s="2"/>
      <c r="W56" s="40">
        <v>43297.982754629629</v>
      </c>
      <c r="X56" s="50">
        <f t="shared" si="9"/>
        <v>14.586111111100763</v>
      </c>
      <c r="Y56">
        <v>0</v>
      </c>
      <c r="Z56">
        <v>0</v>
      </c>
      <c r="AA56" s="32">
        <f t="shared" si="10"/>
        <v>0</v>
      </c>
      <c r="AB56" s="32">
        <f t="shared" si="11"/>
        <v>0</v>
      </c>
      <c r="AD56" s="40">
        <v>43297.984166666669</v>
      </c>
      <c r="AE56" s="50">
        <f t="shared" si="12"/>
        <v>14.620000000053551</v>
      </c>
      <c r="AF56">
        <v>512.73</v>
      </c>
      <c r="AG56">
        <v>501.93</v>
      </c>
      <c r="AH56" s="32">
        <f t="shared" si="13"/>
        <v>0.69074089026116059</v>
      </c>
      <c r="AI56" s="32">
        <f t="shared" si="14"/>
        <v>0.77666421362443805</v>
      </c>
      <c r="AK56" s="40">
        <v>43297.985023148147</v>
      </c>
      <c r="AL56" s="50">
        <f t="shared" si="15"/>
        <v>14.64055555552477</v>
      </c>
      <c r="AM56">
        <v>87.18</v>
      </c>
      <c r="AN56">
        <v>94.46</v>
      </c>
      <c r="AO56" s="32">
        <f t="shared" si="16"/>
        <v>0.11744737154636549</v>
      </c>
      <c r="AP56" s="32">
        <f t="shared" si="17"/>
        <v>0.14616321323484233</v>
      </c>
      <c r="AV56" s="40"/>
      <c r="AW56" s="40"/>
      <c r="AX56" s="40"/>
      <c r="AY56" s="40"/>
      <c r="AZ56" s="40"/>
      <c r="BA56" s="40"/>
      <c r="BB56" s="40"/>
      <c r="BC56" s="40"/>
      <c r="BD56" s="40"/>
      <c r="BE56" s="40"/>
      <c r="BF56" s="40"/>
      <c r="BG56" s="40"/>
      <c r="BH56" s="40"/>
      <c r="BI56" s="40"/>
      <c r="BJ56" s="40"/>
      <c r="BK56" s="40"/>
      <c r="BL56" s="40"/>
      <c r="BM56" s="40"/>
    </row>
    <row r="57" spans="1:65" x14ac:dyDescent="0.2">
      <c r="A57" s="40">
        <v>43297.991550925923</v>
      </c>
      <c r="B57" s="50">
        <f t="shared" si="0"/>
        <v>14.797222222143319</v>
      </c>
      <c r="C57">
        <v>15.7</v>
      </c>
      <c r="D57">
        <v>17.600000000000001</v>
      </c>
      <c r="E57" s="32">
        <f t="shared" si="1"/>
        <v>2.1150765465450083E-2</v>
      </c>
      <c r="F57" s="32">
        <f t="shared" si="2"/>
        <v>2.7233459167194846E-2</v>
      </c>
      <c r="G57" s="2"/>
      <c r="H57" s="40">
        <v>43297.992407407408</v>
      </c>
      <c r="I57" s="50">
        <f t="shared" si="3"/>
        <v>14.817777777789161</v>
      </c>
      <c r="J57">
        <v>60976.14</v>
      </c>
      <c r="K57">
        <v>52566.84</v>
      </c>
      <c r="L57" s="32">
        <f t="shared" si="4"/>
        <v>526.37787320925281</v>
      </c>
      <c r="M57" s="32">
        <f t="shared" si="5"/>
        <v>521.21063743776278</v>
      </c>
      <c r="N57" s="2"/>
      <c r="O57" s="40">
        <v>43297.993263888886</v>
      </c>
      <c r="P57" s="50">
        <f t="shared" si="6"/>
        <v>14.83833333326038</v>
      </c>
      <c r="Q57">
        <v>1180.43</v>
      </c>
      <c r="R57">
        <v>1052.07</v>
      </c>
      <c r="S57" s="32">
        <f>(Q57/$B$5)/$Q$18</f>
        <v>1.1201869793941974</v>
      </c>
      <c r="T57" s="32">
        <f>(R57/$C$5)/$Q$18</f>
        <v>1.1467232614694329</v>
      </c>
      <c r="U57" s="2"/>
      <c r="W57" s="40">
        <v>43297.999236111114</v>
      </c>
      <c r="X57" s="50">
        <f t="shared" si="9"/>
        <v>14.981666666746605</v>
      </c>
      <c r="Y57">
        <v>0</v>
      </c>
      <c r="Z57">
        <v>0</v>
      </c>
      <c r="AA57" s="32">
        <f t="shared" si="10"/>
        <v>0</v>
      </c>
      <c r="AB57" s="32">
        <f t="shared" si="11"/>
        <v>0</v>
      </c>
      <c r="AD57" s="40">
        <v>43298.000740740739</v>
      </c>
      <c r="AE57" s="50">
        <f t="shared" si="12"/>
        <v>15.017777777742594</v>
      </c>
      <c r="AF57">
        <v>566.30999999999995</v>
      </c>
      <c r="AG57">
        <v>542.34</v>
      </c>
      <c r="AH57" s="32">
        <f t="shared" si="13"/>
        <v>0.76292292934643535</v>
      </c>
      <c r="AI57" s="32">
        <f t="shared" si="14"/>
        <v>0.83919285481457118</v>
      </c>
      <c r="AK57" s="40">
        <v>43298.001597222225</v>
      </c>
      <c r="AL57" s="50">
        <f t="shared" si="15"/>
        <v>15.038333333388437</v>
      </c>
      <c r="AM57">
        <v>88.21</v>
      </c>
      <c r="AN57">
        <v>93.42</v>
      </c>
      <c r="AO57" s="32">
        <f t="shared" si="16"/>
        <v>0.1188349695355001</v>
      </c>
      <c r="AP57" s="32">
        <f t="shared" si="17"/>
        <v>0.14455396337496265</v>
      </c>
    </row>
    <row r="58" spans="1:65" x14ac:dyDescent="0.2">
      <c r="A58" s="40">
        <v>43298.008009259262</v>
      </c>
      <c r="B58" s="50">
        <f t="shared" si="0"/>
        <v>15.19222222227836</v>
      </c>
      <c r="C58">
        <v>7.17</v>
      </c>
      <c r="D58">
        <v>20.64</v>
      </c>
      <c r="E58" s="32">
        <f t="shared" si="1"/>
        <v>9.6592986233934464E-3</v>
      </c>
      <c r="F58" s="32">
        <f t="shared" si="2"/>
        <v>3.1937420296073958E-2</v>
      </c>
      <c r="G58" s="2"/>
      <c r="H58" s="40">
        <v>43298.00886574074</v>
      </c>
      <c r="I58" s="50">
        <f t="shared" si="3"/>
        <v>15.212777777749579</v>
      </c>
      <c r="J58">
        <v>61082.04</v>
      </c>
      <c r="K58">
        <v>52413.13</v>
      </c>
      <c r="L58" s="32">
        <f t="shared" si="4"/>
        <v>527.29205729458283</v>
      </c>
      <c r="M58" s="32">
        <f t="shared" si="5"/>
        <v>519.68657232217743</v>
      </c>
      <c r="N58" s="2"/>
      <c r="O58" s="40">
        <v>43298.009722222225</v>
      </c>
      <c r="P58" s="50">
        <f t="shared" si="6"/>
        <v>15.233333333395422</v>
      </c>
      <c r="Q58">
        <v>1209.43</v>
      </c>
      <c r="R58">
        <v>968.08</v>
      </c>
      <c r="S58" s="32">
        <f t="shared" ref="S58:S80" si="20">(Q58/$B$5)/$Q$18</f>
        <v>1.1477069699081897</v>
      </c>
      <c r="T58" s="32">
        <f t="shared" ref="T58:T80" si="21">(R58/$C$5)/$Q$18</f>
        <v>1.0551767990374488</v>
      </c>
      <c r="U58" s="2"/>
      <c r="W58" s="40">
        <v>43298.015694444446</v>
      </c>
      <c r="X58" s="50">
        <f t="shared" si="9"/>
        <v>15.376666666707024</v>
      </c>
      <c r="Y58">
        <v>0</v>
      </c>
      <c r="Z58">
        <v>0</v>
      </c>
      <c r="AA58" s="32">
        <f t="shared" si="10"/>
        <v>0</v>
      </c>
      <c r="AB58" s="32">
        <f t="shared" si="11"/>
        <v>0</v>
      </c>
      <c r="AD58" s="40">
        <v>43298.017118055555</v>
      </c>
      <c r="AE58" s="50">
        <f t="shared" si="12"/>
        <v>15.410833333327901</v>
      </c>
      <c r="AF58">
        <v>527.29999999999995</v>
      </c>
      <c r="AG58">
        <v>497.14</v>
      </c>
      <c r="AH58" s="32">
        <f t="shared" si="13"/>
        <v>0.7103693394861037</v>
      </c>
      <c r="AI58" s="32">
        <f t="shared" si="14"/>
        <v>0.76925238013518438</v>
      </c>
      <c r="AK58" s="40">
        <v>43298.017974537041</v>
      </c>
      <c r="AL58" s="50">
        <f t="shared" si="15"/>
        <v>15.431388888973743</v>
      </c>
      <c r="AM58">
        <v>96.15</v>
      </c>
      <c r="AN58">
        <v>115.77</v>
      </c>
      <c r="AO58" s="32">
        <f t="shared" si="16"/>
        <v>0.12953159869446024</v>
      </c>
      <c r="AP58" s="32">
        <f t="shared" si="17"/>
        <v>0.1791373618060311</v>
      </c>
    </row>
    <row r="59" spans="1:65" x14ac:dyDescent="0.2">
      <c r="A59" s="40">
        <v>43298.024513888886</v>
      </c>
      <c r="B59" s="50">
        <f t="shared" si="0"/>
        <v>15.58833333326038</v>
      </c>
      <c r="C59">
        <v>3.17</v>
      </c>
      <c r="D59">
        <v>6.51</v>
      </c>
      <c r="E59" s="32">
        <f t="shared" si="1"/>
        <v>4.2705685685017047E-3</v>
      </c>
      <c r="F59" s="32">
        <f t="shared" si="2"/>
        <v>1.0073285180593094E-2</v>
      </c>
      <c r="G59" s="2"/>
      <c r="H59" s="40">
        <v>43298.025370370371</v>
      </c>
      <c r="I59" s="50">
        <f t="shared" si="3"/>
        <v>15.608888888906222</v>
      </c>
      <c r="J59">
        <v>61108.42</v>
      </c>
      <c r="K59">
        <v>52728.03</v>
      </c>
      <c r="L59" s="32">
        <f t="shared" si="4"/>
        <v>527.51978322632044</v>
      </c>
      <c r="M59" s="32">
        <f t="shared" si="5"/>
        <v>522.80886823589708</v>
      </c>
      <c r="N59" s="2"/>
      <c r="O59" s="40">
        <v>43298.02621527778</v>
      </c>
      <c r="P59" s="50">
        <f t="shared" si="6"/>
        <v>15.629166666709352</v>
      </c>
      <c r="Q59">
        <v>1199.43</v>
      </c>
      <c r="R59">
        <v>999.33</v>
      </c>
      <c r="S59" s="32">
        <f t="shared" si="20"/>
        <v>1.1382173180068129</v>
      </c>
      <c r="T59" s="32">
        <f t="shared" si="21"/>
        <v>1.0892383176825198</v>
      </c>
      <c r="U59" s="2"/>
      <c r="W59" s="40">
        <v>43298.032199074078</v>
      </c>
      <c r="X59" s="50">
        <f t="shared" si="9"/>
        <v>15.772777777863666</v>
      </c>
      <c r="Y59">
        <v>0</v>
      </c>
      <c r="Z59">
        <v>1.73</v>
      </c>
      <c r="AA59" s="32">
        <f t="shared" si="10"/>
        <v>0</v>
      </c>
      <c r="AB59" s="32">
        <f t="shared" si="11"/>
        <v>2.6769252476844933E-3</v>
      </c>
      <c r="AD59" s="40">
        <v>43298.033622685187</v>
      </c>
      <c r="AE59" s="50">
        <f t="shared" si="12"/>
        <v>15.806944444484543</v>
      </c>
      <c r="AF59">
        <v>558.74</v>
      </c>
      <c r="AG59">
        <v>525.63</v>
      </c>
      <c r="AH59" s="32">
        <f t="shared" si="13"/>
        <v>0.75272475771755287</v>
      </c>
      <c r="AI59" s="32">
        <f t="shared" si="14"/>
        <v>0.81333654216208107</v>
      </c>
      <c r="AK59" s="40">
        <v>43298.034467592595</v>
      </c>
      <c r="AL59" s="50">
        <f t="shared" si="15"/>
        <v>15.827222222287674</v>
      </c>
      <c r="AM59">
        <v>73.69</v>
      </c>
      <c r="AN59">
        <v>85.5</v>
      </c>
      <c r="AO59" s="32">
        <f t="shared" si="16"/>
        <v>9.9273879436243093E-2</v>
      </c>
      <c r="AP59" s="32">
        <f t="shared" si="17"/>
        <v>0.13229890674972497</v>
      </c>
      <c r="AV59" s="40"/>
      <c r="AW59" s="40"/>
      <c r="AX59" s="40"/>
      <c r="AY59" s="40"/>
      <c r="AZ59" s="40"/>
      <c r="BA59" s="40"/>
      <c r="BB59" s="40"/>
      <c r="BC59" s="40"/>
      <c r="BD59" s="40"/>
      <c r="BE59" s="40"/>
      <c r="BF59" s="40"/>
      <c r="BG59" s="40"/>
      <c r="BH59" s="40"/>
      <c r="BI59" s="40"/>
      <c r="BJ59" s="40"/>
      <c r="BK59" s="40"/>
      <c r="BL59" s="40"/>
      <c r="BM59" s="40"/>
    </row>
    <row r="60" spans="1:65" x14ac:dyDescent="0.2">
      <c r="A60" s="40">
        <v>43298.041006944448</v>
      </c>
      <c r="B60" s="50">
        <f t="shared" si="0"/>
        <v>15.984166666748933</v>
      </c>
      <c r="C60">
        <v>2.16</v>
      </c>
      <c r="D60">
        <v>6.5</v>
      </c>
      <c r="E60" s="32">
        <f t="shared" si="1"/>
        <v>2.9099142296415406E-3</v>
      </c>
      <c r="F60" s="32">
        <f t="shared" si="2"/>
        <v>1.0057811624248096E-2</v>
      </c>
      <c r="G60" s="2"/>
      <c r="H60" s="40">
        <v>43298.041863425926</v>
      </c>
      <c r="I60" s="50">
        <f t="shared" si="3"/>
        <v>16.004722222220153</v>
      </c>
      <c r="J60">
        <v>61118</v>
      </c>
      <c r="K60">
        <v>52830.400000000001</v>
      </c>
      <c r="L60" s="32">
        <f t="shared" si="4"/>
        <v>527.6024827875807</v>
      </c>
      <c r="M60" s="32">
        <f t="shared" si="5"/>
        <v>523.8238870758064</v>
      </c>
      <c r="N60" s="2"/>
      <c r="O60" s="40">
        <v>43298.042719907404</v>
      </c>
      <c r="P60" s="50">
        <f t="shared" si="6"/>
        <v>16.025277777691372</v>
      </c>
      <c r="Q60">
        <v>1224.96</v>
      </c>
      <c r="R60">
        <v>1032.43</v>
      </c>
      <c r="S60" s="32">
        <f t="shared" si="20"/>
        <v>1.1624443993110274</v>
      </c>
      <c r="T60" s="32">
        <f t="shared" si="21"/>
        <v>1.1253162782313788</v>
      </c>
      <c r="U60" s="2"/>
      <c r="W60" s="40">
        <v>43298.048692129632</v>
      </c>
      <c r="X60" s="50">
        <f t="shared" si="9"/>
        <v>16.168611111177597</v>
      </c>
      <c r="Y60">
        <v>0</v>
      </c>
      <c r="Z60">
        <v>0</v>
      </c>
      <c r="AA60" s="32">
        <f t="shared" si="10"/>
        <v>0</v>
      </c>
      <c r="AB60" s="32">
        <f t="shared" si="11"/>
        <v>0</v>
      </c>
      <c r="AD60" s="40">
        <v>43298.050104166665</v>
      </c>
      <c r="AE60" s="50">
        <f t="shared" si="12"/>
        <v>16.202499999955762</v>
      </c>
      <c r="AF60">
        <v>546.79</v>
      </c>
      <c r="AG60">
        <v>557.03</v>
      </c>
      <c r="AH60" s="32">
        <f t="shared" si="13"/>
        <v>0.73662592667856375</v>
      </c>
      <c r="AI60" s="32">
        <f t="shared" si="14"/>
        <v>0.86192350908537174</v>
      </c>
      <c r="AK60" s="40">
        <v>43298.05096064815</v>
      </c>
      <c r="AL60" s="50">
        <f t="shared" si="15"/>
        <v>16.223055555601604</v>
      </c>
      <c r="AM60">
        <v>74.180000000000007</v>
      </c>
      <c r="AN60">
        <v>94</v>
      </c>
      <c r="AO60" s="32">
        <f t="shared" si="16"/>
        <v>9.9933998867967347E-2</v>
      </c>
      <c r="AP60" s="32">
        <f t="shared" si="17"/>
        <v>0.14545142964297247</v>
      </c>
    </row>
    <row r="61" spans="1:65" x14ac:dyDescent="0.2">
      <c r="A61" s="40">
        <v>43298.057500000003</v>
      </c>
      <c r="B61" s="50">
        <f t="shared" si="0"/>
        <v>16.380000000062864</v>
      </c>
      <c r="C61">
        <v>7.69</v>
      </c>
      <c r="D61">
        <v>8.5299999999999994</v>
      </c>
      <c r="E61" s="32">
        <f t="shared" si="1"/>
        <v>1.0359833530529373E-2</v>
      </c>
      <c r="F61" s="32">
        <f t="shared" si="2"/>
        <v>1.31989435622825E-2</v>
      </c>
      <c r="G61" s="2"/>
      <c r="H61" s="40">
        <v>43298.058356481481</v>
      </c>
      <c r="I61" s="50">
        <f t="shared" si="3"/>
        <v>16.400555555534083</v>
      </c>
      <c r="J61">
        <v>60971.76</v>
      </c>
      <c r="K61">
        <v>52505.56</v>
      </c>
      <c r="L61" s="32">
        <f t="shared" si="4"/>
        <v>526.34006276266405</v>
      </c>
      <c r="M61" s="32">
        <f t="shared" si="5"/>
        <v>520.60303409196172</v>
      </c>
      <c r="N61" s="2"/>
      <c r="O61" s="40">
        <v>43298.059212962966</v>
      </c>
      <c r="P61" s="50">
        <f t="shared" si="6"/>
        <v>16.421111111179926</v>
      </c>
      <c r="Q61">
        <v>1180.93</v>
      </c>
      <c r="R61">
        <v>973.1</v>
      </c>
      <c r="S61" s="32">
        <f t="shared" si="20"/>
        <v>1.1206614619892663</v>
      </c>
      <c r="T61" s="32">
        <f t="shared" si="21"/>
        <v>1.060648441392593</v>
      </c>
      <c r="U61" s="2"/>
      <c r="W61" s="40">
        <v>43298.065196759257</v>
      </c>
      <c r="X61" s="50">
        <f t="shared" si="9"/>
        <v>16.564722222159617</v>
      </c>
      <c r="Y61">
        <v>0</v>
      </c>
      <c r="Z61">
        <v>1.73</v>
      </c>
      <c r="AA61" s="32">
        <f t="shared" si="10"/>
        <v>0</v>
      </c>
      <c r="AB61" s="32">
        <f t="shared" si="11"/>
        <v>2.6769252476844933E-3</v>
      </c>
      <c r="AD61" s="40">
        <v>43298.066608796296</v>
      </c>
      <c r="AE61" s="50">
        <f t="shared" si="12"/>
        <v>16.598611111112405</v>
      </c>
      <c r="AF61">
        <v>515.26</v>
      </c>
      <c r="AG61">
        <v>571.89</v>
      </c>
      <c r="AH61" s="32">
        <f t="shared" si="13"/>
        <v>0.69414926202087956</v>
      </c>
      <c r="AI61" s="32">
        <f t="shared" si="14"/>
        <v>0.88491721381403754</v>
      </c>
      <c r="AK61" s="40">
        <v>43298.067465277774</v>
      </c>
      <c r="AL61" s="50">
        <f t="shared" si="15"/>
        <v>16.619166666583624</v>
      </c>
      <c r="AM61">
        <v>80.7</v>
      </c>
      <c r="AN61">
        <v>97.01</v>
      </c>
      <c r="AO61" s="32">
        <f t="shared" si="16"/>
        <v>0.10871762885744088</v>
      </c>
      <c r="AP61" s="32">
        <f t="shared" si="17"/>
        <v>0.1501089701028166</v>
      </c>
    </row>
    <row r="62" spans="1:65" x14ac:dyDescent="0.2">
      <c r="A62" s="40">
        <v>43298.074016203704</v>
      </c>
      <c r="B62" s="50">
        <f t="shared" si="0"/>
        <v>16.776388888887595</v>
      </c>
      <c r="C62">
        <v>5.2</v>
      </c>
      <c r="D62">
        <v>15.59</v>
      </c>
      <c r="E62" s="32">
        <f t="shared" si="1"/>
        <v>7.0053490713592632E-3</v>
      </c>
      <c r="F62" s="32">
        <f t="shared" si="2"/>
        <v>2.4123274341850433E-2</v>
      </c>
      <c r="G62" s="2"/>
      <c r="H62" s="40">
        <v>43298.074872685182</v>
      </c>
      <c r="I62" s="50">
        <f t="shared" si="3"/>
        <v>16.796944444358815</v>
      </c>
      <c r="J62">
        <v>60732.05</v>
      </c>
      <c r="K62">
        <v>52098.23</v>
      </c>
      <c r="L62" s="32">
        <f t="shared" si="4"/>
        <v>524.2707609015265</v>
      </c>
      <c r="M62" s="32">
        <f t="shared" si="5"/>
        <v>516.56427640845789</v>
      </c>
      <c r="N62" s="2"/>
      <c r="O62" s="40">
        <v>43298.075729166667</v>
      </c>
      <c r="P62" s="50">
        <f t="shared" si="6"/>
        <v>16.817500000004657</v>
      </c>
      <c r="Q62">
        <v>1194.9100000000001</v>
      </c>
      <c r="R62">
        <v>1045.4100000000001</v>
      </c>
      <c r="S62" s="32">
        <f t="shared" si="20"/>
        <v>1.1339279953473909</v>
      </c>
      <c r="T62" s="32">
        <f t="shared" si="21"/>
        <v>1.1394640706157955</v>
      </c>
      <c r="U62" s="2"/>
      <c r="W62" s="40">
        <v>43298.081701388888</v>
      </c>
      <c r="X62" s="50">
        <f t="shared" si="9"/>
        <v>16.960833333316259</v>
      </c>
      <c r="Y62">
        <v>0</v>
      </c>
      <c r="Z62">
        <v>0.53</v>
      </c>
      <c r="AA62" s="32">
        <f t="shared" si="10"/>
        <v>0</v>
      </c>
      <c r="AB62" s="32">
        <f t="shared" si="11"/>
        <v>8.2009848628484476E-4</v>
      </c>
      <c r="AD62" s="40">
        <v>43298.083113425928</v>
      </c>
      <c r="AE62" s="50">
        <f t="shared" si="12"/>
        <v>16.994722222269047</v>
      </c>
      <c r="AF62">
        <v>545.28</v>
      </c>
      <c r="AG62">
        <v>529.98</v>
      </c>
      <c r="AH62" s="32">
        <f t="shared" si="13"/>
        <v>0.73459168108284212</v>
      </c>
      <c r="AI62" s="32">
        <f t="shared" si="14"/>
        <v>0.8200675391721548</v>
      </c>
      <c r="AK62" s="40">
        <v>43298.083969907406</v>
      </c>
      <c r="AL62" s="50">
        <f t="shared" si="15"/>
        <v>17.015277777740266</v>
      </c>
      <c r="AM62">
        <v>84.7</v>
      </c>
      <c r="AN62">
        <v>100.75</v>
      </c>
      <c r="AO62" s="32">
        <f t="shared" si="16"/>
        <v>0.11410635891233262</v>
      </c>
      <c r="AP62" s="32">
        <f t="shared" si="17"/>
        <v>0.1558960801758455</v>
      </c>
      <c r="AV62" s="40"/>
      <c r="AW62" s="40"/>
      <c r="AX62" s="40"/>
      <c r="AY62" s="40"/>
      <c r="AZ62" s="40"/>
      <c r="BA62" s="40"/>
      <c r="BB62" s="40"/>
      <c r="BC62" s="40"/>
      <c r="BD62" s="40"/>
      <c r="BE62" s="40"/>
      <c r="BF62" s="40"/>
      <c r="BG62" s="40"/>
      <c r="BH62" s="40"/>
      <c r="BI62" s="40"/>
      <c r="BJ62" s="40"/>
      <c r="BK62" s="40"/>
      <c r="BL62" s="40"/>
      <c r="BM62" s="40"/>
    </row>
    <row r="63" spans="1:65" x14ac:dyDescent="0.2">
      <c r="A63" s="40">
        <v>43298.090509259258</v>
      </c>
      <c r="B63" s="50">
        <f t="shared" si="0"/>
        <v>17.172222222201526</v>
      </c>
      <c r="C63">
        <v>7.17</v>
      </c>
      <c r="D63">
        <v>4.49</v>
      </c>
      <c r="E63" s="32">
        <f t="shared" si="1"/>
        <v>9.6592986233934464E-3</v>
      </c>
      <c r="F63" s="32">
        <f t="shared" si="2"/>
        <v>6.9476267989036855E-3</v>
      </c>
      <c r="G63" s="2"/>
      <c r="H63" s="40">
        <v>43298.091365740744</v>
      </c>
      <c r="I63" s="50">
        <f t="shared" si="3"/>
        <v>17.192777777847368</v>
      </c>
      <c r="J63">
        <v>60613.74</v>
      </c>
      <c r="K63">
        <v>52032.56</v>
      </c>
      <c r="L63" s="32">
        <f t="shared" si="4"/>
        <v>523.2494472175282</v>
      </c>
      <c r="M63" s="32">
        <f t="shared" si="5"/>
        <v>515.91314534255127</v>
      </c>
      <c r="N63" s="2"/>
      <c r="O63" s="40">
        <v>43298.092222222222</v>
      </c>
      <c r="P63" s="50">
        <f t="shared" si="6"/>
        <v>17.213333333318587</v>
      </c>
      <c r="Q63">
        <v>1192.3900000000001</v>
      </c>
      <c r="R63">
        <v>1055.8599999999999</v>
      </c>
      <c r="S63" s="32">
        <f t="shared" si="20"/>
        <v>1.1315366030682439</v>
      </c>
      <c r="T63" s="32">
        <f t="shared" si="21"/>
        <v>1.1508542424507071</v>
      </c>
      <c r="U63" s="2"/>
      <c r="W63" s="40">
        <v>43298.098194444443</v>
      </c>
      <c r="X63" s="50">
        <f t="shared" si="9"/>
        <v>17.35666666663019</v>
      </c>
      <c r="Y63">
        <v>0</v>
      </c>
      <c r="Z63">
        <v>7.46</v>
      </c>
      <c r="AA63" s="32">
        <f t="shared" si="10"/>
        <v>0</v>
      </c>
      <c r="AB63" s="32">
        <f t="shared" si="11"/>
        <v>1.1543273033367813E-2</v>
      </c>
      <c r="AD63" s="40">
        <v>43298.099606481483</v>
      </c>
      <c r="AE63" s="50">
        <f t="shared" si="12"/>
        <v>17.390555555582978</v>
      </c>
      <c r="AF63">
        <v>530.63</v>
      </c>
      <c r="AG63">
        <v>480.66</v>
      </c>
      <c r="AH63" s="32">
        <f t="shared" si="13"/>
        <v>0.71485545725680111</v>
      </c>
      <c r="AI63" s="32">
        <f t="shared" si="14"/>
        <v>0.74375195927862925</v>
      </c>
      <c r="AK63" s="40">
        <v>43298.100462962961</v>
      </c>
      <c r="AL63" s="50">
        <f t="shared" si="15"/>
        <v>17.411111111054197</v>
      </c>
      <c r="AM63">
        <v>81.19</v>
      </c>
      <c r="AN63">
        <v>76.47</v>
      </c>
      <c r="AO63" s="32">
        <f t="shared" si="16"/>
        <v>0.10937774828916512</v>
      </c>
      <c r="AP63" s="32">
        <f t="shared" si="17"/>
        <v>0.11832628537019259</v>
      </c>
    </row>
    <row r="64" spans="1:65" x14ac:dyDescent="0.2">
      <c r="A64" s="40">
        <v>43298.107002314813</v>
      </c>
      <c r="B64" s="50">
        <f t="shared" si="0"/>
        <v>17.568055555515457</v>
      </c>
      <c r="C64">
        <v>15.17</v>
      </c>
      <c r="D64">
        <v>14.58</v>
      </c>
      <c r="E64" s="32">
        <f t="shared" si="1"/>
        <v>2.0436758733176928E-2</v>
      </c>
      <c r="F64" s="32">
        <f t="shared" si="2"/>
        <v>2.2560445151005731E-2</v>
      </c>
      <c r="G64" s="2"/>
      <c r="H64" s="40">
        <v>43298.107858796298</v>
      </c>
      <c r="I64" s="50">
        <f t="shared" si="3"/>
        <v>17.588611111161299</v>
      </c>
      <c r="J64">
        <v>60487.39</v>
      </c>
      <c r="K64">
        <v>52330.93</v>
      </c>
      <c r="L64" s="32">
        <f t="shared" si="4"/>
        <v>522.1587280562303</v>
      </c>
      <c r="M64" s="32">
        <f t="shared" si="5"/>
        <v>518.87154302999659</v>
      </c>
      <c r="N64" s="2"/>
      <c r="O64" s="40">
        <v>43298.108715277776</v>
      </c>
      <c r="P64" s="50">
        <f t="shared" si="6"/>
        <v>17.609166666632518</v>
      </c>
      <c r="Q64">
        <v>1174.3900000000001</v>
      </c>
      <c r="R64">
        <v>1047.29</v>
      </c>
      <c r="S64" s="32">
        <f t="shared" si="20"/>
        <v>1.1144552296457662</v>
      </c>
      <c r="T64" s="32">
        <f t="shared" si="21"/>
        <v>1.1415132115774829</v>
      </c>
      <c r="U64" s="2"/>
      <c r="W64" s="40">
        <v>43298.114687499998</v>
      </c>
      <c r="X64" s="50">
        <f t="shared" si="9"/>
        <v>17.752499999944121</v>
      </c>
      <c r="Y64">
        <v>0</v>
      </c>
      <c r="Z64">
        <v>14.84</v>
      </c>
      <c r="AA64" s="32">
        <f t="shared" si="10"/>
        <v>0</v>
      </c>
      <c r="AB64" s="32">
        <f t="shared" si="11"/>
        <v>2.2962757615975653E-2</v>
      </c>
      <c r="AD64" s="40">
        <v>43298.116099537037</v>
      </c>
      <c r="AE64" s="50">
        <f t="shared" si="12"/>
        <v>17.786388888896909</v>
      </c>
      <c r="AF64">
        <v>485.8</v>
      </c>
      <c r="AG64">
        <v>534.13</v>
      </c>
      <c r="AH64" s="32">
        <f t="shared" si="13"/>
        <v>0.65446126516660197</v>
      </c>
      <c r="AI64" s="32">
        <f t="shared" si="14"/>
        <v>0.82648906505532849</v>
      </c>
      <c r="AK64" s="40">
        <v>43298.116956018515</v>
      </c>
      <c r="AL64" s="50">
        <f t="shared" si="15"/>
        <v>17.806944444368128</v>
      </c>
      <c r="AM64">
        <v>98.7</v>
      </c>
      <c r="AN64">
        <v>112.02</v>
      </c>
      <c r="AO64" s="32">
        <f t="shared" si="16"/>
        <v>0.13296691410445372</v>
      </c>
      <c r="AP64" s="32">
        <f t="shared" si="17"/>
        <v>0.17333477817665718</v>
      </c>
    </row>
    <row r="65" spans="1:65" x14ac:dyDescent="0.2">
      <c r="A65" s="40">
        <v>43298.123495370368</v>
      </c>
      <c r="B65" s="50">
        <f t="shared" si="0"/>
        <v>17.963888888829388</v>
      </c>
      <c r="C65">
        <v>0</v>
      </c>
      <c r="D65">
        <v>2.4700000000000002</v>
      </c>
      <c r="E65" s="32">
        <f t="shared" si="1"/>
        <v>0</v>
      </c>
      <c r="F65" s="32">
        <f t="shared" si="2"/>
        <v>3.8219684172142764E-3</v>
      </c>
      <c r="G65" s="2"/>
      <c r="H65" s="40">
        <v>43298.124351851853</v>
      </c>
      <c r="I65" s="50">
        <f t="shared" si="3"/>
        <v>17.98444444447523</v>
      </c>
      <c r="J65">
        <v>61079.01</v>
      </c>
      <c r="K65">
        <v>51920.160000000003</v>
      </c>
      <c r="L65" s="32">
        <f t="shared" si="4"/>
        <v>527.26590075276465</v>
      </c>
      <c r="M65" s="32">
        <f t="shared" si="5"/>
        <v>514.79867706467883</v>
      </c>
      <c r="N65" s="2"/>
      <c r="O65" s="40">
        <v>43298.125208333331</v>
      </c>
      <c r="P65" s="50">
        <f t="shared" si="6"/>
        <v>18.004999999946449</v>
      </c>
      <c r="Q65">
        <v>1210.83</v>
      </c>
      <c r="R65">
        <v>973.97</v>
      </c>
      <c r="S65" s="32">
        <f t="shared" si="20"/>
        <v>1.1490355211743823</v>
      </c>
      <c r="T65" s="32">
        <f t="shared" si="21"/>
        <v>1.0615967140716716</v>
      </c>
      <c r="U65" s="2"/>
      <c r="W65" s="40">
        <v>43298.131180555552</v>
      </c>
      <c r="X65" s="50">
        <f t="shared" si="9"/>
        <v>18.148333333258051</v>
      </c>
      <c r="Y65">
        <v>0</v>
      </c>
      <c r="Z65">
        <v>0</v>
      </c>
      <c r="AA65" s="32">
        <f t="shared" si="10"/>
        <v>0</v>
      </c>
      <c r="AB65" s="32">
        <f t="shared" si="11"/>
        <v>0</v>
      </c>
      <c r="AD65" s="40">
        <v>43298.132592592592</v>
      </c>
      <c r="AE65" s="50">
        <f t="shared" si="12"/>
        <v>18.182222222210839</v>
      </c>
      <c r="AF65">
        <v>490.14</v>
      </c>
      <c r="AG65">
        <v>500.77</v>
      </c>
      <c r="AH65" s="32">
        <f t="shared" si="13"/>
        <v>0.6603080372761595</v>
      </c>
      <c r="AI65" s="32">
        <f t="shared" si="14"/>
        <v>0.77486928108841835</v>
      </c>
      <c r="AK65" s="40">
        <v>43298.133449074077</v>
      </c>
      <c r="AL65" s="50">
        <f t="shared" si="15"/>
        <v>18.202777777856681</v>
      </c>
      <c r="AM65">
        <v>99.68</v>
      </c>
      <c r="AN65">
        <v>84.24</v>
      </c>
      <c r="AO65" s="32">
        <f t="shared" si="16"/>
        <v>0.1342871529679022</v>
      </c>
      <c r="AP65" s="32">
        <f t="shared" si="17"/>
        <v>0.13034923865025533</v>
      </c>
      <c r="AV65" s="40"/>
      <c r="AW65" s="40"/>
      <c r="AX65" s="40"/>
      <c r="AY65" s="40"/>
      <c r="AZ65" s="40"/>
      <c r="BA65" s="40"/>
      <c r="BB65" s="40"/>
      <c r="BC65" s="40"/>
      <c r="BD65" s="40"/>
      <c r="BE65" s="40"/>
      <c r="BF65" s="40"/>
      <c r="BG65" s="40"/>
      <c r="BH65" s="40"/>
      <c r="BI65" s="40"/>
      <c r="BJ65" s="40"/>
      <c r="BK65" s="40"/>
      <c r="BL65" s="40"/>
      <c r="BM65" s="40"/>
    </row>
    <row r="66" spans="1:65" x14ac:dyDescent="0.2">
      <c r="A66" s="40">
        <v>43298.14</v>
      </c>
      <c r="B66" s="50">
        <f t="shared" si="0"/>
        <v>18.35999999998603</v>
      </c>
      <c r="C66">
        <v>4.6900000000000004</v>
      </c>
      <c r="D66">
        <v>22.65</v>
      </c>
      <c r="E66" s="32">
        <f t="shared" si="1"/>
        <v>6.3182859893605664E-3</v>
      </c>
      <c r="F66" s="32">
        <f t="shared" si="2"/>
        <v>3.5047605121418364E-2</v>
      </c>
      <c r="G66" s="2"/>
      <c r="H66" s="40">
        <v>43298.140856481485</v>
      </c>
      <c r="I66" s="50">
        <f t="shared" si="3"/>
        <v>18.380555555631872</v>
      </c>
      <c r="J66">
        <v>60018.32</v>
      </c>
      <c r="K66">
        <v>51932.77</v>
      </c>
      <c r="L66" s="32">
        <f t="shared" si="4"/>
        <v>518.1094709371954</v>
      </c>
      <c r="M66" s="32">
        <f t="shared" si="5"/>
        <v>514.92370771400226</v>
      </c>
      <c r="N66" s="2"/>
      <c r="O66" s="40">
        <v>43298.141712962963</v>
      </c>
      <c r="P66" s="50">
        <f t="shared" si="6"/>
        <v>18.401111111103091</v>
      </c>
      <c r="Q66">
        <v>1169.3399999999999</v>
      </c>
      <c r="R66">
        <v>933.09</v>
      </c>
      <c r="S66" s="32">
        <f t="shared" si="20"/>
        <v>1.1096629554355706</v>
      </c>
      <c r="T66" s="32">
        <f t="shared" si="21"/>
        <v>1.0170387978409356</v>
      </c>
      <c r="U66" s="2"/>
      <c r="W66" s="40">
        <v>43298.147685185184</v>
      </c>
      <c r="X66" s="50">
        <f t="shared" si="9"/>
        <v>18.544444444414694</v>
      </c>
      <c r="Y66">
        <v>0</v>
      </c>
      <c r="Z66">
        <v>1.73</v>
      </c>
      <c r="AA66" s="32">
        <f t="shared" si="10"/>
        <v>0</v>
      </c>
      <c r="AB66" s="32">
        <f t="shared" si="11"/>
        <v>2.6769252476844933E-3</v>
      </c>
      <c r="AD66" s="40">
        <v>43298.149097222224</v>
      </c>
      <c r="AE66" s="50">
        <f t="shared" si="12"/>
        <v>18.578333333367482</v>
      </c>
      <c r="AF66">
        <v>524.28</v>
      </c>
      <c r="AG66">
        <v>542.24</v>
      </c>
      <c r="AH66" s="32">
        <f t="shared" si="13"/>
        <v>0.70630084829466044</v>
      </c>
      <c r="AI66" s="32">
        <f t="shared" si="14"/>
        <v>0.83903811925112115</v>
      </c>
      <c r="AK66" s="40">
        <v>43298.149953703702</v>
      </c>
      <c r="AL66" s="50">
        <f t="shared" si="15"/>
        <v>18.598888888838701</v>
      </c>
      <c r="AM66">
        <v>86.69</v>
      </c>
      <c r="AN66">
        <v>96.99</v>
      </c>
      <c r="AO66" s="32">
        <f t="shared" si="16"/>
        <v>0.11678725211464126</v>
      </c>
      <c r="AP66" s="32">
        <f t="shared" si="17"/>
        <v>0.15007802299012657</v>
      </c>
    </row>
    <row r="67" spans="1:65" x14ac:dyDescent="0.2">
      <c r="A67" s="40">
        <v>43298.1565162037</v>
      </c>
      <c r="B67" s="50">
        <f t="shared" si="0"/>
        <v>18.756388888810761</v>
      </c>
      <c r="C67">
        <v>5.68</v>
      </c>
      <c r="D67">
        <v>11.55</v>
      </c>
      <c r="E67" s="32">
        <f t="shared" si="1"/>
        <v>7.6519966779462724E-3</v>
      </c>
      <c r="F67" s="32">
        <f t="shared" si="2"/>
        <v>1.7871957578471619E-2</v>
      </c>
      <c r="G67" s="2"/>
      <c r="H67" s="40">
        <v>43298.157372685186</v>
      </c>
      <c r="I67" s="50">
        <f t="shared" si="3"/>
        <v>18.776944444456603</v>
      </c>
      <c r="J67">
        <v>60552.38</v>
      </c>
      <c r="K67">
        <v>52265.48</v>
      </c>
      <c r="L67" s="32">
        <f t="shared" si="4"/>
        <v>522.71975566440403</v>
      </c>
      <c r="M67" s="32">
        <f t="shared" si="5"/>
        <v>518.22259330769441</v>
      </c>
      <c r="N67" s="2"/>
      <c r="O67" s="40">
        <v>43298.158217592594</v>
      </c>
      <c r="P67" s="50">
        <f t="shared" si="6"/>
        <v>18.797222222259734</v>
      </c>
      <c r="Q67">
        <v>1226.3699999999999</v>
      </c>
      <c r="R67">
        <v>984.86</v>
      </c>
      <c r="S67" s="32">
        <f t="shared" si="20"/>
        <v>1.1637824402291215</v>
      </c>
      <c r="T67" s="32">
        <f t="shared" si="21"/>
        <v>1.0734664720891061</v>
      </c>
      <c r="U67" s="2"/>
      <c r="W67" s="40">
        <v>43298.164201388892</v>
      </c>
      <c r="X67" s="50">
        <f t="shared" si="9"/>
        <v>18.940833333414048</v>
      </c>
      <c r="Y67">
        <v>0</v>
      </c>
      <c r="Z67">
        <v>1.73</v>
      </c>
      <c r="AA67" s="32">
        <f t="shared" si="10"/>
        <v>0</v>
      </c>
      <c r="AB67" s="32">
        <f t="shared" si="11"/>
        <v>2.6769252476844933E-3</v>
      </c>
      <c r="AD67" s="40">
        <v>43298.16547453704</v>
      </c>
      <c r="AE67" s="50">
        <f t="shared" si="12"/>
        <v>18.971388888952788</v>
      </c>
      <c r="AF67">
        <v>513.24</v>
      </c>
      <c r="AG67">
        <v>540.87</v>
      </c>
      <c r="AH67" s="32">
        <f t="shared" si="13"/>
        <v>0.69142795334315932</v>
      </c>
      <c r="AI67" s="32">
        <f t="shared" si="14"/>
        <v>0.83691824203185661</v>
      </c>
      <c r="AK67" s="40">
        <v>43298.166331018518</v>
      </c>
      <c r="AL67" s="50">
        <f t="shared" si="15"/>
        <v>18.991944444424007</v>
      </c>
      <c r="AM67">
        <v>81.19</v>
      </c>
      <c r="AN67">
        <v>94.2</v>
      </c>
      <c r="AO67" s="32">
        <f t="shared" si="16"/>
        <v>0.10937774828916512</v>
      </c>
      <c r="AP67" s="32">
        <f t="shared" si="17"/>
        <v>0.14576090076987241</v>
      </c>
    </row>
    <row r="68" spans="1:65" x14ac:dyDescent="0.2">
      <c r="A68" s="40">
        <v>43298.17287037037</v>
      </c>
      <c r="B68" s="50">
        <f t="shared" si="0"/>
        <v>19.148888888885267</v>
      </c>
      <c r="C68">
        <v>3.17</v>
      </c>
      <c r="D68">
        <v>7.52</v>
      </c>
      <c r="E68" s="32">
        <f t="shared" si="1"/>
        <v>4.2705685685017047E-3</v>
      </c>
      <c r="F68" s="32">
        <f t="shared" si="2"/>
        <v>1.1636114371437797E-2</v>
      </c>
      <c r="H68" s="40">
        <v>43298.173726851855</v>
      </c>
      <c r="I68" s="50">
        <f t="shared" si="3"/>
        <v>19.169444444531109</v>
      </c>
      <c r="J68">
        <v>60637.95</v>
      </c>
      <c r="K68">
        <v>51553.97</v>
      </c>
      <c r="L68" s="32">
        <f t="shared" si="4"/>
        <v>523.4584405764125</v>
      </c>
      <c r="M68" s="32">
        <f t="shared" si="5"/>
        <v>511.1678306351933</v>
      </c>
      <c r="O68" s="40">
        <v>43298.174571759257</v>
      </c>
      <c r="P68" s="50">
        <f t="shared" si="6"/>
        <v>19.189722222159617</v>
      </c>
      <c r="Q68">
        <v>1159.96</v>
      </c>
      <c r="R68">
        <v>984.67</v>
      </c>
      <c r="S68" s="32">
        <f t="shared" si="20"/>
        <v>1.1007616619520795</v>
      </c>
      <c r="T68" s="32">
        <f t="shared" si="21"/>
        <v>1.073259378055744</v>
      </c>
      <c r="W68" s="40">
        <v>43298.180555555555</v>
      </c>
      <c r="X68" s="50">
        <f t="shared" si="9"/>
        <v>19.333333333313931</v>
      </c>
      <c r="Y68">
        <v>0</v>
      </c>
      <c r="Z68">
        <v>0</v>
      </c>
      <c r="AA68" s="32">
        <f t="shared" si="10"/>
        <v>0</v>
      </c>
      <c r="AB68" s="32">
        <f t="shared" si="11"/>
        <v>0</v>
      </c>
      <c r="AD68" s="40">
        <v>43298.181967592594</v>
      </c>
      <c r="AE68" s="50">
        <f t="shared" si="12"/>
        <v>19.367222222266719</v>
      </c>
      <c r="AF68">
        <v>535.6</v>
      </c>
      <c r="AG68">
        <v>562.24</v>
      </c>
      <c r="AH68" s="32">
        <f t="shared" si="13"/>
        <v>0.72155095435000416</v>
      </c>
      <c r="AI68" s="32">
        <f t="shared" si="14"/>
        <v>0.86998523194111532</v>
      </c>
      <c r="AK68" s="40">
        <v>43298.182812500003</v>
      </c>
      <c r="AL68" s="50">
        <f t="shared" si="15"/>
        <v>19.387500000069849</v>
      </c>
      <c r="AM68">
        <v>84.15</v>
      </c>
      <c r="AN68">
        <v>85.46</v>
      </c>
      <c r="AO68" s="32">
        <f t="shared" si="16"/>
        <v>0.11336540852978502</v>
      </c>
      <c r="AP68" s="32">
        <f t="shared" si="17"/>
        <v>0.13223701252434497</v>
      </c>
    </row>
    <row r="69" spans="1:65" x14ac:dyDescent="0.2">
      <c r="A69" s="40">
        <v>43298.189363425925</v>
      </c>
      <c r="B69" s="50">
        <f t="shared" si="0"/>
        <v>19.544722222199198</v>
      </c>
      <c r="C69">
        <v>12.16</v>
      </c>
      <c r="D69">
        <v>3.48</v>
      </c>
      <c r="E69" s="32">
        <f t="shared" si="1"/>
        <v>1.6381739366870894E-2</v>
      </c>
      <c r="F69" s="32">
        <f t="shared" si="2"/>
        <v>5.384797608058981E-3</v>
      </c>
      <c r="H69" s="40">
        <v>43298.19021990741</v>
      </c>
      <c r="I69" s="50">
        <f t="shared" si="3"/>
        <v>19.56527777784504</v>
      </c>
      <c r="J69">
        <v>60396.03</v>
      </c>
      <c r="K69">
        <v>51771.58</v>
      </c>
      <c r="L69" s="32">
        <f t="shared" si="4"/>
        <v>521.37006084153938</v>
      </c>
      <c r="M69" s="32">
        <f t="shared" si="5"/>
        <v>513.32547691586808</v>
      </c>
      <c r="O69" s="40">
        <v>43298.191064814811</v>
      </c>
      <c r="P69" s="50">
        <f t="shared" si="6"/>
        <v>19.585555555473547</v>
      </c>
      <c r="Q69">
        <v>1222.8800000000001</v>
      </c>
      <c r="R69">
        <v>1011.23</v>
      </c>
      <c r="S69" s="32">
        <f t="shared" si="20"/>
        <v>1.1604705517155411</v>
      </c>
      <c r="T69" s="32">
        <f t="shared" si="21"/>
        <v>1.1022089439825626</v>
      </c>
      <c r="W69" s="40">
        <v>43298.197048611109</v>
      </c>
      <c r="X69" s="50">
        <f t="shared" si="9"/>
        <v>19.729166666627862</v>
      </c>
      <c r="Y69">
        <v>0</v>
      </c>
      <c r="Z69">
        <v>0</v>
      </c>
      <c r="AA69" s="32">
        <f t="shared" si="10"/>
        <v>0</v>
      </c>
      <c r="AB69" s="32">
        <f t="shared" si="11"/>
        <v>0</v>
      </c>
      <c r="AD69" s="40">
        <v>43298.198472222219</v>
      </c>
      <c r="AE69" s="50">
        <f t="shared" si="12"/>
        <v>19.763333333248738</v>
      </c>
      <c r="AF69">
        <v>543.78</v>
      </c>
      <c r="AG69">
        <v>565.32000000000005</v>
      </c>
      <c r="AH69" s="32">
        <f t="shared" si="13"/>
        <v>0.73257090731225771</v>
      </c>
      <c r="AI69" s="32">
        <f t="shared" si="14"/>
        <v>0.87475108729537443</v>
      </c>
      <c r="AK69" s="40">
        <v>43298.199317129627</v>
      </c>
      <c r="AL69" s="50">
        <f t="shared" si="15"/>
        <v>19.783611111051869</v>
      </c>
      <c r="AM69">
        <v>72.7</v>
      </c>
      <c r="AN69">
        <v>97.02</v>
      </c>
      <c r="AO69" s="32">
        <f t="shared" si="16"/>
        <v>9.7940168747657388E-2</v>
      </c>
      <c r="AP69" s="32">
        <f t="shared" si="17"/>
        <v>0.15012444365916158</v>
      </c>
    </row>
    <row r="70" spans="1:65" x14ac:dyDescent="0.2">
      <c r="A70" s="40">
        <v>43298.205868055556</v>
      </c>
      <c r="B70" s="50">
        <f t="shared" si="0"/>
        <v>19.94083333335584</v>
      </c>
      <c r="C70">
        <v>0</v>
      </c>
      <c r="D70">
        <v>10.15</v>
      </c>
      <c r="E70" s="32">
        <f t="shared" si="1"/>
        <v>0</v>
      </c>
      <c r="F70" s="32">
        <f t="shared" si="2"/>
        <v>1.5705659690172027E-2</v>
      </c>
      <c r="H70" s="40">
        <v>43298.206712962965</v>
      </c>
      <c r="I70" s="50">
        <f t="shared" si="3"/>
        <v>19.961111111158971</v>
      </c>
      <c r="J70">
        <v>60659.79</v>
      </c>
      <c r="K70">
        <v>51986.33</v>
      </c>
      <c r="L70" s="32">
        <f t="shared" si="4"/>
        <v>523.64697485803299</v>
      </c>
      <c r="M70" s="32">
        <f t="shared" si="5"/>
        <v>515.45476572968607</v>
      </c>
      <c r="O70" s="40">
        <v>43298.207569444443</v>
      </c>
      <c r="P70" s="50">
        <f t="shared" si="6"/>
        <v>19.98166666663019</v>
      </c>
      <c r="Q70">
        <v>1168</v>
      </c>
      <c r="R70">
        <v>996.07</v>
      </c>
      <c r="S70" s="32">
        <f t="shared" si="20"/>
        <v>1.1083913420807863</v>
      </c>
      <c r="T70" s="32">
        <f t="shared" si="21"/>
        <v>1.0856850200574659</v>
      </c>
      <c r="W70" s="40">
        <v>43298.213541666664</v>
      </c>
      <c r="X70" s="50">
        <f t="shared" si="9"/>
        <v>20.124999999941792</v>
      </c>
      <c r="Y70">
        <v>0</v>
      </c>
      <c r="Z70">
        <v>0</v>
      </c>
      <c r="AA70" s="32">
        <f t="shared" si="10"/>
        <v>0</v>
      </c>
      <c r="AB70" s="32">
        <f t="shared" si="11"/>
        <v>0</v>
      </c>
      <c r="AD70" s="40">
        <v>43298.214965277781</v>
      </c>
      <c r="AE70" s="50">
        <f t="shared" si="12"/>
        <v>20.159166666737292</v>
      </c>
      <c r="AF70">
        <v>499.21</v>
      </c>
      <c r="AG70">
        <v>517.91999999999996</v>
      </c>
      <c r="AH70" s="32">
        <f t="shared" si="13"/>
        <v>0.67252698267562649</v>
      </c>
      <c r="AI70" s="32">
        <f t="shared" si="14"/>
        <v>0.80140643022008828</v>
      </c>
      <c r="AK70" s="40">
        <v>43298.215810185182</v>
      </c>
      <c r="AL70" s="50">
        <f t="shared" si="15"/>
        <v>20.179444444365799</v>
      </c>
      <c r="AM70">
        <v>75.180000000000007</v>
      </c>
      <c r="AN70">
        <v>85.72</v>
      </c>
      <c r="AO70" s="32">
        <f t="shared" si="16"/>
        <v>0.10128118138169027</v>
      </c>
      <c r="AP70" s="32">
        <f t="shared" si="17"/>
        <v>0.13263932498931488</v>
      </c>
    </row>
    <row r="71" spans="1:65" x14ac:dyDescent="0.2">
      <c r="A71" s="40">
        <v>43298.222372685188</v>
      </c>
      <c r="B71" s="50">
        <f t="shared" si="0"/>
        <v>20.336944444512483</v>
      </c>
      <c r="C71">
        <v>2.17</v>
      </c>
      <c r="D71">
        <v>12.56</v>
      </c>
      <c r="E71" s="32">
        <f t="shared" si="1"/>
        <v>2.9233860547787692E-3</v>
      </c>
      <c r="F71" s="32">
        <f t="shared" si="2"/>
        <v>1.9434786769316321E-2</v>
      </c>
      <c r="H71" s="40">
        <v>43298.223229166666</v>
      </c>
      <c r="I71" s="50">
        <f t="shared" si="3"/>
        <v>20.357499999983702</v>
      </c>
      <c r="J71">
        <v>60182.9</v>
      </c>
      <c r="K71">
        <v>51692.98</v>
      </c>
      <c r="L71" s="32">
        <f t="shared" si="4"/>
        <v>519.53021141654983</v>
      </c>
      <c r="M71" s="32">
        <f t="shared" si="5"/>
        <v>512.5461423372135</v>
      </c>
      <c r="O71" s="40">
        <v>43298.224074074074</v>
      </c>
      <c r="P71" s="50">
        <f t="shared" si="6"/>
        <v>20.377777777786832</v>
      </c>
      <c r="Q71">
        <v>1184.4000000000001</v>
      </c>
      <c r="R71">
        <v>990.52</v>
      </c>
      <c r="S71" s="32">
        <f t="shared" si="20"/>
        <v>1.1239543711990441</v>
      </c>
      <c r="T71" s="32">
        <f t="shared" si="21"/>
        <v>1.0796356943461012</v>
      </c>
      <c r="W71" s="40">
        <v>43298.230057870373</v>
      </c>
      <c r="X71" s="50">
        <f t="shared" si="9"/>
        <v>20.521388888941146</v>
      </c>
      <c r="Y71">
        <v>0</v>
      </c>
      <c r="Z71">
        <v>7.69</v>
      </c>
      <c r="AA71" s="32">
        <f t="shared" si="10"/>
        <v>0</v>
      </c>
      <c r="AB71" s="32">
        <f t="shared" si="11"/>
        <v>1.1899164829302748E-2</v>
      </c>
      <c r="AD71" s="40">
        <v>43298.231562499997</v>
      </c>
      <c r="AE71" s="50">
        <f t="shared" si="12"/>
        <v>20.557499999937136</v>
      </c>
      <c r="AF71">
        <v>515.25</v>
      </c>
      <c r="AG71">
        <v>518.71</v>
      </c>
      <c r="AH71" s="32">
        <f t="shared" si="13"/>
        <v>0.69413579019574234</v>
      </c>
      <c r="AI71" s="32">
        <f t="shared" si="14"/>
        <v>0.80262884117134314</v>
      </c>
      <c r="AK71" s="40">
        <v>43298.232407407406</v>
      </c>
      <c r="AL71" s="50">
        <f t="shared" si="15"/>
        <v>20.577777777740266</v>
      </c>
      <c r="AM71">
        <v>66.180000000000007</v>
      </c>
      <c r="AN71">
        <v>89.42</v>
      </c>
      <c r="AO71" s="32">
        <f t="shared" si="16"/>
        <v>8.915653875818387E-2</v>
      </c>
      <c r="AP71" s="32">
        <f t="shared" si="17"/>
        <v>0.13836454083696381</v>
      </c>
    </row>
    <row r="72" spans="1:65" x14ac:dyDescent="0.2">
      <c r="A72" s="40">
        <v>43298.23883101852</v>
      </c>
      <c r="B72" s="50">
        <f t="shared" si="0"/>
        <v>20.731944444472902</v>
      </c>
      <c r="C72">
        <v>4.17</v>
      </c>
      <c r="D72">
        <v>7.52</v>
      </c>
      <c r="E72" s="32">
        <f t="shared" si="1"/>
        <v>5.6177510822246401E-3</v>
      </c>
      <c r="F72" s="32">
        <f t="shared" si="2"/>
        <v>1.1636114371437797E-2</v>
      </c>
      <c r="H72" s="40">
        <v>43298.239687499998</v>
      </c>
      <c r="I72" s="50">
        <f t="shared" si="3"/>
        <v>20.752499999944121</v>
      </c>
      <c r="J72">
        <v>60255.79</v>
      </c>
      <c r="K72">
        <v>51530.13</v>
      </c>
      <c r="L72" s="32">
        <f t="shared" si="4"/>
        <v>520.15943594893611</v>
      </c>
      <c r="M72" s="32">
        <f t="shared" si="5"/>
        <v>510.9314523100644</v>
      </c>
      <c r="O72" s="40">
        <v>43298.240543981483</v>
      </c>
      <c r="P72" s="50">
        <f t="shared" si="6"/>
        <v>20.773055555589963</v>
      </c>
      <c r="Q72">
        <v>1162.8399999999999</v>
      </c>
      <c r="R72">
        <v>1031.94</v>
      </c>
      <c r="S72" s="32">
        <f t="shared" si="20"/>
        <v>1.103494681699676</v>
      </c>
      <c r="T72" s="32">
        <f t="shared" si="21"/>
        <v>1.1247821936190241</v>
      </c>
      <c r="W72" s="40">
        <v>43298.246516203704</v>
      </c>
      <c r="X72" s="50">
        <f t="shared" si="9"/>
        <v>20.916388888901565</v>
      </c>
      <c r="Y72">
        <v>0</v>
      </c>
      <c r="Z72">
        <v>2.92</v>
      </c>
      <c r="AA72" s="32">
        <f t="shared" si="10"/>
        <v>0</v>
      </c>
      <c r="AB72" s="32">
        <f t="shared" si="11"/>
        <v>4.5182784527391445E-3</v>
      </c>
      <c r="AD72" s="40">
        <v>43298.247928240744</v>
      </c>
      <c r="AE72" s="50">
        <f t="shared" si="12"/>
        <v>20.950277777854353</v>
      </c>
      <c r="AF72">
        <v>545.73</v>
      </c>
      <c r="AG72">
        <v>571.97</v>
      </c>
      <c r="AH72" s="32">
        <f t="shared" si="13"/>
        <v>0.73519791321401751</v>
      </c>
      <c r="AI72" s="32">
        <f t="shared" si="14"/>
        <v>0.88504100226479754</v>
      </c>
      <c r="AK72" s="40">
        <v>43298.248784722222</v>
      </c>
      <c r="AL72" s="50">
        <f t="shared" si="15"/>
        <v>20.970833333325572</v>
      </c>
      <c r="AM72">
        <v>77.150000000000006</v>
      </c>
      <c r="AN72">
        <v>94.45</v>
      </c>
      <c r="AO72" s="32">
        <f t="shared" si="16"/>
        <v>0.10393513093372446</v>
      </c>
      <c r="AP72" s="32">
        <f t="shared" si="17"/>
        <v>0.14614773967849734</v>
      </c>
    </row>
    <row r="73" spans="1:65" x14ac:dyDescent="0.2">
      <c r="A73" s="40">
        <v>43298.255324074074</v>
      </c>
      <c r="B73" s="50">
        <f t="shared" si="0"/>
        <v>21.127777777786832</v>
      </c>
      <c r="C73">
        <v>5.16</v>
      </c>
      <c r="D73">
        <v>22.64</v>
      </c>
      <c r="E73" s="32">
        <f t="shared" si="1"/>
        <v>6.951461770810346E-3</v>
      </c>
      <c r="F73" s="32">
        <f t="shared" si="2"/>
        <v>3.5032131565073371E-2</v>
      </c>
      <c r="H73" s="40">
        <v>43298.256180555552</v>
      </c>
      <c r="I73" s="50">
        <f t="shared" si="3"/>
        <v>21.148333333258051</v>
      </c>
      <c r="J73">
        <v>59960.85</v>
      </c>
      <c r="K73">
        <v>51772.33</v>
      </c>
      <c r="L73" s="32">
        <f t="shared" si="4"/>
        <v>517.6133598948544</v>
      </c>
      <c r="M73" s="32">
        <f t="shared" si="5"/>
        <v>513.33291331451949</v>
      </c>
      <c r="O73" s="40">
        <v>43298.257037037038</v>
      </c>
      <c r="P73" s="50">
        <f t="shared" si="6"/>
        <v>21.168888888903894</v>
      </c>
      <c r="Q73">
        <v>1163.56</v>
      </c>
      <c r="R73">
        <v>1024.8599999999999</v>
      </c>
      <c r="S73" s="32">
        <f t="shared" si="20"/>
        <v>1.1041779366365752</v>
      </c>
      <c r="T73" s="32">
        <f t="shared" si="21"/>
        <v>1.1170652159547967</v>
      </c>
      <c r="W73" s="40">
        <v>43298.263009259259</v>
      </c>
      <c r="X73" s="50">
        <f t="shared" si="9"/>
        <v>21.312222222215496</v>
      </c>
      <c r="Y73">
        <v>1.67</v>
      </c>
      <c r="Z73">
        <v>5.3</v>
      </c>
      <c r="AA73" s="32">
        <f t="shared" si="10"/>
        <v>2.2497947979173019E-3</v>
      </c>
      <c r="AB73" s="32">
        <f t="shared" si="11"/>
        <v>8.2009848628484486E-3</v>
      </c>
      <c r="AD73" s="40">
        <v>43298.264421296299</v>
      </c>
      <c r="AE73" s="50">
        <f t="shared" si="12"/>
        <v>21.346111111168284</v>
      </c>
      <c r="AF73">
        <v>504.27</v>
      </c>
      <c r="AG73">
        <v>499.73</v>
      </c>
      <c r="AH73" s="32">
        <f t="shared" si="13"/>
        <v>0.67934372619506456</v>
      </c>
      <c r="AI73" s="32">
        <f t="shared" si="14"/>
        <v>0.7732600312285387</v>
      </c>
      <c r="AK73" s="40">
        <v>43298.265277777777</v>
      </c>
      <c r="AL73" s="50">
        <f t="shared" si="15"/>
        <v>21.366666666639503</v>
      </c>
      <c r="AM73">
        <v>94.16</v>
      </c>
      <c r="AN73">
        <v>105.73</v>
      </c>
      <c r="AO73" s="32">
        <f t="shared" si="16"/>
        <v>0.12685070549215158</v>
      </c>
      <c r="AP73" s="32">
        <f t="shared" si="17"/>
        <v>0.16360191123565404</v>
      </c>
    </row>
    <row r="74" spans="1:65" x14ac:dyDescent="0.2">
      <c r="A74" s="40">
        <v>43298.271828703706</v>
      </c>
      <c r="B74" s="50">
        <f t="shared" si="0"/>
        <v>21.523888888943475</v>
      </c>
      <c r="C74">
        <v>3.18</v>
      </c>
      <c r="D74">
        <v>6.51</v>
      </c>
      <c r="E74" s="32">
        <f t="shared" si="1"/>
        <v>4.2840403936389342E-3</v>
      </c>
      <c r="F74" s="32">
        <f t="shared" si="2"/>
        <v>1.0073285180593094E-2</v>
      </c>
      <c r="H74" s="40">
        <v>43298.272685185184</v>
      </c>
      <c r="I74" s="50">
        <f t="shared" si="3"/>
        <v>21.544444444414694</v>
      </c>
      <c r="J74">
        <v>59404.59</v>
      </c>
      <c r="K74">
        <v>51436.63</v>
      </c>
      <c r="L74" s="32">
        <f t="shared" si="4"/>
        <v>512.81143317808653</v>
      </c>
      <c r="M74" s="32">
        <f t="shared" si="5"/>
        <v>510.00438127820416</v>
      </c>
      <c r="O74" s="40">
        <v>43298.273541666669</v>
      </c>
      <c r="P74" s="50">
        <f t="shared" si="6"/>
        <v>21.565000000060536</v>
      </c>
      <c r="Q74">
        <v>1146.93</v>
      </c>
      <c r="R74">
        <v>1000.74</v>
      </c>
      <c r="S74" s="32">
        <f t="shared" si="20"/>
        <v>1.0883966455245859</v>
      </c>
      <c r="T74" s="32">
        <f t="shared" si="21"/>
        <v>1.0907751734037852</v>
      </c>
      <c r="W74" s="40">
        <v>43298.279513888891</v>
      </c>
      <c r="X74" s="50">
        <f t="shared" si="9"/>
        <v>21.708333333372138</v>
      </c>
      <c r="Y74">
        <v>0</v>
      </c>
      <c r="Z74">
        <v>4.1100000000000003</v>
      </c>
      <c r="AA74" s="32">
        <f t="shared" si="10"/>
        <v>0</v>
      </c>
      <c r="AB74" s="32">
        <f t="shared" si="11"/>
        <v>6.359631657793797E-3</v>
      </c>
      <c r="AD74" s="40">
        <v>43298.280925925923</v>
      </c>
      <c r="AE74" s="50">
        <f t="shared" si="12"/>
        <v>21.742222222150303</v>
      </c>
      <c r="AF74">
        <v>520.29</v>
      </c>
      <c r="AG74">
        <v>515.69000000000005</v>
      </c>
      <c r="AH74" s="32">
        <f t="shared" si="13"/>
        <v>0.70092559006490596</v>
      </c>
      <c r="AI74" s="32">
        <f t="shared" si="14"/>
        <v>0.79795582715515412</v>
      </c>
      <c r="AK74" s="40">
        <v>43298.281782407408</v>
      </c>
      <c r="AL74" s="50">
        <f t="shared" si="15"/>
        <v>21.762777777796146</v>
      </c>
      <c r="AM74">
        <v>79.180000000000007</v>
      </c>
      <c r="AN74">
        <v>73.19</v>
      </c>
      <c r="AO74" s="32">
        <f t="shared" si="16"/>
        <v>0.10666991143658203</v>
      </c>
      <c r="AP74" s="32">
        <f t="shared" si="17"/>
        <v>0.11325095888903357</v>
      </c>
    </row>
    <row r="75" spans="1:65" x14ac:dyDescent="0.2">
      <c r="A75" s="40">
        <v>43298.288321759261</v>
      </c>
      <c r="B75" s="50">
        <f t="shared" si="0"/>
        <v>21.919722222257406</v>
      </c>
      <c r="C75">
        <v>0</v>
      </c>
      <c r="D75">
        <v>15.58</v>
      </c>
      <c r="E75" s="32">
        <f t="shared" si="1"/>
        <v>0</v>
      </c>
      <c r="F75" s="32">
        <f t="shared" si="2"/>
        <v>2.4107800785505437E-2</v>
      </c>
      <c r="H75" s="40">
        <v>43298.289178240739</v>
      </c>
      <c r="I75" s="50">
        <f t="shared" si="3"/>
        <v>21.940277777728625</v>
      </c>
      <c r="J75">
        <v>60348.01</v>
      </c>
      <c r="K75">
        <v>51254.92</v>
      </c>
      <c r="L75" s="32">
        <f t="shared" si="4"/>
        <v>520.9555271325919</v>
      </c>
      <c r="M75" s="32">
        <f t="shared" si="5"/>
        <v>508.20269061297074</v>
      </c>
      <c r="O75" s="40">
        <v>43298.290034722224</v>
      </c>
      <c r="P75" s="50">
        <f t="shared" si="6"/>
        <v>21.960833333374467</v>
      </c>
      <c r="Q75">
        <v>1162.9000000000001</v>
      </c>
      <c r="R75">
        <v>1023.23</v>
      </c>
      <c r="S75" s="32">
        <f t="shared" si="20"/>
        <v>1.1035516196110844</v>
      </c>
      <c r="T75" s="32">
        <f t="shared" si="21"/>
        <v>1.1152885671422699</v>
      </c>
      <c r="W75" s="40">
        <v>43298.296006944445</v>
      </c>
      <c r="X75" s="50">
        <f t="shared" si="9"/>
        <v>22.104166666686069</v>
      </c>
      <c r="Y75">
        <v>0</v>
      </c>
      <c r="Z75">
        <v>0</v>
      </c>
      <c r="AA75" s="32">
        <f t="shared" si="10"/>
        <v>0</v>
      </c>
      <c r="AB75" s="32">
        <f t="shared" si="11"/>
        <v>0</v>
      </c>
      <c r="AD75" s="40">
        <v>43298.297418981485</v>
      </c>
      <c r="AE75" s="50">
        <f t="shared" si="12"/>
        <v>22.138055555638857</v>
      </c>
      <c r="AF75">
        <v>474.78</v>
      </c>
      <c r="AG75">
        <v>537.79</v>
      </c>
      <c r="AH75" s="32">
        <f t="shared" si="13"/>
        <v>0.63961531386537518</v>
      </c>
      <c r="AI75" s="32">
        <f t="shared" si="14"/>
        <v>0.83215238667759739</v>
      </c>
      <c r="AK75" s="40">
        <v>43298.298275462963</v>
      </c>
      <c r="AL75" s="50">
        <f t="shared" si="15"/>
        <v>22.158611111110076</v>
      </c>
      <c r="AM75">
        <v>90.69</v>
      </c>
      <c r="AN75">
        <v>65.680000000000007</v>
      </c>
      <c r="AO75" s="32">
        <f t="shared" si="16"/>
        <v>0.122175982169533</v>
      </c>
      <c r="AP75" s="32">
        <f t="shared" si="17"/>
        <v>0.10163031807394077</v>
      </c>
    </row>
    <row r="76" spans="1:65" x14ac:dyDescent="0.2">
      <c r="A76" s="40">
        <v>43298.304814814815</v>
      </c>
      <c r="B76" s="50">
        <f t="shared" si="0"/>
        <v>22.315555555571336</v>
      </c>
      <c r="C76">
        <v>0</v>
      </c>
      <c r="D76">
        <v>19.63</v>
      </c>
      <c r="E76" s="32">
        <f t="shared" ref="E76:E80" si="22">(C76/$B$5)/$C$18</f>
        <v>0</v>
      </c>
      <c r="F76" s="32">
        <f t="shared" ref="F76:F80" si="23">(D76/$C$5)/$C$18</f>
        <v>3.0374591105229252E-2</v>
      </c>
      <c r="H76" s="40">
        <v>43298.305671296293</v>
      </c>
      <c r="I76" s="50">
        <f t="shared" si="3"/>
        <v>22.336111111042555</v>
      </c>
      <c r="J76">
        <v>59829.57</v>
      </c>
      <c r="K76">
        <v>51011.68</v>
      </c>
      <c r="L76" s="32">
        <f t="shared" si="4"/>
        <v>516.48008239983892</v>
      </c>
      <c r="M76" s="32">
        <f t="shared" si="5"/>
        <v>505.79091780238599</v>
      </c>
      <c r="O76" s="40">
        <v>43298.306527777779</v>
      </c>
      <c r="P76" s="50">
        <f t="shared" si="6"/>
        <v>22.356666666688398</v>
      </c>
      <c r="Q76">
        <v>1211.04</v>
      </c>
      <c r="R76">
        <v>1002.57</v>
      </c>
      <c r="S76" s="32">
        <f t="shared" si="20"/>
        <v>1.1492348038643112</v>
      </c>
      <c r="T76" s="32">
        <f t="shared" si="21"/>
        <v>1.0927698159356405</v>
      </c>
      <c r="W76" s="40">
        <v>43298.3125</v>
      </c>
      <c r="X76" s="50">
        <f t="shared" si="9"/>
        <v>22.5</v>
      </c>
      <c r="Y76">
        <v>0</v>
      </c>
      <c r="Z76">
        <v>0</v>
      </c>
      <c r="AA76" s="32">
        <f t="shared" si="10"/>
        <v>0</v>
      </c>
      <c r="AB76" s="32">
        <f t="shared" si="11"/>
        <v>0</v>
      </c>
      <c r="AD76" s="40">
        <v>43298.31391203704</v>
      </c>
      <c r="AE76" s="50">
        <f t="shared" si="12"/>
        <v>22.533888888952788</v>
      </c>
      <c r="AF76">
        <v>484.73</v>
      </c>
      <c r="AG76">
        <v>527.96</v>
      </c>
      <c r="AH76" s="32">
        <f t="shared" si="13"/>
        <v>0.6530197798769185</v>
      </c>
      <c r="AI76" s="32">
        <f t="shared" si="14"/>
        <v>0.81694188079046548</v>
      </c>
      <c r="AK76" s="40">
        <v>43298.314768518518</v>
      </c>
      <c r="AL76" s="50">
        <f t="shared" si="15"/>
        <v>22.554444444424007</v>
      </c>
      <c r="AM76">
        <v>81.7</v>
      </c>
      <c r="AN76">
        <v>91.98</v>
      </c>
      <c r="AO76" s="32">
        <f t="shared" si="16"/>
        <v>0.11006481137116382</v>
      </c>
      <c r="AP76" s="32">
        <f t="shared" si="17"/>
        <v>0.14232577126128307</v>
      </c>
    </row>
    <row r="77" spans="1:65" x14ac:dyDescent="0.2">
      <c r="A77" s="40">
        <v>43298.32130787037</v>
      </c>
      <c r="B77" s="50">
        <f t="shared" si="0"/>
        <v>22.711388888885267</v>
      </c>
      <c r="C77">
        <v>3.67</v>
      </c>
      <c r="D77">
        <v>15.4</v>
      </c>
      <c r="E77" s="32">
        <f t="shared" si="22"/>
        <v>4.944159825363172E-3</v>
      </c>
      <c r="F77" s="32">
        <f t="shared" si="23"/>
        <v>2.3829276771295493E-2</v>
      </c>
      <c r="H77" s="40">
        <v>43298.322164351855</v>
      </c>
      <c r="I77" s="50">
        <f t="shared" si="3"/>
        <v>22.731944444531109</v>
      </c>
      <c r="J77">
        <v>59970.17</v>
      </c>
      <c r="K77">
        <v>51423.26</v>
      </c>
      <c r="L77" s="32">
        <f t="shared" si="4"/>
        <v>517.69381500038105</v>
      </c>
      <c r="M77" s="32">
        <f t="shared" si="5"/>
        <v>509.87181507824732</v>
      </c>
      <c r="O77" s="40">
        <v>43298.323009259257</v>
      </c>
      <c r="P77" s="50">
        <f t="shared" si="6"/>
        <v>22.752222222159617</v>
      </c>
      <c r="Q77">
        <v>1164.58</v>
      </c>
      <c r="R77">
        <v>975.35</v>
      </c>
      <c r="S77" s="32">
        <f t="shared" si="20"/>
        <v>1.1051458811305155</v>
      </c>
      <c r="T77" s="32">
        <f t="shared" si="21"/>
        <v>1.063100870735038</v>
      </c>
      <c r="W77" s="40">
        <v>43298.328993055555</v>
      </c>
      <c r="X77" s="50">
        <f t="shared" si="9"/>
        <v>22.895833333313931</v>
      </c>
      <c r="Y77">
        <v>0</v>
      </c>
      <c r="Z77">
        <v>0</v>
      </c>
      <c r="AA77" s="32">
        <f t="shared" si="10"/>
        <v>0</v>
      </c>
      <c r="AB77" s="32">
        <f t="shared" si="11"/>
        <v>0</v>
      </c>
      <c r="AD77" s="40">
        <v>43298.330405092594</v>
      </c>
      <c r="AE77" s="50">
        <f t="shared" si="12"/>
        <v>22.929722222266719</v>
      </c>
      <c r="AF77">
        <v>468.65</v>
      </c>
      <c r="AG77">
        <v>550.98</v>
      </c>
      <c r="AH77" s="32">
        <f t="shared" si="13"/>
        <v>0.63135708505625354</v>
      </c>
      <c r="AI77" s="32">
        <f t="shared" si="14"/>
        <v>0.85256200749664857</v>
      </c>
      <c r="AK77" s="40">
        <v>43298.331261574072</v>
      </c>
      <c r="AL77" s="50">
        <f t="shared" si="15"/>
        <v>22.950277777737938</v>
      </c>
      <c r="AM77">
        <v>75.67</v>
      </c>
      <c r="AN77">
        <v>93.2</v>
      </c>
      <c r="AO77" s="32">
        <f t="shared" si="16"/>
        <v>0.10194130081341451</v>
      </c>
      <c r="AP77" s="32">
        <f t="shared" si="17"/>
        <v>0.14421354513537271</v>
      </c>
    </row>
    <row r="78" spans="1:65" x14ac:dyDescent="0.2">
      <c r="A78" s="40">
        <v>43298.337916666664</v>
      </c>
      <c r="B78" s="50">
        <f t="shared" si="0"/>
        <v>23.109999999927823</v>
      </c>
      <c r="C78">
        <v>18.66</v>
      </c>
      <c r="D78">
        <v>13.57</v>
      </c>
      <c r="E78" s="32">
        <f t="shared" si="22"/>
        <v>2.5138425706069972E-2</v>
      </c>
      <c r="F78" s="32">
        <f t="shared" si="23"/>
        <v>2.0997615960161028E-2</v>
      </c>
      <c r="H78" s="40">
        <v>43298.338773148149</v>
      </c>
      <c r="I78" s="50">
        <f t="shared" si="3"/>
        <v>23.130555555573665</v>
      </c>
      <c r="J78">
        <v>59810.89</v>
      </c>
      <c r="K78">
        <v>51672.3</v>
      </c>
      <c r="L78" s="32">
        <f t="shared" si="4"/>
        <v>516.31882688790347</v>
      </c>
      <c r="M78" s="32">
        <f t="shared" si="5"/>
        <v>512.34109603840204</v>
      </c>
      <c r="O78" s="40">
        <v>43298.339618055557</v>
      </c>
      <c r="P78" s="50">
        <f t="shared" si="6"/>
        <v>23.150833333376795</v>
      </c>
      <c r="Q78">
        <v>1149.05</v>
      </c>
      <c r="R78">
        <v>985.22</v>
      </c>
      <c r="S78" s="32">
        <f t="shared" si="20"/>
        <v>1.0904084517276775</v>
      </c>
      <c r="T78" s="32">
        <f t="shared" si="21"/>
        <v>1.0738588607838973</v>
      </c>
      <c r="W78" s="40">
        <v>43298.345601851855</v>
      </c>
      <c r="X78" s="50">
        <f t="shared" si="9"/>
        <v>23.294444444531109</v>
      </c>
      <c r="Y78">
        <v>0</v>
      </c>
      <c r="Z78">
        <v>0</v>
      </c>
      <c r="AA78" s="32">
        <f t="shared" si="10"/>
        <v>0</v>
      </c>
      <c r="AB78" s="32">
        <f t="shared" si="11"/>
        <v>0</v>
      </c>
      <c r="AD78" s="40">
        <v>43298.346875000003</v>
      </c>
      <c r="AE78" s="50">
        <f t="shared" si="12"/>
        <v>23.325000000069849</v>
      </c>
      <c r="AF78">
        <v>499.77</v>
      </c>
      <c r="AG78">
        <v>555.59</v>
      </c>
      <c r="AH78" s="32">
        <f t="shared" si="13"/>
        <v>0.67328140488331134</v>
      </c>
      <c r="AI78" s="32">
        <f t="shared" si="14"/>
        <v>0.85969531697169232</v>
      </c>
      <c r="AK78" s="40">
        <v>43298.347719907404</v>
      </c>
      <c r="AL78" s="50">
        <f t="shared" si="15"/>
        <v>23.345277777698357</v>
      </c>
      <c r="AM78">
        <v>87.18</v>
      </c>
      <c r="AN78">
        <v>76.72</v>
      </c>
      <c r="AO78" s="32">
        <f t="shared" si="16"/>
        <v>0.11744737154636549</v>
      </c>
      <c r="AP78" s="32">
        <f t="shared" si="17"/>
        <v>0.11871312427881754</v>
      </c>
    </row>
    <row r="79" spans="1:65" x14ac:dyDescent="0.2">
      <c r="A79" s="40">
        <v>43298.354270833333</v>
      </c>
      <c r="B79" s="50">
        <f t="shared" si="0"/>
        <v>23.502500000002328</v>
      </c>
      <c r="C79">
        <v>12.16</v>
      </c>
      <c r="D79">
        <v>19.62</v>
      </c>
      <c r="E79" s="32">
        <f t="shared" si="22"/>
        <v>1.6381739366870894E-2</v>
      </c>
      <c r="F79" s="32">
        <f t="shared" si="23"/>
        <v>3.0359117548884255E-2</v>
      </c>
      <c r="H79" s="40">
        <v>43298.355127314811</v>
      </c>
      <c r="I79" s="50">
        <f t="shared" si="3"/>
        <v>23.523055555473547</v>
      </c>
      <c r="J79">
        <v>59594.52</v>
      </c>
      <c r="K79">
        <v>50786.25</v>
      </c>
      <c r="L79" s="32">
        <f t="shared" si="4"/>
        <v>514.45100809146459</v>
      </c>
      <c r="M79" s="32">
        <f t="shared" si="5"/>
        <v>503.55573467177379</v>
      </c>
      <c r="O79" s="40">
        <v>43298.355983796297</v>
      </c>
      <c r="P79" s="50">
        <f t="shared" si="6"/>
        <v>23.54361111111939</v>
      </c>
      <c r="Q79">
        <v>1143.47</v>
      </c>
      <c r="R79">
        <v>1039.1600000000001</v>
      </c>
      <c r="S79" s="32">
        <f t="shared" si="20"/>
        <v>1.0851132259667096</v>
      </c>
      <c r="T79" s="32">
        <f t="shared" si="21"/>
        <v>1.1326517668867813</v>
      </c>
      <c r="W79" s="40">
        <v>43298.361956018518</v>
      </c>
      <c r="X79" s="50">
        <f t="shared" si="9"/>
        <v>23.686944444430992</v>
      </c>
      <c r="Y79">
        <v>0</v>
      </c>
      <c r="Z79">
        <v>0</v>
      </c>
      <c r="AA79" s="32">
        <f t="shared" si="10"/>
        <v>0</v>
      </c>
      <c r="AB79" s="32">
        <f t="shared" si="11"/>
        <v>0</v>
      </c>
      <c r="AD79" s="40">
        <v>43298.363368055558</v>
      </c>
      <c r="AE79" s="50">
        <f t="shared" si="12"/>
        <v>23.72083333338378</v>
      </c>
      <c r="AF79">
        <v>521.73</v>
      </c>
      <c r="AG79">
        <v>547.64</v>
      </c>
      <c r="AH79" s="32">
        <f t="shared" si="13"/>
        <v>0.70286553288466702</v>
      </c>
      <c r="AI79" s="32">
        <f t="shared" si="14"/>
        <v>0.84739383967741966</v>
      </c>
      <c r="AK79" s="40">
        <v>43298.364224537036</v>
      </c>
      <c r="AL79" s="50">
        <f t="shared" si="15"/>
        <v>23.741388888854999</v>
      </c>
      <c r="AM79">
        <v>83.19</v>
      </c>
      <c r="AN79">
        <v>73.2</v>
      </c>
      <c r="AO79" s="32">
        <f t="shared" si="16"/>
        <v>0.11207211331661099</v>
      </c>
      <c r="AP79" s="32">
        <f t="shared" si="17"/>
        <v>0.11326643244537857</v>
      </c>
    </row>
    <row r="80" spans="1:65" x14ac:dyDescent="0.2">
      <c r="A80" s="40">
        <v>43298.370763888888</v>
      </c>
      <c r="B80" s="50">
        <f t="shared" si="0"/>
        <v>23.898333333316259</v>
      </c>
      <c r="C80">
        <v>0</v>
      </c>
      <c r="D80">
        <v>9.5299999999999994</v>
      </c>
      <c r="E80" s="32">
        <f t="shared" si="22"/>
        <v>0</v>
      </c>
      <c r="F80" s="32">
        <f t="shared" si="23"/>
        <v>1.4746299196782206E-2</v>
      </c>
      <c r="H80" s="40">
        <v>43298.371620370373</v>
      </c>
      <c r="I80" s="50">
        <f t="shared" si="3"/>
        <v>23.918888888962101</v>
      </c>
      <c r="J80">
        <v>60092.02</v>
      </c>
      <c r="K80">
        <v>50967.1</v>
      </c>
      <c r="L80" s="32">
        <f t="shared" si="4"/>
        <v>518.74568781244409</v>
      </c>
      <c r="M80" s="32">
        <f t="shared" si="5"/>
        <v>505.34889826655365</v>
      </c>
      <c r="O80" s="40">
        <v>43298.372476851851</v>
      </c>
      <c r="P80" s="50">
        <f t="shared" si="6"/>
        <v>23.93944444443332</v>
      </c>
      <c r="Q80">
        <v>1181.8499999999999</v>
      </c>
      <c r="R80">
        <v>949.46</v>
      </c>
      <c r="S80" s="32">
        <f t="shared" si="20"/>
        <v>1.1215345099641929</v>
      </c>
      <c r="T80" s="32">
        <f t="shared" si="21"/>
        <v>1.0348815837679697</v>
      </c>
      <c r="W80" s="40">
        <v>43298.378449074073</v>
      </c>
      <c r="X80" s="50">
        <f t="shared" si="9"/>
        <v>24.082777777744923</v>
      </c>
      <c r="Y80">
        <v>0</v>
      </c>
      <c r="Z80">
        <v>0</v>
      </c>
      <c r="AA80" s="32">
        <f t="shared" si="10"/>
        <v>0</v>
      </c>
      <c r="AB80" s="32">
        <f t="shared" si="11"/>
        <v>0</v>
      </c>
      <c r="AD80" s="40">
        <v>43298.379583333335</v>
      </c>
      <c r="AE80" s="50">
        <f t="shared" si="12"/>
        <v>24.110000000044238</v>
      </c>
      <c r="AF80">
        <v>509.25</v>
      </c>
      <c r="AG80">
        <v>529.04</v>
      </c>
      <c r="AH80" s="32">
        <f t="shared" si="13"/>
        <v>0.68605269511340483</v>
      </c>
      <c r="AI80" s="32">
        <f t="shared" si="14"/>
        <v>0.81861302487572507</v>
      </c>
      <c r="AK80" s="40">
        <v>43298.380439814813</v>
      </c>
      <c r="AL80" s="50">
        <f t="shared" si="15"/>
        <v>24.130555555515457</v>
      </c>
      <c r="AM80">
        <v>94.67</v>
      </c>
      <c r="AN80">
        <v>97.43</v>
      </c>
      <c r="AO80" s="32">
        <f t="shared" si="16"/>
        <v>0.12753776857415028</v>
      </c>
      <c r="AP80" s="32">
        <f t="shared" si="17"/>
        <v>0.15075885946930648</v>
      </c>
    </row>
    <row r="81" spans="1:47" x14ac:dyDescent="0.2">
      <c r="A81" s="40"/>
    </row>
    <row r="82" spans="1:47" x14ac:dyDescent="0.2">
      <c r="A82" s="40"/>
    </row>
    <row r="84" spans="1:47" x14ac:dyDescent="0.2">
      <c r="A84" s="61" t="s">
        <v>97</v>
      </c>
      <c r="B84" s="61"/>
      <c r="C84" s="61"/>
      <c r="D84" s="61"/>
      <c r="E84" s="61"/>
      <c r="F84" s="61"/>
      <c r="G84" s="61"/>
      <c r="H84" s="61" t="s">
        <v>98</v>
      </c>
      <c r="I84" s="61"/>
      <c r="J84" s="61"/>
      <c r="K84" s="61"/>
      <c r="L84" s="61"/>
      <c r="M84" s="61"/>
      <c r="N84" s="61"/>
      <c r="O84" s="61" t="s">
        <v>99</v>
      </c>
      <c r="P84" s="61"/>
      <c r="Q84" s="61"/>
      <c r="R84" s="61"/>
      <c r="S84" s="61"/>
      <c r="T84" s="61"/>
      <c r="U84" s="61"/>
      <c r="V84" s="61"/>
      <c r="W84" s="61" t="s">
        <v>103</v>
      </c>
      <c r="X84" s="61"/>
      <c r="Y84" s="61"/>
      <c r="Z84" s="61"/>
      <c r="AA84" s="61"/>
      <c r="AB84" s="61"/>
      <c r="AC84" s="61"/>
      <c r="AD84" s="61" t="s">
        <v>104</v>
      </c>
      <c r="AE84" s="61"/>
      <c r="AF84" s="61"/>
      <c r="AG84" s="61"/>
      <c r="AH84" s="61"/>
      <c r="AI84" s="61"/>
      <c r="AJ84" s="61"/>
      <c r="AK84" s="61" t="s">
        <v>105</v>
      </c>
      <c r="AL84" s="61"/>
      <c r="AM84" s="61"/>
      <c r="AN84" s="61"/>
      <c r="AO84" s="61"/>
      <c r="AP84" s="61"/>
      <c r="AQ84" s="61"/>
      <c r="AR84" s="61"/>
      <c r="AS84" s="61"/>
      <c r="AT84" s="61"/>
      <c r="AU84" s="61"/>
    </row>
    <row r="85" spans="1:47" x14ac:dyDescent="0.2">
      <c r="A85" s="60" t="s">
        <v>16</v>
      </c>
      <c r="B85" s="61" t="s">
        <v>67</v>
      </c>
      <c r="C85" s="61">
        <f>BioD!M40</f>
        <v>0.50159999999999982</v>
      </c>
      <c r="D85" s="61"/>
      <c r="E85" s="61"/>
      <c r="F85" s="61"/>
      <c r="G85" s="61"/>
      <c r="H85" s="60" t="s">
        <v>20</v>
      </c>
      <c r="I85" s="61" t="s">
        <v>67</v>
      </c>
      <c r="J85" s="61">
        <f>BioD!M42</f>
        <v>0.14259999999999984</v>
      </c>
      <c r="K85" s="61"/>
      <c r="L85" s="61"/>
      <c r="M85" s="61"/>
      <c r="N85" s="61"/>
      <c r="O85" s="60" t="s">
        <v>68</v>
      </c>
      <c r="P85" s="61" t="s">
        <v>67</v>
      </c>
      <c r="Q85" s="61">
        <f>BioD!M48</f>
        <v>0.36809999999999921</v>
      </c>
      <c r="R85" s="61"/>
      <c r="S85" s="61"/>
      <c r="T85" s="61"/>
      <c r="U85" s="61"/>
      <c r="V85" s="61"/>
      <c r="W85" s="60" t="s">
        <v>16</v>
      </c>
      <c r="X85" s="61" t="s">
        <v>67</v>
      </c>
      <c r="Y85" s="61">
        <f>BioD!D94</f>
        <v>0.33130000000000015</v>
      </c>
      <c r="Z85" s="61"/>
      <c r="AA85" s="61"/>
      <c r="AB85" s="61"/>
      <c r="AC85" s="61"/>
      <c r="AD85" s="60" t="s">
        <v>20</v>
      </c>
      <c r="AE85" s="61" t="s">
        <v>67</v>
      </c>
      <c r="AF85" s="61">
        <f>BioD!D96</f>
        <v>3.6599999999999966E-2</v>
      </c>
      <c r="AG85" s="61"/>
      <c r="AH85" s="61"/>
      <c r="AI85" s="61"/>
      <c r="AJ85" s="61"/>
      <c r="AK85" s="60" t="s">
        <v>68</v>
      </c>
      <c r="AL85" s="61" t="s">
        <v>67</v>
      </c>
      <c r="AM85" s="61">
        <f>BioD!D102</f>
        <v>0.39149999999999974</v>
      </c>
      <c r="AN85" s="61"/>
      <c r="AO85" s="61"/>
      <c r="AP85" s="61"/>
      <c r="AQ85" s="61"/>
      <c r="AR85" s="61"/>
      <c r="AS85" s="61"/>
      <c r="AT85" s="61"/>
      <c r="AU85" s="61"/>
    </row>
    <row r="86" spans="1:47" x14ac:dyDescent="0.2">
      <c r="A86" s="61" t="s">
        <v>69</v>
      </c>
      <c r="B86" s="61"/>
      <c r="C86" s="61"/>
      <c r="D86" s="61"/>
      <c r="E86" s="68"/>
      <c r="F86" s="61">
        <f>0.65494*C18/C85/E5</f>
        <v>0.55158923768936752</v>
      </c>
      <c r="G86" s="61"/>
      <c r="H86" s="61" t="s">
        <v>69</v>
      </c>
      <c r="I86" s="61"/>
      <c r="J86" s="61"/>
      <c r="K86" s="61"/>
      <c r="L86" s="61" t="s">
        <v>64</v>
      </c>
      <c r="M86" s="61">
        <f>18.8721*C18/J85/E5</f>
        <v>55.907812480825051</v>
      </c>
      <c r="N86" s="61"/>
      <c r="O86" s="61" t="s">
        <v>69</v>
      </c>
      <c r="P86" s="61"/>
      <c r="Q86" s="61"/>
      <c r="R86" s="61"/>
      <c r="S86" s="61">
        <v>1.60409</v>
      </c>
      <c r="T86" s="68">
        <f>6.50438*C18/Q85/E5</f>
        <v>7.4646918536267908</v>
      </c>
      <c r="U86" s="61"/>
      <c r="V86" s="61"/>
      <c r="W86" s="61" t="s">
        <v>69</v>
      </c>
      <c r="X86" s="61"/>
      <c r="Y86" s="61"/>
      <c r="Z86" s="61"/>
      <c r="AA86" s="61"/>
      <c r="AB86" s="61"/>
      <c r="AC86" s="61"/>
      <c r="AD86" s="61" t="s">
        <v>69</v>
      </c>
      <c r="AE86" s="61"/>
      <c r="AF86" s="61"/>
      <c r="AG86" s="61"/>
      <c r="AH86" s="61"/>
      <c r="AI86" s="61"/>
      <c r="AJ86" s="61"/>
      <c r="AK86" s="61" t="s">
        <v>69</v>
      </c>
      <c r="AL86" s="61"/>
      <c r="AM86" s="61"/>
      <c r="AN86" s="61"/>
      <c r="AO86" s="61"/>
      <c r="AP86" s="61"/>
      <c r="AQ86" s="61"/>
      <c r="AR86" s="61"/>
      <c r="AS86" s="61"/>
      <c r="AT86" s="61"/>
      <c r="AU86" s="61"/>
    </row>
    <row r="87" spans="1:47" x14ac:dyDescent="0.2">
      <c r="A87" s="61" t="s">
        <v>70</v>
      </c>
      <c r="B87" s="61" t="s">
        <v>71</v>
      </c>
      <c r="C87" s="61" t="s">
        <v>72</v>
      </c>
      <c r="D87" s="61" t="s">
        <v>37</v>
      </c>
      <c r="E87" s="61" t="s">
        <v>38</v>
      </c>
      <c r="F87" s="61" t="s">
        <v>39</v>
      </c>
      <c r="G87" s="61"/>
      <c r="H87" s="61" t="s">
        <v>70</v>
      </c>
      <c r="I87" s="61" t="s">
        <v>71</v>
      </c>
      <c r="J87" s="61" t="s">
        <v>72</v>
      </c>
      <c r="K87" s="61" t="s">
        <v>37</v>
      </c>
      <c r="L87" s="61" t="s">
        <v>38</v>
      </c>
      <c r="M87" s="61" t="s">
        <v>39</v>
      </c>
      <c r="N87" s="61"/>
      <c r="O87" s="61" t="s">
        <v>70</v>
      </c>
      <c r="P87" s="61" t="s">
        <v>71</v>
      </c>
      <c r="Q87" s="61" t="s">
        <v>72</v>
      </c>
      <c r="R87" s="61" t="s">
        <v>37</v>
      </c>
      <c r="S87" s="61" t="s">
        <v>38</v>
      </c>
      <c r="T87" s="61" t="s">
        <v>39</v>
      </c>
      <c r="U87" s="61"/>
      <c r="V87" s="61"/>
      <c r="W87" s="61" t="s">
        <v>70</v>
      </c>
      <c r="X87" s="61" t="s">
        <v>71</v>
      </c>
      <c r="Y87" s="61" t="s">
        <v>72</v>
      </c>
      <c r="Z87" s="61" t="s">
        <v>37</v>
      </c>
      <c r="AA87" s="61" t="s">
        <v>38</v>
      </c>
      <c r="AB87" s="61" t="s">
        <v>39</v>
      </c>
      <c r="AC87" s="61"/>
      <c r="AD87" s="61" t="s">
        <v>70</v>
      </c>
      <c r="AE87" s="61" t="s">
        <v>71</v>
      </c>
      <c r="AF87" s="61" t="s">
        <v>72</v>
      </c>
      <c r="AG87" s="61" t="s">
        <v>37</v>
      </c>
      <c r="AH87" s="61" t="s">
        <v>38</v>
      </c>
      <c r="AI87" s="61" t="s">
        <v>39</v>
      </c>
      <c r="AJ87" s="61"/>
      <c r="AK87" s="61" t="s">
        <v>70</v>
      </c>
      <c r="AL87" s="61" t="s">
        <v>71</v>
      </c>
      <c r="AM87" s="61" t="s">
        <v>72</v>
      </c>
      <c r="AN87" s="61" t="s">
        <v>37</v>
      </c>
      <c r="AO87" s="61" t="s">
        <v>38</v>
      </c>
      <c r="AP87" s="61" t="s">
        <v>39</v>
      </c>
      <c r="AQ87" s="61"/>
      <c r="AR87" s="61"/>
      <c r="AS87" s="61"/>
      <c r="AT87" s="61"/>
      <c r="AU87" s="61"/>
    </row>
    <row r="88" spans="1:47" x14ac:dyDescent="0.2">
      <c r="A88" s="40">
        <v>43297.401574074072</v>
      </c>
      <c r="B88" s="50">
        <f>(A88-$B$12)*24</f>
        <v>0.63777777773793787</v>
      </c>
      <c r="C88">
        <v>90.12</v>
      </c>
      <c r="D88">
        <v>363.11</v>
      </c>
      <c r="E88" s="32">
        <f>(C88/$B$5)/$C$85</f>
        <v>6.7311780922685999E-2</v>
      </c>
      <c r="F88" s="32">
        <f>(D88/$C$5)/$C$85</f>
        <v>0.31150986974810746</v>
      </c>
      <c r="G88" s="61"/>
      <c r="H88" s="40">
        <v>43297.402430555558</v>
      </c>
      <c r="I88" s="50">
        <f>(H88-$B$12)*24</f>
        <v>0.65833333338377997</v>
      </c>
      <c r="J88">
        <v>35053.040000000001</v>
      </c>
      <c r="K88">
        <v>26299.48</v>
      </c>
      <c r="L88" s="32">
        <f>(J88/$B$5)/$J$85</f>
        <v>92.094477633976126</v>
      </c>
      <c r="M88" s="32">
        <f>(K88/$C$5)/$J$85</f>
        <v>79.363125983217955</v>
      </c>
      <c r="N88" s="61"/>
      <c r="O88" s="40">
        <v>43297.403287037036</v>
      </c>
      <c r="P88" s="50">
        <f>(O88-$B$12)*24</f>
        <v>0.6788888888549991</v>
      </c>
      <c r="Q88">
        <v>1067.8499999999999</v>
      </c>
      <c r="R88">
        <v>4288.6499999999996</v>
      </c>
      <c r="S88" s="32">
        <f>(Q88/$B$5)/$Q$85</f>
        <v>1.086855632785386</v>
      </c>
      <c r="T88" s="32">
        <f>(R88/$C$5)/$Q$85</f>
        <v>5.013556536054347</v>
      </c>
      <c r="U88" s="61"/>
      <c r="V88" s="61"/>
      <c r="W88" s="40">
        <v>43297.409537037034</v>
      </c>
      <c r="X88" s="50">
        <f>(W88-$B$12)*24</f>
        <v>0.8288888888200745</v>
      </c>
      <c r="Y88">
        <v>16.690000000000001</v>
      </c>
      <c r="Z88">
        <v>9.44</v>
      </c>
      <c r="AA88" s="32">
        <f>(Y88/$B$5)/$C$18</f>
        <v>2.2484476154035794E-2</v>
      </c>
      <c r="AB88" s="32">
        <f>(Z88/$C$5)/$C$18</f>
        <v>1.4607037189677234E-2</v>
      </c>
      <c r="AC88" s="61"/>
      <c r="AD88" s="40">
        <v>43297.410393518519</v>
      </c>
      <c r="AE88" s="50">
        <f>(AD88-$B$12)*24</f>
        <v>0.8494444444659166</v>
      </c>
      <c r="AF88">
        <v>410.69</v>
      </c>
      <c r="AG88">
        <v>369.43</v>
      </c>
      <c r="AH88" s="32">
        <f>(AF88/$B$5)/$C$18</f>
        <v>0.55327438656087236</v>
      </c>
      <c r="AI88" s="32">
        <f>(AG88/$C$5)/$C$18</f>
        <v>0.57163959205322679</v>
      </c>
      <c r="AJ88" s="61"/>
      <c r="AK88" s="40">
        <v>43297.411249999997</v>
      </c>
      <c r="AL88" s="50">
        <f>(AK88-$B$12)*24</f>
        <v>0.86999999993713573</v>
      </c>
      <c r="AM88">
        <v>135.72</v>
      </c>
      <c r="AN88">
        <v>199.05</v>
      </c>
      <c r="AO88" s="32">
        <f>(AM88/$B$5)/$C$18</f>
        <v>0.18283961076247676</v>
      </c>
      <c r="AP88" s="32">
        <f>(AN88/$C$5)/$C$18</f>
        <v>0.30800113904716669</v>
      </c>
      <c r="AQ88" s="61"/>
      <c r="AR88" s="61"/>
      <c r="AS88" s="61"/>
      <c r="AT88" s="61"/>
      <c r="AU88" s="61"/>
    </row>
    <row r="89" spans="1:47" x14ac:dyDescent="0.2">
      <c r="A89" s="40">
        <v>43297.417928240742</v>
      </c>
      <c r="B89" s="50">
        <f t="shared" ref="B89:B147" si="24">(A89-$B$12)*24</f>
        <v>1.0302777778124437</v>
      </c>
      <c r="C89">
        <v>36.159999999999997</v>
      </c>
      <c r="D89">
        <v>281.93</v>
      </c>
      <c r="E89" s="32">
        <f t="shared" ref="E89:E147" si="25">(C89/$B$5)/$C$85</f>
        <v>2.7008366601912179E-2</v>
      </c>
      <c r="F89" s="32">
        <f t="shared" ref="F89:F147" si="26">(D89/$C$5)/$C$85</f>
        <v>0.24186603943180837</v>
      </c>
      <c r="G89" s="61"/>
      <c r="H89" s="40">
        <v>43297.418773148151</v>
      </c>
      <c r="I89" s="50">
        <f t="shared" ref="I89:I147" si="27">(H89-$B$12)*24</f>
        <v>1.0505555556155741</v>
      </c>
      <c r="J89">
        <v>35191.32</v>
      </c>
      <c r="K89">
        <v>28078.05</v>
      </c>
      <c r="L89" s="32">
        <f t="shared" ref="L89:L147" si="28">(J89/$B$5)/$J$85</f>
        <v>92.457779201179036</v>
      </c>
      <c r="M89" s="32">
        <f t="shared" ref="M89:M147" si="29">(K89/$C$5)/$J$85</f>
        <v>84.730261568407172</v>
      </c>
      <c r="N89" s="61"/>
      <c r="O89" s="40">
        <v>43297.419629629629</v>
      </c>
      <c r="P89" s="50">
        <f t="shared" ref="P89:P147" si="30">(O89-$B$12)*24</f>
        <v>1.0711111110867932</v>
      </c>
      <c r="Q89">
        <v>860.75</v>
      </c>
      <c r="R89">
        <v>3030.52</v>
      </c>
      <c r="S89" s="32">
        <f t="shared" ref="S89:S147" si="31">(Q89/$B$5)/$Q$85</f>
        <v>0.87606965952148819</v>
      </c>
      <c r="T89" s="32">
        <f t="shared" ref="T89:T147" si="32">(R89/$C$5)/$Q$85</f>
        <v>3.5427659878151445</v>
      </c>
      <c r="U89" s="61"/>
      <c r="V89" s="61"/>
      <c r="W89" s="40">
        <v>43297.426030092596</v>
      </c>
      <c r="X89" s="50">
        <f t="shared" ref="X89:X147" si="33">(W89-$B$12)*24</f>
        <v>1.2247222223086283</v>
      </c>
      <c r="Y89">
        <v>0</v>
      </c>
      <c r="Z89">
        <v>5.66</v>
      </c>
      <c r="AA89" s="32">
        <f t="shared" ref="AA89:AA147" si="34">(Y89/$B$5)/$C$18</f>
        <v>0</v>
      </c>
      <c r="AB89" s="32">
        <f t="shared" ref="AB89:AB147" si="35">(Z89/$C$5)/$C$18</f>
        <v>8.7580328912683428E-3</v>
      </c>
      <c r="AC89" s="61"/>
      <c r="AD89" s="40">
        <v>43297.426886574074</v>
      </c>
      <c r="AE89" s="50">
        <f t="shared" ref="AE89:AE147" si="36">(AD89-$B$12)*24</f>
        <v>1.2452777777798474</v>
      </c>
      <c r="AF89">
        <v>404.82</v>
      </c>
      <c r="AG89">
        <v>393.24</v>
      </c>
      <c r="AH89" s="32">
        <f t="shared" ref="AH89:AH147" si="37">(AF89/$B$5)/$C$18</f>
        <v>0.54536642520531864</v>
      </c>
      <c r="AI89" s="32">
        <f t="shared" ref="AI89:AI147" si="38">(AG89/$C$5)/$C$18</f>
        <v>0.60848212971066484</v>
      </c>
      <c r="AJ89" s="61"/>
      <c r="AK89" s="40">
        <v>43297.427743055552</v>
      </c>
      <c r="AL89" s="50">
        <f t="shared" ref="AL89:AL147" si="39">(AK89-$B$12)*24</f>
        <v>1.2658333332510665</v>
      </c>
      <c r="AM89">
        <v>121.72</v>
      </c>
      <c r="AN89">
        <v>161.4</v>
      </c>
      <c r="AO89" s="32">
        <f t="shared" ref="AO89:AO147" si="40">(AM89/$B$5)/$C$18</f>
        <v>0.16397905557035569</v>
      </c>
      <c r="AP89" s="32">
        <f t="shared" ref="AP89:AP147" si="41">(AN89/$C$5)/$C$18</f>
        <v>0.24974319940825274</v>
      </c>
      <c r="AQ89" s="61"/>
      <c r="AR89" s="61"/>
      <c r="AS89" s="61"/>
      <c r="AT89" s="61"/>
      <c r="AU89" s="61"/>
    </row>
    <row r="90" spans="1:47" x14ac:dyDescent="0.2">
      <c r="A90" s="40">
        <v>43297.434282407405</v>
      </c>
      <c r="B90" s="50">
        <f t="shared" si="24"/>
        <v>1.4227777777123265</v>
      </c>
      <c r="C90">
        <v>31.66</v>
      </c>
      <c r="D90">
        <v>189.25</v>
      </c>
      <c r="E90" s="32">
        <f t="shared" si="25"/>
        <v>2.3647259032537046E-2</v>
      </c>
      <c r="F90" s="32">
        <f t="shared" si="26"/>
        <v>0.16235642876767187</v>
      </c>
      <c r="G90" s="61"/>
      <c r="H90" s="40">
        <v>43297.435127314813</v>
      </c>
      <c r="I90" s="50">
        <f t="shared" si="27"/>
        <v>1.4430555555154569</v>
      </c>
      <c r="J90">
        <v>35848.080000000002</v>
      </c>
      <c r="K90">
        <v>29416.36</v>
      </c>
      <c r="L90" s="32">
        <f t="shared" si="28"/>
        <v>94.183277735140436</v>
      </c>
      <c r="M90" s="32">
        <f t="shared" si="29"/>
        <v>88.768838191770072</v>
      </c>
      <c r="N90" s="61"/>
      <c r="O90" s="40">
        <v>43297.435983796298</v>
      </c>
      <c r="P90" s="50">
        <f t="shared" si="30"/>
        <v>1.463611111161299</v>
      </c>
      <c r="Q90">
        <v>654.02</v>
      </c>
      <c r="R90">
        <v>2202.87</v>
      </c>
      <c r="S90" s="32">
        <f t="shared" si="31"/>
        <v>0.66566027153092489</v>
      </c>
      <c r="T90" s="32">
        <f t="shared" si="32"/>
        <v>2.5752190751350752</v>
      </c>
      <c r="U90" s="61"/>
      <c r="V90" s="61"/>
      <c r="W90" s="40">
        <v>43297.442615740743</v>
      </c>
      <c r="X90" s="50">
        <f t="shared" si="33"/>
        <v>1.6227777778403834</v>
      </c>
      <c r="Y90">
        <v>0</v>
      </c>
      <c r="Z90">
        <v>9.52</v>
      </c>
      <c r="AA90" s="32">
        <f t="shared" si="34"/>
        <v>0</v>
      </c>
      <c r="AB90" s="32">
        <f t="shared" si="35"/>
        <v>1.4730825640437211E-2</v>
      </c>
      <c r="AC90" s="61"/>
      <c r="AD90" s="40">
        <v>43297.443460648145</v>
      </c>
      <c r="AE90" s="50">
        <f t="shared" si="36"/>
        <v>1.6430555554688908</v>
      </c>
      <c r="AF90">
        <v>405.31</v>
      </c>
      <c r="AG90">
        <v>440.75</v>
      </c>
      <c r="AH90" s="32">
        <f t="shared" si="37"/>
        <v>0.54602654463704292</v>
      </c>
      <c r="AI90" s="32">
        <f t="shared" si="38"/>
        <v>0.68199699590574592</v>
      </c>
      <c r="AJ90" s="61"/>
      <c r="AK90" s="40">
        <v>43297.44431712963</v>
      </c>
      <c r="AL90" s="50">
        <f t="shared" si="39"/>
        <v>1.6636111111147329</v>
      </c>
      <c r="AM90">
        <v>88.2</v>
      </c>
      <c r="AN90">
        <v>157.12</v>
      </c>
      <c r="AO90" s="32">
        <f t="shared" si="40"/>
        <v>0.11882149771036291</v>
      </c>
      <c r="AP90" s="32">
        <f t="shared" si="41"/>
        <v>0.24312051729259399</v>
      </c>
      <c r="AQ90" s="61"/>
      <c r="AR90" s="61"/>
      <c r="AS90" s="61"/>
      <c r="AT90" s="61"/>
      <c r="AU90" s="61"/>
    </row>
    <row r="91" spans="1:47" x14ac:dyDescent="0.2">
      <c r="A91" s="40">
        <v>43297.450729166667</v>
      </c>
      <c r="B91" s="50">
        <f t="shared" si="24"/>
        <v>1.8175000000046566</v>
      </c>
      <c r="C91">
        <v>22.17</v>
      </c>
      <c r="D91">
        <v>125.29</v>
      </c>
      <c r="E91" s="32">
        <f t="shared" si="25"/>
        <v>1.6559056625121492E-2</v>
      </c>
      <c r="F91" s="32">
        <f t="shared" si="26"/>
        <v>0.10748553215483017</v>
      </c>
      <c r="G91" s="61"/>
      <c r="H91" s="40">
        <v>43297.451574074075</v>
      </c>
      <c r="I91" s="50">
        <f t="shared" si="27"/>
        <v>1.8377777778077871</v>
      </c>
      <c r="J91">
        <v>35982.019999999997</v>
      </c>
      <c r="K91">
        <v>30525.52</v>
      </c>
      <c r="L91" s="32">
        <f t="shared" si="28"/>
        <v>94.535176866693476</v>
      </c>
      <c r="M91" s="32">
        <f t="shared" si="29"/>
        <v>92.115915959678276</v>
      </c>
      <c r="N91" s="61"/>
      <c r="O91" s="40">
        <v>43297.452430555553</v>
      </c>
      <c r="P91" s="50">
        <f t="shared" si="30"/>
        <v>1.8583333332790062</v>
      </c>
      <c r="Q91">
        <v>552.12</v>
      </c>
      <c r="R91">
        <v>1720.45</v>
      </c>
      <c r="S91" s="32">
        <f t="shared" si="31"/>
        <v>0.56194665165844204</v>
      </c>
      <c r="T91" s="32">
        <f t="shared" si="32"/>
        <v>2.0112560694984905</v>
      </c>
      <c r="U91" s="61"/>
      <c r="V91" s="61"/>
      <c r="W91" s="40">
        <v>43297.458969907406</v>
      </c>
      <c r="X91" s="50">
        <f t="shared" si="33"/>
        <v>2.0152777777402662</v>
      </c>
      <c r="Y91">
        <v>0</v>
      </c>
      <c r="Z91">
        <v>12.05</v>
      </c>
      <c r="AA91" s="32">
        <f t="shared" si="34"/>
        <v>0</v>
      </c>
      <c r="AB91" s="32">
        <f t="shared" si="35"/>
        <v>1.864563539572147E-2</v>
      </c>
      <c r="AC91" s="61"/>
      <c r="AD91" s="40">
        <v>43297.459826388891</v>
      </c>
      <c r="AE91" s="50">
        <f t="shared" si="36"/>
        <v>2.0358333333861083</v>
      </c>
      <c r="AF91">
        <v>364.28</v>
      </c>
      <c r="AG91">
        <v>389.16</v>
      </c>
      <c r="AH91" s="32">
        <f t="shared" si="37"/>
        <v>0.4907516460989908</v>
      </c>
      <c r="AI91" s="32">
        <f t="shared" si="38"/>
        <v>0.60216891872190614</v>
      </c>
      <c r="AJ91" s="61"/>
      <c r="AK91" s="40">
        <v>43297.4606712963</v>
      </c>
      <c r="AL91" s="50">
        <f t="shared" si="39"/>
        <v>2.0561111111892387</v>
      </c>
      <c r="AM91">
        <v>94.23</v>
      </c>
      <c r="AN91">
        <v>146.22</v>
      </c>
      <c r="AO91" s="32">
        <f t="shared" si="40"/>
        <v>0.1269450082681122</v>
      </c>
      <c r="AP91" s="32">
        <f t="shared" si="41"/>
        <v>0.22625434087654714</v>
      </c>
      <c r="AQ91" s="61"/>
      <c r="AR91" s="61"/>
      <c r="AS91" s="61"/>
      <c r="AT91" s="61"/>
      <c r="AU91" s="61"/>
    </row>
    <row r="92" spans="1:47" x14ac:dyDescent="0.2">
      <c r="A92" s="40">
        <v>43297.467222222222</v>
      </c>
      <c r="B92" s="50">
        <f t="shared" si="24"/>
        <v>2.2133333333185874</v>
      </c>
      <c r="C92">
        <v>12.18</v>
      </c>
      <c r="D92">
        <v>101.82</v>
      </c>
      <c r="E92" s="32">
        <f t="shared" si="25"/>
        <v>9.0973978211086916E-3</v>
      </c>
      <c r="F92" s="32">
        <f t="shared" si="26"/>
        <v>8.7350761305808988E-2</v>
      </c>
      <c r="G92" s="61"/>
      <c r="H92" s="40">
        <v>43297.468078703707</v>
      </c>
      <c r="I92" s="50">
        <f t="shared" si="27"/>
        <v>2.2338888889644295</v>
      </c>
      <c r="J92">
        <v>36000.050000000003</v>
      </c>
      <c r="K92">
        <v>31076.17</v>
      </c>
      <c r="L92" s="32">
        <f t="shared" si="28"/>
        <v>94.582546893137433</v>
      </c>
      <c r="M92" s="32">
        <f t="shared" si="29"/>
        <v>93.77759540439196</v>
      </c>
      <c r="N92" s="61"/>
      <c r="O92" s="40">
        <v>43297.468923611108</v>
      </c>
      <c r="P92" s="50">
        <f t="shared" si="30"/>
        <v>2.254166666592937</v>
      </c>
      <c r="Q92">
        <v>499.66</v>
      </c>
      <c r="R92">
        <v>1261.42</v>
      </c>
      <c r="S92" s="32">
        <f t="shared" si="31"/>
        <v>0.50855296668778016</v>
      </c>
      <c r="T92" s="32">
        <f t="shared" si="32"/>
        <v>1.474636653891009</v>
      </c>
      <c r="U92" s="61"/>
      <c r="V92" s="61"/>
      <c r="W92" s="40">
        <v>43297.475462962961</v>
      </c>
      <c r="X92" s="50">
        <f t="shared" si="33"/>
        <v>2.411111111054197</v>
      </c>
      <c r="Y92">
        <v>0</v>
      </c>
      <c r="Z92">
        <v>0</v>
      </c>
      <c r="AA92" s="32">
        <f t="shared" si="34"/>
        <v>0</v>
      </c>
      <c r="AB92" s="32">
        <f t="shared" si="35"/>
        <v>0</v>
      </c>
      <c r="AC92" s="61"/>
      <c r="AD92" s="40">
        <v>43297.476307870369</v>
      </c>
      <c r="AE92" s="50">
        <f t="shared" si="36"/>
        <v>2.4313888888573274</v>
      </c>
      <c r="AF92">
        <v>392.2</v>
      </c>
      <c r="AG92">
        <v>392.71</v>
      </c>
      <c r="AH92" s="32">
        <f t="shared" si="37"/>
        <v>0.52836498188213521</v>
      </c>
      <c r="AI92" s="32">
        <f t="shared" si="38"/>
        <v>0.60766203122437989</v>
      </c>
      <c r="AJ92" s="61"/>
      <c r="AK92" s="40">
        <v>43297.477164351854</v>
      </c>
      <c r="AL92" s="50">
        <f t="shared" si="39"/>
        <v>2.4519444445031695</v>
      </c>
      <c r="AM92">
        <v>100.71</v>
      </c>
      <c r="AN92">
        <v>154.15</v>
      </c>
      <c r="AO92" s="32">
        <f t="shared" si="40"/>
        <v>0.13567475095703682</v>
      </c>
      <c r="AP92" s="32">
        <f t="shared" si="41"/>
        <v>0.23852487105812986</v>
      </c>
      <c r="AQ92" s="61"/>
      <c r="AR92" s="61"/>
      <c r="AS92" s="61"/>
      <c r="AT92" s="61"/>
      <c r="AU92" s="61"/>
    </row>
    <row r="93" spans="1:47" x14ac:dyDescent="0.2">
      <c r="A93" s="40">
        <v>43297.483715277776</v>
      </c>
      <c r="B93" s="50">
        <f t="shared" si="24"/>
        <v>2.6091666666325182</v>
      </c>
      <c r="C93">
        <v>9.16</v>
      </c>
      <c r="D93">
        <v>78.13</v>
      </c>
      <c r="E93" s="32">
        <f t="shared" si="25"/>
        <v>6.8417211856613815E-3</v>
      </c>
      <c r="F93" s="32">
        <f t="shared" si="26"/>
        <v>6.7027253789263955E-2</v>
      </c>
      <c r="G93" s="61"/>
      <c r="H93" s="40">
        <v>43297.484560185185</v>
      </c>
      <c r="I93" s="50">
        <f t="shared" si="27"/>
        <v>2.6294444444356486</v>
      </c>
      <c r="J93">
        <v>35941.81</v>
      </c>
      <c r="K93">
        <v>31306.560000000001</v>
      </c>
      <c r="L93" s="32">
        <f t="shared" si="28"/>
        <v>94.429533563126597</v>
      </c>
      <c r="M93" s="32">
        <f t="shared" si="29"/>
        <v>94.472836169428902</v>
      </c>
      <c r="N93" s="61"/>
      <c r="O93" s="40">
        <v>43297.48541666667</v>
      </c>
      <c r="P93" s="50">
        <f t="shared" si="30"/>
        <v>2.6500000000814907</v>
      </c>
      <c r="Q93">
        <v>431.11</v>
      </c>
      <c r="R93">
        <v>976.6</v>
      </c>
      <c r="S93" s="32">
        <f t="shared" si="31"/>
        <v>0.43878291131723351</v>
      </c>
      <c r="T93" s="32">
        <f t="shared" si="32"/>
        <v>1.1416737931774978</v>
      </c>
      <c r="U93" s="61"/>
      <c r="V93" s="61"/>
      <c r="W93" s="40">
        <v>43297.491956018515</v>
      </c>
      <c r="X93" s="50">
        <f t="shared" si="33"/>
        <v>2.8069444443681277</v>
      </c>
      <c r="Y93">
        <v>0</v>
      </c>
      <c r="Z93">
        <v>5.68</v>
      </c>
      <c r="AA93" s="32">
        <f t="shared" si="34"/>
        <v>0</v>
      </c>
      <c r="AB93" s="32">
        <f t="shared" si="35"/>
        <v>8.7889800039583355E-3</v>
      </c>
      <c r="AC93" s="61"/>
      <c r="AD93" s="40">
        <v>43297.492800925924</v>
      </c>
      <c r="AE93" s="50">
        <f t="shared" si="36"/>
        <v>2.8272222221712582</v>
      </c>
      <c r="AF93">
        <v>394.29</v>
      </c>
      <c r="AG93">
        <v>418.8</v>
      </c>
      <c r="AH93" s="32">
        <f t="shared" si="37"/>
        <v>0.53118059333581613</v>
      </c>
      <c r="AI93" s="32">
        <f t="shared" si="38"/>
        <v>0.6480325397284773</v>
      </c>
      <c r="AJ93" s="61"/>
      <c r="AK93" s="40">
        <v>43297.493657407409</v>
      </c>
      <c r="AL93" s="50">
        <f t="shared" si="39"/>
        <v>2.8477777778171003</v>
      </c>
      <c r="AM93">
        <v>113.21</v>
      </c>
      <c r="AN93">
        <v>135.63</v>
      </c>
      <c r="AO93" s="32">
        <f t="shared" si="40"/>
        <v>0.15251453237857349</v>
      </c>
      <c r="AP93" s="32">
        <f t="shared" si="41"/>
        <v>0.20986784470719527</v>
      </c>
      <c r="AQ93" s="61"/>
      <c r="AR93" s="61"/>
      <c r="AS93" s="61"/>
      <c r="AT93" s="61"/>
      <c r="AU93" s="61"/>
    </row>
    <row r="94" spans="1:47" x14ac:dyDescent="0.2">
      <c r="A94" s="40">
        <v>43297.500208333331</v>
      </c>
      <c r="B94" s="50">
        <f t="shared" si="24"/>
        <v>3.004999999946449</v>
      </c>
      <c r="C94">
        <v>16.170000000000002</v>
      </c>
      <c r="D94">
        <v>50.62</v>
      </c>
      <c r="E94" s="32">
        <f t="shared" si="25"/>
        <v>1.2077579865954645E-2</v>
      </c>
      <c r="F94" s="32">
        <f t="shared" si="26"/>
        <v>4.3426591409350332E-2</v>
      </c>
      <c r="G94" s="61"/>
      <c r="H94" s="40">
        <v>43297.50105324074</v>
      </c>
      <c r="I94" s="50">
        <f t="shared" si="27"/>
        <v>3.0252777777495794</v>
      </c>
      <c r="J94">
        <v>36128.519999999997</v>
      </c>
      <c r="K94">
        <v>31584.26</v>
      </c>
      <c r="L94" s="32">
        <f t="shared" si="28"/>
        <v>94.920074752108761</v>
      </c>
      <c r="M94" s="32">
        <f t="shared" si="29"/>
        <v>95.310842855703299</v>
      </c>
      <c r="N94" s="61"/>
      <c r="O94" s="40">
        <v>43297.501909722225</v>
      </c>
      <c r="P94" s="50">
        <f t="shared" si="30"/>
        <v>3.0458333333954215</v>
      </c>
      <c r="Q94">
        <v>355.63</v>
      </c>
      <c r="R94">
        <v>756.65</v>
      </c>
      <c r="S94" s="32">
        <f t="shared" si="31"/>
        <v>0.36195951555692923</v>
      </c>
      <c r="T94" s="32">
        <f t="shared" si="32"/>
        <v>0.88454584846175877</v>
      </c>
      <c r="U94" s="61"/>
      <c r="V94" s="61"/>
      <c r="W94" s="40">
        <v>43297.508518518516</v>
      </c>
      <c r="X94" s="50">
        <f t="shared" si="33"/>
        <v>3.2044444443890825</v>
      </c>
      <c r="Y94">
        <v>0</v>
      </c>
      <c r="Z94">
        <v>0</v>
      </c>
      <c r="AA94" s="32">
        <f t="shared" si="34"/>
        <v>0</v>
      </c>
      <c r="AB94" s="32">
        <f t="shared" si="35"/>
        <v>0</v>
      </c>
      <c r="AC94" s="61"/>
      <c r="AD94" s="40">
        <v>43297.509375000001</v>
      </c>
      <c r="AE94" s="50">
        <f t="shared" si="36"/>
        <v>3.2250000000349246</v>
      </c>
      <c r="AF94">
        <v>401.81</v>
      </c>
      <c r="AG94">
        <v>429.86</v>
      </c>
      <c r="AH94" s="32">
        <f t="shared" si="37"/>
        <v>0.5413114058390126</v>
      </c>
      <c r="AI94" s="32">
        <f t="shared" si="38"/>
        <v>0.66514629304604411</v>
      </c>
      <c r="AJ94" s="61"/>
      <c r="AK94" s="40">
        <v>43297.51021990741</v>
      </c>
      <c r="AL94" s="50">
        <f t="shared" si="39"/>
        <v>3.245277777838055</v>
      </c>
      <c r="AM94">
        <v>116.2</v>
      </c>
      <c r="AN94">
        <v>111.97</v>
      </c>
      <c r="AO94" s="32">
        <f t="shared" si="40"/>
        <v>0.1565426080946051</v>
      </c>
      <c r="AP94" s="32">
        <f t="shared" si="41"/>
        <v>0.1732574103949322</v>
      </c>
      <c r="AQ94" s="61"/>
      <c r="AR94" s="61"/>
      <c r="AS94" s="61"/>
      <c r="AT94" s="61"/>
      <c r="AU94" s="61"/>
    </row>
    <row r="95" spans="1:47" x14ac:dyDescent="0.2">
      <c r="A95" s="40">
        <v>43297.516631944447</v>
      </c>
      <c r="B95" s="50">
        <f t="shared" si="24"/>
        <v>3.3991666667279787</v>
      </c>
      <c r="C95">
        <v>25.16</v>
      </c>
      <c r="D95">
        <v>25.02</v>
      </c>
      <c r="E95" s="32">
        <f t="shared" si="25"/>
        <v>1.8792325876772965E-2</v>
      </c>
      <c r="F95" s="32">
        <f t="shared" si="26"/>
        <v>2.1464506461121007E-2</v>
      </c>
      <c r="G95" s="61"/>
      <c r="H95" s="40">
        <v>43297.517488425925</v>
      </c>
      <c r="I95" s="50">
        <f t="shared" si="27"/>
        <v>3.4197222221991979</v>
      </c>
      <c r="J95">
        <v>36186</v>
      </c>
      <c r="K95">
        <v>32069.18</v>
      </c>
      <c r="L95" s="32">
        <f t="shared" si="28"/>
        <v>95.07109134223623</v>
      </c>
      <c r="M95" s="32">
        <f t="shared" si="29"/>
        <v>96.774170915869576</v>
      </c>
      <c r="N95" s="61"/>
      <c r="O95" s="40">
        <v>43297.518333333333</v>
      </c>
      <c r="P95" s="50">
        <f t="shared" si="30"/>
        <v>3.4400000000023283</v>
      </c>
      <c r="Q95">
        <v>369.1</v>
      </c>
      <c r="R95">
        <v>564.92999999999995</v>
      </c>
      <c r="S95" s="32">
        <f t="shared" si="31"/>
        <v>0.37566925510238891</v>
      </c>
      <c r="T95" s="32">
        <f t="shared" si="32"/>
        <v>0.66041959449084964</v>
      </c>
      <c r="U95" s="61"/>
      <c r="V95" s="61"/>
      <c r="W95" s="40">
        <v>43297.524872685186</v>
      </c>
      <c r="X95" s="50">
        <f t="shared" si="33"/>
        <v>3.5969444444635883</v>
      </c>
      <c r="Y95">
        <v>8.16</v>
      </c>
      <c r="Z95">
        <v>0</v>
      </c>
      <c r="AA95" s="32">
        <f t="shared" si="34"/>
        <v>1.0993009311979152E-2</v>
      </c>
      <c r="AB95" s="32">
        <f t="shared" si="35"/>
        <v>0</v>
      </c>
      <c r="AC95" s="61"/>
      <c r="AD95" s="40">
        <v>43297.525729166664</v>
      </c>
      <c r="AE95" s="50">
        <f t="shared" si="36"/>
        <v>3.6174999999348074</v>
      </c>
      <c r="AF95">
        <v>416.69</v>
      </c>
      <c r="AG95">
        <v>421.56</v>
      </c>
      <c r="AH95" s="32">
        <f t="shared" si="37"/>
        <v>0.56135748164320987</v>
      </c>
      <c r="AI95" s="32">
        <f t="shared" si="38"/>
        <v>0.65230324127969652</v>
      </c>
      <c r="AJ95" s="61"/>
      <c r="AK95" s="40">
        <v>43297.526574074072</v>
      </c>
      <c r="AL95" s="50">
        <f t="shared" si="39"/>
        <v>3.6377777777379379</v>
      </c>
      <c r="AM95">
        <v>121.17</v>
      </c>
      <c r="AN95">
        <v>143.28</v>
      </c>
      <c r="AO95" s="32">
        <f t="shared" si="40"/>
        <v>0.16323810518780807</v>
      </c>
      <c r="AP95" s="32">
        <f t="shared" si="41"/>
        <v>0.22170511531111803</v>
      </c>
      <c r="AQ95" s="61"/>
      <c r="AR95" s="61"/>
      <c r="AS95" s="61"/>
      <c r="AT95" s="61"/>
      <c r="AU95" s="61"/>
    </row>
    <row r="96" spans="1:47" x14ac:dyDescent="0.2">
      <c r="A96" s="40">
        <v>43297.533125000002</v>
      </c>
      <c r="B96" s="50">
        <f t="shared" si="24"/>
        <v>3.7950000000419095</v>
      </c>
      <c r="C96">
        <v>17.649999999999999</v>
      </c>
      <c r="D96">
        <v>31.41</v>
      </c>
      <c r="E96" s="32">
        <f t="shared" si="25"/>
        <v>1.3183010799882466E-2</v>
      </c>
      <c r="F96" s="32">
        <f t="shared" si="26"/>
        <v>2.6946448758745436E-2</v>
      </c>
      <c r="G96" s="61"/>
      <c r="H96" s="40">
        <v>43297.53396990741</v>
      </c>
      <c r="I96" s="50">
        <f t="shared" si="27"/>
        <v>3.81527777784504</v>
      </c>
      <c r="J96">
        <v>36267.78</v>
      </c>
      <c r="K96">
        <v>32164.78</v>
      </c>
      <c r="L96" s="32">
        <f t="shared" si="28"/>
        <v>95.285951062845513</v>
      </c>
      <c r="M96" s="32">
        <f t="shared" si="29"/>
        <v>97.062660073982045</v>
      </c>
      <c r="N96" s="61"/>
      <c r="O96" s="40">
        <v>43297.534826388888</v>
      </c>
      <c r="P96" s="50">
        <f t="shared" si="30"/>
        <v>3.8358333333162591</v>
      </c>
      <c r="Q96">
        <v>356.09</v>
      </c>
      <c r="R96">
        <v>508.66</v>
      </c>
      <c r="S96" s="32">
        <f t="shared" si="31"/>
        <v>0.36242770265350766</v>
      </c>
      <c r="T96" s="32">
        <f t="shared" si="32"/>
        <v>0.59463832852515464</v>
      </c>
      <c r="U96" s="61"/>
      <c r="V96" s="61"/>
      <c r="W96" s="40">
        <v>43297.541365740741</v>
      </c>
      <c r="X96" s="50">
        <f t="shared" si="33"/>
        <v>3.9927777777775191</v>
      </c>
      <c r="Y96">
        <v>3.17</v>
      </c>
      <c r="Z96">
        <v>0.33</v>
      </c>
      <c r="AA96" s="32">
        <f t="shared" si="34"/>
        <v>4.2705685685017047E-3</v>
      </c>
      <c r="AB96" s="32">
        <f t="shared" si="35"/>
        <v>5.1062735938490339E-4</v>
      </c>
      <c r="AC96" s="61"/>
      <c r="AD96" s="40">
        <v>43297.542210648149</v>
      </c>
      <c r="AE96" s="50">
        <f t="shared" si="36"/>
        <v>4.0130555555806495</v>
      </c>
      <c r="AF96">
        <v>439.17</v>
      </c>
      <c r="AG96">
        <v>422.83</v>
      </c>
      <c r="AH96" s="32">
        <f t="shared" si="37"/>
        <v>0.5916421445517015</v>
      </c>
      <c r="AI96" s="32">
        <f t="shared" si="38"/>
        <v>0.65426838293551115</v>
      </c>
      <c r="AJ96" s="61"/>
      <c r="AK96" s="40">
        <v>43297.543067129627</v>
      </c>
      <c r="AL96" s="50">
        <f t="shared" si="39"/>
        <v>4.0336111110518686</v>
      </c>
      <c r="AM96">
        <v>137.16</v>
      </c>
      <c r="AN96">
        <v>103.57</v>
      </c>
      <c r="AO96" s="32">
        <f t="shared" si="40"/>
        <v>0.1847795535822378</v>
      </c>
      <c r="AP96" s="32">
        <f t="shared" si="41"/>
        <v>0.16025962306513467</v>
      </c>
      <c r="AQ96" s="61"/>
      <c r="AR96" s="61"/>
      <c r="AS96" s="61"/>
      <c r="AT96" s="61"/>
      <c r="AU96" s="61"/>
    </row>
    <row r="97" spans="1:47" x14ac:dyDescent="0.2">
      <c r="A97" s="40">
        <v>43297.549699074072</v>
      </c>
      <c r="B97" s="50">
        <f t="shared" si="24"/>
        <v>4.1927777777309529</v>
      </c>
      <c r="C97">
        <v>31.66</v>
      </c>
      <c r="D97">
        <v>18.2</v>
      </c>
      <c r="E97" s="32">
        <f t="shared" si="25"/>
        <v>2.3647259032537046E-2</v>
      </c>
      <c r="F97" s="32">
        <f t="shared" si="26"/>
        <v>1.5613669767881786E-2</v>
      </c>
      <c r="G97" s="61"/>
      <c r="H97" s="40">
        <v>43297.550555555557</v>
      </c>
      <c r="I97" s="50">
        <f t="shared" si="27"/>
        <v>4.2133333333767951</v>
      </c>
      <c r="J97">
        <v>36196.51</v>
      </c>
      <c r="K97">
        <v>32147.35</v>
      </c>
      <c r="L97" s="32">
        <f t="shared" si="28"/>
        <v>95.098704152991957</v>
      </c>
      <c r="M97" s="32">
        <f t="shared" si="29"/>
        <v>97.010062102999825</v>
      </c>
      <c r="N97" s="61"/>
      <c r="O97" s="40">
        <v>43297.551412037035</v>
      </c>
      <c r="P97" s="50">
        <f t="shared" si="30"/>
        <v>4.2338888888480142</v>
      </c>
      <c r="Q97">
        <v>346.51</v>
      </c>
      <c r="R97">
        <v>409.39</v>
      </c>
      <c r="S97" s="32">
        <f t="shared" si="31"/>
        <v>0.35267719746824372</v>
      </c>
      <c r="T97" s="32">
        <f t="shared" si="32"/>
        <v>0.47858881239907414</v>
      </c>
      <c r="U97" s="61"/>
      <c r="V97" s="61"/>
      <c r="W97" s="40">
        <v>43297.557812500003</v>
      </c>
      <c r="X97" s="50">
        <f t="shared" si="33"/>
        <v>4.3875000000698492</v>
      </c>
      <c r="Y97">
        <v>1.69</v>
      </c>
      <c r="Z97">
        <v>0</v>
      </c>
      <c r="AA97" s="32">
        <f t="shared" si="34"/>
        <v>2.2767384481917606E-3</v>
      </c>
      <c r="AB97" s="32">
        <f t="shared" si="35"/>
        <v>0</v>
      </c>
      <c r="AC97" s="61"/>
      <c r="AD97" s="40">
        <v>43297.558657407404</v>
      </c>
      <c r="AE97" s="50">
        <f t="shared" si="36"/>
        <v>4.4077777776983567</v>
      </c>
      <c r="AF97">
        <v>445.27</v>
      </c>
      <c r="AG97">
        <v>406.14</v>
      </c>
      <c r="AH97" s="32">
        <f t="shared" si="37"/>
        <v>0.59985995788541135</v>
      </c>
      <c r="AI97" s="32">
        <f t="shared" si="38"/>
        <v>0.62844301739571096</v>
      </c>
      <c r="AJ97" s="61"/>
      <c r="AK97" s="40">
        <v>43297.559513888889</v>
      </c>
      <c r="AL97" s="50">
        <f t="shared" si="39"/>
        <v>4.4283333333441988</v>
      </c>
      <c r="AM97">
        <v>119.17</v>
      </c>
      <c r="AN97">
        <v>118.03</v>
      </c>
      <c r="AO97" s="32">
        <f t="shared" si="40"/>
        <v>0.16054374016036219</v>
      </c>
      <c r="AP97" s="32">
        <f t="shared" si="41"/>
        <v>0.18263438554000044</v>
      </c>
      <c r="AQ97" s="61"/>
      <c r="AR97" s="61"/>
      <c r="AS97" s="61"/>
      <c r="AT97" s="61"/>
      <c r="AU97" s="61"/>
    </row>
    <row r="98" spans="1:47" x14ac:dyDescent="0.2">
      <c r="A98" s="40">
        <v>43297.566064814811</v>
      </c>
      <c r="B98" s="50">
        <f t="shared" si="24"/>
        <v>4.5855555554735474</v>
      </c>
      <c r="C98">
        <v>12.16</v>
      </c>
      <c r="D98">
        <v>19.670000000000002</v>
      </c>
      <c r="E98" s="32">
        <f t="shared" si="25"/>
        <v>9.0824595652448034E-3</v>
      </c>
      <c r="F98" s="32">
        <f t="shared" si="26"/>
        <v>1.6874773864518394E-2</v>
      </c>
      <c r="G98" s="61"/>
      <c r="H98" s="40">
        <v>43297.566921296297</v>
      </c>
      <c r="I98" s="50">
        <f t="shared" si="27"/>
        <v>4.6061111111193895</v>
      </c>
      <c r="J98">
        <v>36209.5</v>
      </c>
      <c r="K98">
        <v>32105.87</v>
      </c>
      <c r="L98" s="32">
        <f t="shared" si="28"/>
        <v>95.132832641261885</v>
      </c>
      <c r="M98" s="32">
        <f t="shared" si="29"/>
        <v>96.884889192136797</v>
      </c>
      <c r="N98" s="61"/>
      <c r="O98" s="40">
        <v>43297.567777777775</v>
      </c>
      <c r="P98" s="50">
        <f t="shared" si="30"/>
        <v>4.6266666665906087</v>
      </c>
      <c r="Q98">
        <v>307.16000000000003</v>
      </c>
      <c r="R98">
        <v>360.37</v>
      </c>
      <c r="S98" s="32">
        <f t="shared" si="31"/>
        <v>0.31262684475006713</v>
      </c>
      <c r="T98" s="32">
        <f t="shared" si="32"/>
        <v>0.42128300721623474</v>
      </c>
      <c r="U98" s="61"/>
      <c r="V98" s="61"/>
      <c r="W98" s="40">
        <v>43297.574328703704</v>
      </c>
      <c r="X98" s="50">
        <f t="shared" si="33"/>
        <v>4.7838888888945803</v>
      </c>
      <c r="Y98">
        <v>0</v>
      </c>
      <c r="Z98">
        <v>0</v>
      </c>
      <c r="AA98" s="32">
        <f t="shared" si="34"/>
        <v>0</v>
      </c>
      <c r="AB98" s="32">
        <f t="shared" si="35"/>
        <v>0</v>
      </c>
      <c r="AC98" s="61"/>
      <c r="AD98" s="40">
        <v>43297.575185185182</v>
      </c>
      <c r="AE98" s="50">
        <f t="shared" si="36"/>
        <v>4.8044444443657994</v>
      </c>
      <c r="AF98">
        <v>395.16</v>
      </c>
      <c r="AG98">
        <v>406.16</v>
      </c>
      <c r="AH98" s="32">
        <f t="shared" si="37"/>
        <v>0.53235264212275513</v>
      </c>
      <c r="AI98" s="32">
        <f t="shared" si="38"/>
        <v>0.6284739645084011</v>
      </c>
      <c r="AJ98" s="61"/>
      <c r="AK98" s="40">
        <v>43297.576041666667</v>
      </c>
      <c r="AL98" s="50">
        <f t="shared" si="39"/>
        <v>4.8250000000116415</v>
      </c>
      <c r="AM98">
        <v>107.21</v>
      </c>
      <c r="AN98">
        <v>102.58</v>
      </c>
      <c r="AO98" s="32">
        <f t="shared" si="40"/>
        <v>0.14443143729623589</v>
      </c>
      <c r="AP98" s="32">
        <f t="shared" si="41"/>
        <v>0.15872774098697995</v>
      </c>
      <c r="AQ98" s="61"/>
      <c r="AR98" s="61"/>
      <c r="AS98" s="61"/>
      <c r="AT98" s="61"/>
      <c r="AU98" s="61"/>
    </row>
    <row r="99" spans="1:47" x14ac:dyDescent="0.2">
      <c r="A99" s="40">
        <v>43297.582592592589</v>
      </c>
      <c r="B99" s="50">
        <f t="shared" si="24"/>
        <v>4.9822222221409902</v>
      </c>
      <c r="C99">
        <v>8.67</v>
      </c>
      <c r="D99">
        <v>18.61</v>
      </c>
      <c r="E99" s="32">
        <f t="shared" si="25"/>
        <v>6.4757339169960893E-3</v>
      </c>
      <c r="F99" s="32">
        <f t="shared" si="26"/>
        <v>1.5965406284630772E-2</v>
      </c>
      <c r="G99" s="61"/>
      <c r="H99" s="40">
        <v>43297.583449074074</v>
      </c>
      <c r="I99" s="50">
        <f t="shared" si="27"/>
        <v>5.0027777777868323</v>
      </c>
      <c r="J99">
        <v>36309.1</v>
      </c>
      <c r="K99">
        <v>32292.720000000001</v>
      </c>
      <c r="L99" s="32">
        <f t="shared" si="28"/>
        <v>95.394510657557859</v>
      </c>
      <c r="M99" s="32">
        <f t="shared" si="29"/>
        <v>97.448740648133821</v>
      </c>
      <c r="N99" s="61"/>
      <c r="O99" s="40">
        <v>43297.584305555552</v>
      </c>
      <c r="P99" s="50">
        <f t="shared" si="30"/>
        <v>5.0233333332580514</v>
      </c>
      <c r="Q99">
        <v>343.66</v>
      </c>
      <c r="R99">
        <v>341.28</v>
      </c>
      <c r="S99" s="32">
        <f t="shared" si="31"/>
        <v>0.34977647306552967</v>
      </c>
      <c r="T99" s="32">
        <f t="shared" si="32"/>
        <v>0.39896624220317062</v>
      </c>
      <c r="U99" s="61"/>
      <c r="V99" s="61"/>
      <c r="W99" s="40">
        <v>43297.59070601852</v>
      </c>
      <c r="X99" s="50">
        <f t="shared" si="33"/>
        <v>5.1769444444798864</v>
      </c>
      <c r="Y99">
        <v>30.16</v>
      </c>
      <c r="Z99">
        <v>0</v>
      </c>
      <c r="AA99" s="32">
        <f t="shared" si="34"/>
        <v>4.063102461388373E-2</v>
      </c>
      <c r="AB99" s="32">
        <f t="shared" si="35"/>
        <v>0</v>
      </c>
      <c r="AC99" s="61"/>
      <c r="AD99" s="40">
        <v>43297.591550925928</v>
      </c>
      <c r="AE99" s="50">
        <f t="shared" si="36"/>
        <v>5.1972222222830169</v>
      </c>
      <c r="AF99">
        <v>401.26</v>
      </c>
      <c r="AG99">
        <v>412.5</v>
      </c>
      <c r="AH99" s="32">
        <f t="shared" si="37"/>
        <v>0.54057045545646498</v>
      </c>
      <c r="AI99" s="32">
        <f t="shared" si="38"/>
        <v>0.63828419923112922</v>
      </c>
      <c r="AJ99" s="61"/>
      <c r="AK99" s="40">
        <v>43297.592407407406</v>
      </c>
      <c r="AL99" s="50">
        <f t="shared" si="39"/>
        <v>5.217777777754236</v>
      </c>
      <c r="AM99">
        <v>128.16</v>
      </c>
      <c r="AN99">
        <v>119.34</v>
      </c>
      <c r="AO99" s="32">
        <f t="shared" si="40"/>
        <v>0.17265491095873137</v>
      </c>
      <c r="AP99" s="32">
        <f t="shared" si="41"/>
        <v>0.18466142142119504</v>
      </c>
      <c r="AQ99" s="61"/>
      <c r="AR99" s="61"/>
      <c r="AS99" s="61"/>
      <c r="AT99" s="61"/>
      <c r="AU99" s="61"/>
    </row>
    <row r="100" spans="1:47" x14ac:dyDescent="0.2">
      <c r="A100" s="40">
        <v>43297.598969907405</v>
      </c>
      <c r="B100" s="50">
        <f t="shared" si="24"/>
        <v>5.3752777777262963</v>
      </c>
      <c r="C100">
        <v>27.16</v>
      </c>
      <c r="D100">
        <v>19.68</v>
      </c>
      <c r="E100" s="32">
        <f t="shared" si="25"/>
        <v>2.0286151463161914E-2</v>
      </c>
      <c r="F100" s="32">
        <f t="shared" si="26"/>
        <v>1.6883352803951295E-2</v>
      </c>
      <c r="G100" s="61"/>
      <c r="H100" s="40">
        <v>43297.599814814814</v>
      </c>
      <c r="I100" s="50">
        <f t="shared" si="27"/>
        <v>5.3955555555294268</v>
      </c>
      <c r="J100">
        <v>36156.82</v>
      </c>
      <c r="K100">
        <v>32399.14</v>
      </c>
      <c r="L100" s="32">
        <f t="shared" si="28"/>
        <v>94.994427039871596</v>
      </c>
      <c r="M100" s="32">
        <f t="shared" si="29"/>
        <v>97.769880985020094</v>
      </c>
      <c r="N100" s="61"/>
      <c r="O100" s="40">
        <v>43297.600671296299</v>
      </c>
      <c r="P100" s="50">
        <f t="shared" si="30"/>
        <v>5.4161111111752689</v>
      </c>
      <c r="Q100">
        <v>307.08999999999997</v>
      </c>
      <c r="R100">
        <v>337.96</v>
      </c>
      <c r="S100" s="32">
        <f t="shared" si="31"/>
        <v>0.31255559888754425</v>
      </c>
      <c r="T100" s="32">
        <f t="shared" si="32"/>
        <v>0.39508506567915941</v>
      </c>
      <c r="U100" s="61"/>
      <c r="V100" s="61"/>
      <c r="W100" s="40">
        <v>43297.607222222221</v>
      </c>
      <c r="X100" s="50">
        <f t="shared" si="33"/>
        <v>5.5733333333046176</v>
      </c>
      <c r="Y100">
        <v>4.18</v>
      </c>
      <c r="Z100">
        <v>0</v>
      </c>
      <c r="AA100" s="32">
        <f t="shared" si="34"/>
        <v>5.6312229073618688E-3</v>
      </c>
      <c r="AB100" s="32">
        <f t="shared" si="35"/>
        <v>0</v>
      </c>
      <c r="AC100" s="61"/>
      <c r="AD100" s="40">
        <v>43297.608067129629</v>
      </c>
      <c r="AE100" s="50">
        <f t="shared" si="36"/>
        <v>5.593611111107748</v>
      </c>
      <c r="AF100">
        <v>456.32</v>
      </c>
      <c r="AG100">
        <v>480.24</v>
      </c>
      <c r="AH100" s="32">
        <f t="shared" si="37"/>
        <v>0.61474632466204981</v>
      </c>
      <c r="AI100" s="32">
        <f t="shared" si="38"/>
        <v>0.74310206991213934</v>
      </c>
      <c r="AJ100" s="61"/>
      <c r="AK100" s="40">
        <v>43297.608923611115</v>
      </c>
      <c r="AL100" s="50">
        <f t="shared" si="39"/>
        <v>5.6141666667535901</v>
      </c>
      <c r="AM100">
        <v>129.24</v>
      </c>
      <c r="AN100">
        <v>109.17</v>
      </c>
      <c r="AO100" s="32">
        <f t="shared" si="40"/>
        <v>0.17410986807355217</v>
      </c>
      <c r="AP100" s="32">
        <f t="shared" si="41"/>
        <v>0.16892481461833303</v>
      </c>
      <c r="AQ100" s="61"/>
      <c r="AR100" s="61"/>
      <c r="AS100" s="61"/>
      <c r="AT100" s="61"/>
      <c r="AU100" s="61"/>
    </row>
    <row r="101" spans="1:47" x14ac:dyDescent="0.2">
      <c r="A101" s="40">
        <v>43297.61546296296</v>
      </c>
      <c r="B101" s="50">
        <f t="shared" si="24"/>
        <v>5.7711111110402271</v>
      </c>
      <c r="C101">
        <v>12.69</v>
      </c>
      <c r="D101">
        <v>13.27</v>
      </c>
      <c r="E101" s="32">
        <f t="shared" si="25"/>
        <v>9.4783233456378745E-3</v>
      </c>
      <c r="F101" s="32">
        <f t="shared" si="26"/>
        <v>1.138425262746106E-2</v>
      </c>
      <c r="G101" s="61"/>
      <c r="H101" s="40">
        <v>43297.616319444445</v>
      </c>
      <c r="I101" s="50">
        <f t="shared" si="27"/>
        <v>5.7916666666860692</v>
      </c>
      <c r="J101">
        <v>36497.620000000003</v>
      </c>
      <c r="K101">
        <v>32347.040000000001</v>
      </c>
      <c r="L101" s="32">
        <f t="shared" si="28"/>
        <v>95.889807240209677</v>
      </c>
      <c r="M101" s="32">
        <f t="shared" si="29"/>
        <v>97.612660429186846</v>
      </c>
      <c r="N101" s="61"/>
      <c r="O101" s="40">
        <v>43297.617175925923</v>
      </c>
      <c r="P101" s="50">
        <f t="shared" si="30"/>
        <v>5.8122222221572883</v>
      </c>
      <c r="Q101">
        <v>314.08999999999997</v>
      </c>
      <c r="R101">
        <v>309.18</v>
      </c>
      <c r="S101" s="32">
        <f t="shared" si="31"/>
        <v>0.31968018513982477</v>
      </c>
      <c r="T101" s="32">
        <f t="shared" si="32"/>
        <v>0.36144040894390617</v>
      </c>
      <c r="U101" s="61"/>
      <c r="V101" s="61"/>
      <c r="W101" s="40">
        <v>43297.623425925929</v>
      </c>
      <c r="X101" s="50">
        <f t="shared" si="33"/>
        <v>5.9622222222969867</v>
      </c>
      <c r="Y101">
        <v>7.69</v>
      </c>
      <c r="Z101">
        <v>6.67</v>
      </c>
      <c r="AA101" s="32">
        <f t="shared" si="34"/>
        <v>1.0359833530529373E-2</v>
      </c>
      <c r="AB101" s="32">
        <f t="shared" si="35"/>
        <v>1.0320862082113046E-2</v>
      </c>
      <c r="AC101" s="61"/>
      <c r="AD101" s="40">
        <v>43297.624282407407</v>
      </c>
      <c r="AE101" s="50">
        <f t="shared" si="36"/>
        <v>5.9827777777682059</v>
      </c>
      <c r="AF101">
        <v>438.77</v>
      </c>
      <c r="AG101">
        <v>442.37</v>
      </c>
      <c r="AH101" s="32">
        <f t="shared" si="37"/>
        <v>0.59110327154621223</v>
      </c>
      <c r="AI101" s="32">
        <f t="shared" si="38"/>
        <v>0.68450371203363536</v>
      </c>
      <c r="AJ101" s="61"/>
      <c r="AK101" s="40">
        <v>43297.625138888892</v>
      </c>
      <c r="AL101" s="50">
        <f t="shared" si="39"/>
        <v>6.003333333414048</v>
      </c>
      <c r="AM101">
        <v>118.72</v>
      </c>
      <c r="AN101">
        <v>114.06</v>
      </c>
      <c r="AO101" s="32">
        <f t="shared" si="40"/>
        <v>0.15993750802918688</v>
      </c>
      <c r="AP101" s="32">
        <f t="shared" si="41"/>
        <v>0.17649138367103659</v>
      </c>
      <c r="AQ101" s="61"/>
      <c r="AR101" s="61"/>
      <c r="AS101" s="61"/>
      <c r="AT101" s="61"/>
      <c r="AU101" s="61"/>
    </row>
    <row r="102" spans="1:47" x14ac:dyDescent="0.2">
      <c r="A102" s="40">
        <v>43297.63140046296</v>
      </c>
      <c r="B102" s="50">
        <f t="shared" si="24"/>
        <v>6.153611111047212</v>
      </c>
      <c r="C102">
        <v>17.68</v>
      </c>
      <c r="D102">
        <v>10.08</v>
      </c>
      <c r="E102" s="32">
        <f t="shared" si="25"/>
        <v>1.32054181836783E-2</v>
      </c>
      <c r="F102" s="32">
        <f t="shared" si="26"/>
        <v>8.647570948365298E-3</v>
      </c>
      <c r="G102" s="61"/>
      <c r="H102" s="40">
        <v>43297.632256944446</v>
      </c>
      <c r="I102" s="50">
        <f t="shared" si="27"/>
        <v>6.1741666666930541</v>
      </c>
      <c r="J102">
        <v>36564.769999999997</v>
      </c>
      <c r="K102">
        <v>32603.69</v>
      </c>
      <c r="L102" s="32">
        <f t="shared" si="28"/>
        <v>96.066229718063852</v>
      </c>
      <c r="M102" s="32">
        <f t="shared" si="29"/>
        <v>98.387145182634157</v>
      </c>
      <c r="N102" s="61"/>
      <c r="O102" s="40">
        <v>43297.633113425924</v>
      </c>
      <c r="P102" s="50">
        <f t="shared" si="30"/>
        <v>6.1947222221642733</v>
      </c>
      <c r="Q102">
        <v>316.61</v>
      </c>
      <c r="R102">
        <v>277.27</v>
      </c>
      <c r="S102" s="32">
        <f t="shared" si="31"/>
        <v>0.32224503619064576</v>
      </c>
      <c r="T102" s="32">
        <f t="shared" si="32"/>
        <v>0.32413669120860616</v>
      </c>
      <c r="U102" s="61"/>
      <c r="V102" s="61"/>
      <c r="W102" s="40">
        <v>43297.639756944445</v>
      </c>
      <c r="X102" s="50">
        <f t="shared" si="33"/>
        <v>6.3541666666860692</v>
      </c>
      <c r="Y102">
        <v>0</v>
      </c>
      <c r="Z102">
        <v>0</v>
      </c>
      <c r="AA102" s="32">
        <f t="shared" si="34"/>
        <v>0</v>
      </c>
      <c r="AB102" s="32">
        <f t="shared" si="35"/>
        <v>0</v>
      </c>
      <c r="AC102" s="61"/>
      <c r="AD102" s="40">
        <v>43297.640613425923</v>
      </c>
      <c r="AE102" s="50">
        <f t="shared" si="36"/>
        <v>6.3747222221572883</v>
      </c>
      <c r="AF102">
        <v>459.33</v>
      </c>
      <c r="AG102">
        <v>446.45</v>
      </c>
      <c r="AH102" s="32">
        <f t="shared" si="37"/>
        <v>0.61880134402835585</v>
      </c>
      <c r="AI102" s="32">
        <f t="shared" si="38"/>
        <v>0.69081692302239428</v>
      </c>
      <c r="AJ102" s="61"/>
      <c r="AK102" s="40">
        <v>43297.641469907408</v>
      </c>
      <c r="AL102" s="50">
        <f t="shared" si="39"/>
        <v>6.3952777778031304</v>
      </c>
      <c r="AM102">
        <v>125.2</v>
      </c>
      <c r="AN102">
        <v>117.38</v>
      </c>
      <c r="AO102" s="32">
        <f t="shared" si="40"/>
        <v>0.16866725071811151</v>
      </c>
      <c r="AP102" s="32">
        <f t="shared" si="41"/>
        <v>0.18162860437757561</v>
      </c>
      <c r="AQ102" s="61"/>
      <c r="AR102" s="61"/>
      <c r="AS102" s="61"/>
      <c r="AT102" s="61"/>
      <c r="AU102" s="61"/>
    </row>
    <row r="103" spans="1:47" x14ac:dyDescent="0.2">
      <c r="A103" s="40">
        <v>43297.647870370369</v>
      </c>
      <c r="B103" s="50">
        <f t="shared" si="24"/>
        <v>6.5488888888503425</v>
      </c>
      <c r="C103">
        <v>26.16</v>
      </c>
      <c r="D103">
        <v>9.67</v>
      </c>
      <c r="E103" s="32">
        <f t="shared" si="25"/>
        <v>1.953923866996744E-2</v>
      </c>
      <c r="F103" s="32">
        <f t="shared" si="26"/>
        <v>8.2958344316163123E-3</v>
      </c>
      <c r="G103" s="61"/>
      <c r="H103" s="40">
        <v>43297.648726851854</v>
      </c>
      <c r="I103" s="50">
        <f t="shared" si="27"/>
        <v>6.5694444444961846</v>
      </c>
      <c r="J103">
        <v>36377.449999999997</v>
      </c>
      <c r="K103">
        <v>32434.78</v>
      </c>
      <c r="L103" s="32">
        <f t="shared" si="28"/>
        <v>95.574085882596322</v>
      </c>
      <c r="M103" s="32">
        <f t="shared" si="29"/>
        <v>97.877430708818508</v>
      </c>
      <c r="N103" s="61"/>
      <c r="O103" s="40">
        <v>43297.649583333332</v>
      </c>
      <c r="P103" s="50">
        <f t="shared" si="30"/>
        <v>6.5899999999674037</v>
      </c>
      <c r="Q103">
        <v>332.12</v>
      </c>
      <c r="R103">
        <v>306.05</v>
      </c>
      <c r="S103" s="32">
        <f t="shared" si="31"/>
        <v>0.3380310837296272</v>
      </c>
      <c r="T103" s="32">
        <f t="shared" si="32"/>
        <v>0.35778134794385952</v>
      </c>
      <c r="U103" s="61"/>
      <c r="V103" s="61"/>
      <c r="W103" s="40">
        <v>43297.656111111108</v>
      </c>
      <c r="X103" s="50">
        <f t="shared" si="33"/>
        <v>6.746666666585952</v>
      </c>
      <c r="Y103">
        <v>4.17</v>
      </c>
      <c r="Z103">
        <v>0</v>
      </c>
      <c r="AA103" s="32">
        <f t="shared" si="34"/>
        <v>5.6177510822246401E-3</v>
      </c>
      <c r="AB103" s="32">
        <f t="shared" si="35"/>
        <v>0</v>
      </c>
      <c r="AC103" s="61"/>
      <c r="AD103" s="40">
        <v>43297.656967592593</v>
      </c>
      <c r="AE103" s="50">
        <f t="shared" si="36"/>
        <v>6.7672222222317941</v>
      </c>
      <c r="AF103">
        <v>429.23</v>
      </c>
      <c r="AG103">
        <v>472.76</v>
      </c>
      <c r="AH103" s="32">
        <f t="shared" si="37"/>
        <v>0.57825115036529551</v>
      </c>
      <c r="AI103" s="32">
        <f t="shared" si="38"/>
        <v>0.73152784976608143</v>
      </c>
      <c r="AJ103" s="61"/>
      <c r="AK103" s="40">
        <v>43297.657824074071</v>
      </c>
      <c r="AL103" s="50">
        <f t="shared" si="39"/>
        <v>6.7877777777030133</v>
      </c>
      <c r="AM103">
        <v>124.2</v>
      </c>
      <c r="AN103">
        <v>91.4</v>
      </c>
      <c r="AO103" s="32">
        <f t="shared" si="40"/>
        <v>0.16732006820438855</v>
      </c>
      <c r="AP103" s="32">
        <f t="shared" si="41"/>
        <v>0.14142830499327325</v>
      </c>
      <c r="AQ103" s="61"/>
      <c r="AR103" s="61"/>
      <c r="AS103" s="61"/>
      <c r="AT103" s="61"/>
      <c r="AU103" s="61"/>
    </row>
    <row r="104" spans="1:47" x14ac:dyDescent="0.2">
      <c r="A104" s="40">
        <v>43297.664363425924</v>
      </c>
      <c r="B104" s="50">
        <f t="shared" si="24"/>
        <v>6.9447222221642733</v>
      </c>
      <c r="C104">
        <v>2.68</v>
      </c>
      <c r="D104">
        <v>9.01</v>
      </c>
      <c r="E104" s="32">
        <f t="shared" si="25"/>
        <v>2.0017262857611904E-3</v>
      </c>
      <c r="F104" s="32">
        <f t="shared" si="26"/>
        <v>7.7296244290447746E-3</v>
      </c>
      <c r="G104" s="61"/>
      <c r="H104" s="40">
        <v>43297.665208333332</v>
      </c>
      <c r="I104" s="50">
        <f t="shared" si="27"/>
        <v>6.9649999999674037</v>
      </c>
      <c r="J104">
        <v>36052.870000000003</v>
      </c>
      <c r="K104">
        <v>32059.45</v>
      </c>
      <c r="L104" s="32">
        <f t="shared" si="28"/>
        <v>94.721320315032557</v>
      </c>
      <c r="M104" s="32">
        <f t="shared" si="29"/>
        <v>96.74480899632529</v>
      </c>
      <c r="N104" s="61"/>
      <c r="O104" s="40">
        <v>43297.666064814817</v>
      </c>
      <c r="P104" s="50">
        <f t="shared" si="30"/>
        <v>6.9855555556132458</v>
      </c>
      <c r="Q104">
        <v>293.61</v>
      </c>
      <c r="R104">
        <v>269.32</v>
      </c>
      <c r="S104" s="32">
        <f t="shared" si="31"/>
        <v>0.29883568136172423</v>
      </c>
      <c r="T104" s="32">
        <f t="shared" si="32"/>
        <v>0.31484291007430237</v>
      </c>
      <c r="U104" s="61"/>
      <c r="V104" s="61"/>
      <c r="W104" s="40">
        <v>43297.67260416667</v>
      </c>
      <c r="X104" s="50">
        <f t="shared" si="33"/>
        <v>7.1425000000745058</v>
      </c>
      <c r="Y104">
        <v>0</v>
      </c>
      <c r="Z104">
        <v>6.95</v>
      </c>
      <c r="AA104" s="32">
        <f t="shared" si="34"/>
        <v>0</v>
      </c>
      <c r="AB104" s="32">
        <f t="shared" si="35"/>
        <v>1.0754121659772964E-2</v>
      </c>
      <c r="AC104" s="61"/>
      <c r="AD104" s="40">
        <v>43297.673449074071</v>
      </c>
      <c r="AE104" s="50">
        <f t="shared" si="36"/>
        <v>7.1627777777030133</v>
      </c>
      <c r="AF104">
        <v>458.32</v>
      </c>
      <c r="AG104">
        <v>485.33</v>
      </c>
      <c r="AH104" s="32">
        <f t="shared" si="37"/>
        <v>0.61744068968949573</v>
      </c>
      <c r="AI104" s="32">
        <f t="shared" si="38"/>
        <v>0.75097811009174276</v>
      </c>
      <c r="AJ104" s="61"/>
      <c r="AK104" s="40">
        <v>43297.674305555556</v>
      </c>
      <c r="AL104" s="50">
        <f t="shared" si="39"/>
        <v>7.1833333333488554</v>
      </c>
      <c r="AM104">
        <v>105.71</v>
      </c>
      <c r="AN104">
        <v>85.31</v>
      </c>
      <c r="AO104" s="32">
        <f t="shared" si="40"/>
        <v>0.14241066352565146</v>
      </c>
      <c r="AP104" s="32">
        <f t="shared" si="41"/>
        <v>0.13200490917917002</v>
      </c>
      <c r="AQ104" s="61"/>
      <c r="AR104" s="61"/>
      <c r="AS104" s="61"/>
      <c r="AT104" s="61"/>
      <c r="AU104" s="61"/>
    </row>
    <row r="105" spans="1:47" x14ac:dyDescent="0.2">
      <c r="A105" s="40">
        <v>43297.680856481478</v>
      </c>
      <c r="B105" s="50">
        <f t="shared" si="24"/>
        <v>7.340555555478204</v>
      </c>
      <c r="C105">
        <v>0</v>
      </c>
      <c r="D105">
        <v>7.53</v>
      </c>
      <c r="E105" s="32">
        <f t="shared" si="25"/>
        <v>0</v>
      </c>
      <c r="F105" s="32">
        <f t="shared" si="26"/>
        <v>6.4599413929752672E-3</v>
      </c>
      <c r="G105" s="61"/>
      <c r="H105" s="40">
        <v>43297.681701388887</v>
      </c>
      <c r="I105" s="50">
        <f t="shared" si="27"/>
        <v>7.3608333332813345</v>
      </c>
      <c r="J105">
        <v>36171.919999999998</v>
      </c>
      <c r="K105">
        <v>32179.61</v>
      </c>
      <c r="L105" s="32">
        <f t="shared" si="28"/>
        <v>95.034099108607222</v>
      </c>
      <c r="M105" s="32">
        <f t="shared" si="29"/>
        <v>97.107412105517696</v>
      </c>
      <c r="N105" s="61"/>
      <c r="O105" s="40">
        <v>43297.682557870372</v>
      </c>
      <c r="P105" s="50">
        <f t="shared" si="30"/>
        <v>7.3813888889271766</v>
      </c>
      <c r="Q105">
        <v>299.10000000000002</v>
      </c>
      <c r="R105">
        <v>278.39</v>
      </c>
      <c r="S105" s="32">
        <f t="shared" si="31"/>
        <v>0.30442339257958417</v>
      </c>
      <c r="T105" s="32">
        <f t="shared" si="32"/>
        <v>0.32544600377092314</v>
      </c>
      <c r="U105" s="61"/>
      <c r="V105" s="61"/>
      <c r="W105" s="40">
        <v>43297.689097222225</v>
      </c>
      <c r="X105" s="50">
        <f t="shared" si="33"/>
        <v>7.5383333333884366</v>
      </c>
      <c r="Y105">
        <v>0.67</v>
      </c>
      <c r="Z105">
        <v>0.56999999999999995</v>
      </c>
      <c r="AA105" s="32">
        <f t="shared" si="34"/>
        <v>9.0261228419436673E-4</v>
      </c>
      <c r="AB105" s="32">
        <f t="shared" si="35"/>
        <v>8.8199271166483303E-4</v>
      </c>
      <c r="AC105" s="61"/>
      <c r="AD105" s="40">
        <v>43297.689942129633</v>
      </c>
      <c r="AE105" s="50">
        <f t="shared" si="36"/>
        <v>7.558611111191567</v>
      </c>
      <c r="AF105">
        <v>422.31</v>
      </c>
      <c r="AG105">
        <v>445.05</v>
      </c>
      <c r="AH105" s="32">
        <f t="shared" si="37"/>
        <v>0.56892864737033289</v>
      </c>
      <c r="AI105" s="32">
        <f t="shared" si="38"/>
        <v>0.6886506251340947</v>
      </c>
      <c r="AJ105" s="61"/>
      <c r="AK105" s="40">
        <v>43297.690798611111</v>
      </c>
      <c r="AL105" s="50">
        <f t="shared" si="39"/>
        <v>7.5791666666627862</v>
      </c>
      <c r="AM105">
        <v>88.2</v>
      </c>
      <c r="AN105">
        <v>126.36</v>
      </c>
      <c r="AO105" s="32">
        <f t="shared" si="40"/>
        <v>0.11882149771036291</v>
      </c>
      <c r="AP105" s="32">
        <f t="shared" si="41"/>
        <v>0.19552385797538299</v>
      </c>
      <c r="AQ105" s="61"/>
      <c r="AR105" s="61"/>
      <c r="AS105" s="61"/>
      <c r="AT105" s="61"/>
      <c r="AU105" s="61"/>
    </row>
    <row r="106" spans="1:47" x14ac:dyDescent="0.2">
      <c r="A106" s="40">
        <v>43297.69736111111</v>
      </c>
      <c r="B106" s="50">
        <f t="shared" si="24"/>
        <v>7.7366666666348465</v>
      </c>
      <c r="C106">
        <v>0</v>
      </c>
      <c r="D106">
        <v>10.08</v>
      </c>
      <c r="E106" s="32">
        <f t="shared" si="25"/>
        <v>0</v>
      </c>
      <c r="F106" s="32">
        <f t="shared" si="26"/>
        <v>8.647570948365298E-3</v>
      </c>
      <c r="G106" s="61"/>
      <c r="H106" s="40">
        <v>43297.698206018518</v>
      </c>
      <c r="I106" s="50">
        <f t="shared" si="27"/>
        <v>7.7569444444379769</v>
      </c>
      <c r="J106">
        <v>36108.370000000003</v>
      </c>
      <c r="K106">
        <v>32379.439999999999</v>
      </c>
      <c r="L106" s="32">
        <f t="shared" si="28"/>
        <v>94.867134872305925</v>
      </c>
      <c r="M106" s="32">
        <f t="shared" si="29"/>
        <v>97.710432905367199</v>
      </c>
      <c r="N106" s="61"/>
      <c r="O106" s="40">
        <v>43297.699062500003</v>
      </c>
      <c r="P106" s="50">
        <f t="shared" si="30"/>
        <v>7.777500000083819</v>
      </c>
      <c r="Q106">
        <v>291.12</v>
      </c>
      <c r="R106">
        <v>286.83</v>
      </c>
      <c r="S106" s="32">
        <f t="shared" si="31"/>
        <v>0.29630136425198444</v>
      </c>
      <c r="T106" s="32">
        <f t="shared" si="32"/>
        <v>0.33531260915124067</v>
      </c>
      <c r="U106" s="61"/>
      <c r="V106" s="61"/>
      <c r="W106" s="40">
        <v>43297.705601851849</v>
      </c>
      <c r="X106" s="50">
        <f t="shared" si="33"/>
        <v>7.934444444370456</v>
      </c>
      <c r="Y106">
        <v>0</v>
      </c>
      <c r="Z106">
        <v>0</v>
      </c>
      <c r="AA106" s="32">
        <f t="shared" si="34"/>
        <v>0</v>
      </c>
      <c r="AB106" s="32">
        <f t="shared" si="35"/>
        <v>0</v>
      </c>
      <c r="AC106" s="61"/>
      <c r="AD106" s="40">
        <v>43297.706446759257</v>
      </c>
      <c r="AE106" s="50">
        <f t="shared" si="36"/>
        <v>7.9547222221735865</v>
      </c>
      <c r="AF106">
        <v>398.76</v>
      </c>
      <c r="AG106">
        <v>433.34</v>
      </c>
      <c r="AH106" s="32">
        <f t="shared" si="37"/>
        <v>0.53720249917215768</v>
      </c>
      <c r="AI106" s="32">
        <f t="shared" si="38"/>
        <v>0.67053109065410299</v>
      </c>
      <c r="AJ106" s="61"/>
      <c r="AK106" s="40">
        <v>43297.707303240742</v>
      </c>
      <c r="AL106" s="50">
        <f t="shared" si="39"/>
        <v>7.9752777778194286</v>
      </c>
      <c r="AM106">
        <v>98.69</v>
      </c>
      <c r="AN106">
        <v>143.56</v>
      </c>
      <c r="AO106" s="32">
        <f t="shared" si="40"/>
        <v>0.13295344227931646</v>
      </c>
      <c r="AP106" s="32">
        <f t="shared" si="41"/>
        <v>0.22213837488877797</v>
      </c>
      <c r="AQ106" s="61"/>
      <c r="AR106" s="61"/>
      <c r="AS106" s="61"/>
      <c r="AT106" s="61"/>
      <c r="AU106" s="61"/>
    </row>
    <row r="107" spans="1:47" x14ac:dyDescent="0.2">
      <c r="A107" s="40">
        <v>43297.713865740741</v>
      </c>
      <c r="B107" s="50">
        <f t="shared" si="24"/>
        <v>8.1327777777914889</v>
      </c>
      <c r="C107">
        <v>0.66</v>
      </c>
      <c r="D107">
        <v>9.01</v>
      </c>
      <c r="E107" s="32">
        <f t="shared" si="25"/>
        <v>4.9296244350835287E-4</v>
      </c>
      <c r="F107" s="32">
        <f t="shared" si="26"/>
        <v>7.7296244290447746E-3</v>
      </c>
      <c r="G107" s="61"/>
      <c r="H107" s="40">
        <v>43297.71471064815</v>
      </c>
      <c r="I107" s="50">
        <f t="shared" si="27"/>
        <v>8.1530555555946194</v>
      </c>
      <c r="J107">
        <v>35931.51</v>
      </c>
      <c r="K107">
        <v>32352.83</v>
      </c>
      <c r="L107" s="32">
        <f t="shared" si="28"/>
        <v>94.402472483128122</v>
      </c>
      <c r="M107" s="32">
        <f t="shared" si="29"/>
        <v>97.630132732800561</v>
      </c>
      <c r="N107" s="61"/>
      <c r="O107" s="40">
        <v>43297.715567129628</v>
      </c>
      <c r="P107" s="50">
        <f t="shared" si="30"/>
        <v>8.1736111110658385</v>
      </c>
      <c r="Q107">
        <v>284.05</v>
      </c>
      <c r="R107">
        <v>283.41000000000003</v>
      </c>
      <c r="S107" s="32">
        <f t="shared" si="31"/>
        <v>0.28910553213718115</v>
      </c>
      <c r="T107" s="32">
        <f t="shared" si="32"/>
        <v>0.33131452971987985</v>
      </c>
      <c r="U107" s="61"/>
      <c r="V107" s="61"/>
      <c r="W107" s="40">
        <v>43297.72210648148</v>
      </c>
      <c r="X107" s="50">
        <f t="shared" si="33"/>
        <v>8.3305555555270985</v>
      </c>
      <c r="Y107">
        <v>0</v>
      </c>
      <c r="Z107">
        <v>4.4000000000000004</v>
      </c>
      <c r="AA107" s="32">
        <f t="shared" si="34"/>
        <v>0</v>
      </c>
      <c r="AB107" s="32">
        <f t="shared" si="35"/>
        <v>6.8083647917987116E-3</v>
      </c>
      <c r="AC107" s="61"/>
      <c r="AD107" s="40">
        <v>43297.722962962966</v>
      </c>
      <c r="AE107" s="50">
        <f t="shared" si="36"/>
        <v>8.3511111111729406</v>
      </c>
      <c r="AF107">
        <v>402.33</v>
      </c>
      <c r="AG107">
        <v>451.56</v>
      </c>
      <c r="AH107" s="32">
        <f t="shared" si="37"/>
        <v>0.54201194074614845</v>
      </c>
      <c r="AI107" s="32">
        <f t="shared" si="38"/>
        <v>0.69872391031468772</v>
      </c>
      <c r="AJ107" s="61"/>
      <c r="AK107" s="40">
        <v>43297.723807870374</v>
      </c>
      <c r="AL107" s="50">
        <f t="shared" si="39"/>
        <v>8.371388888976071</v>
      </c>
      <c r="AM107">
        <v>91.18</v>
      </c>
      <c r="AN107">
        <v>103.82</v>
      </c>
      <c r="AO107" s="32">
        <f t="shared" si="40"/>
        <v>0.12283610160125724</v>
      </c>
      <c r="AP107" s="32">
        <f t="shared" si="41"/>
        <v>0.16064646197375959</v>
      </c>
      <c r="AQ107" s="61"/>
      <c r="AR107" s="61"/>
      <c r="AS107" s="61"/>
      <c r="AT107" s="61"/>
      <c r="AU107" s="61"/>
    </row>
    <row r="108" spans="1:47" x14ac:dyDescent="0.2">
      <c r="A108" s="40">
        <v>43297.730451388888</v>
      </c>
      <c r="B108" s="50">
        <f t="shared" si="24"/>
        <v>8.530833333323244</v>
      </c>
      <c r="C108">
        <v>0</v>
      </c>
      <c r="D108">
        <v>1.35</v>
      </c>
      <c r="E108" s="32">
        <f t="shared" si="25"/>
        <v>0</v>
      </c>
      <c r="F108" s="32">
        <f t="shared" si="26"/>
        <v>1.1581568234417809E-3</v>
      </c>
      <c r="G108" s="61"/>
      <c r="H108" s="40">
        <v>43297.731307870374</v>
      </c>
      <c r="I108" s="50">
        <f t="shared" si="27"/>
        <v>8.5513888889690861</v>
      </c>
      <c r="J108">
        <v>35695.78</v>
      </c>
      <c r="K108">
        <v>32268.26</v>
      </c>
      <c r="L108" s="32">
        <f t="shared" si="28"/>
        <v>93.783141571667741</v>
      </c>
      <c r="M108" s="32">
        <f t="shared" si="29"/>
        <v>97.374928463955655</v>
      </c>
      <c r="N108" s="61"/>
      <c r="O108" s="40">
        <v>43297.732152777775</v>
      </c>
      <c r="P108" s="50">
        <f t="shared" si="30"/>
        <v>8.5716666665975936</v>
      </c>
      <c r="Q108">
        <v>279.04000000000002</v>
      </c>
      <c r="R108">
        <v>269.45999999999998</v>
      </c>
      <c r="S108" s="32">
        <f t="shared" si="31"/>
        <v>0.28400636397662044</v>
      </c>
      <c r="T108" s="32">
        <f t="shared" si="32"/>
        <v>0.31500657414459199</v>
      </c>
      <c r="U108" s="61"/>
      <c r="V108" s="61"/>
      <c r="W108" s="40">
        <v>43297.738553240742</v>
      </c>
      <c r="X108" s="50">
        <f t="shared" si="33"/>
        <v>8.7252777778194286</v>
      </c>
      <c r="Y108">
        <v>0</v>
      </c>
      <c r="Z108">
        <v>4.3899999999999997</v>
      </c>
      <c r="AA108" s="32">
        <f t="shared" si="34"/>
        <v>0</v>
      </c>
      <c r="AB108" s="32">
        <f t="shared" si="35"/>
        <v>6.7928912354537135E-3</v>
      </c>
      <c r="AC108" s="61"/>
      <c r="AD108" s="40">
        <v>43297.73940972222</v>
      </c>
      <c r="AE108" s="50">
        <f t="shared" si="36"/>
        <v>8.7458333332906477</v>
      </c>
      <c r="AF108">
        <v>359.29</v>
      </c>
      <c r="AG108">
        <v>452.8</v>
      </c>
      <c r="AH108" s="32">
        <f t="shared" si="37"/>
        <v>0.48402920535551341</v>
      </c>
      <c r="AI108" s="32">
        <f t="shared" si="38"/>
        <v>0.70064263130146731</v>
      </c>
      <c r="AJ108" s="61"/>
      <c r="AK108" s="40">
        <v>43297.740266203706</v>
      </c>
      <c r="AL108" s="50">
        <f t="shared" si="39"/>
        <v>8.7663888889364898</v>
      </c>
      <c r="AM108">
        <v>113.71</v>
      </c>
      <c r="AN108">
        <v>123.34</v>
      </c>
      <c r="AO108" s="32">
        <f t="shared" si="40"/>
        <v>0.15318812363543496</v>
      </c>
      <c r="AP108" s="32">
        <f t="shared" si="41"/>
        <v>0.19085084395919388</v>
      </c>
      <c r="AQ108" s="61"/>
      <c r="AR108" s="61"/>
      <c r="AS108" s="61"/>
      <c r="AT108" s="61"/>
      <c r="AU108" s="61"/>
    </row>
    <row r="109" spans="1:47" x14ac:dyDescent="0.2">
      <c r="A109" s="40">
        <v>43297.746805555558</v>
      </c>
      <c r="B109" s="50">
        <f t="shared" si="24"/>
        <v>8.9233333333977498</v>
      </c>
      <c r="C109">
        <v>0</v>
      </c>
      <c r="D109">
        <v>6.88</v>
      </c>
      <c r="E109" s="32">
        <f t="shared" si="25"/>
        <v>0</v>
      </c>
      <c r="F109" s="32">
        <f t="shared" si="26"/>
        <v>5.902310329836632E-3</v>
      </c>
      <c r="G109" s="61"/>
      <c r="H109" s="40">
        <v>43297.747662037036</v>
      </c>
      <c r="I109" s="50">
        <f t="shared" si="27"/>
        <v>8.9438888888689689</v>
      </c>
      <c r="J109">
        <v>36010.99</v>
      </c>
      <c r="K109">
        <v>32369.73</v>
      </c>
      <c r="L109" s="32">
        <f t="shared" si="28"/>
        <v>94.611289438300858</v>
      </c>
      <c r="M109" s="32">
        <f t="shared" si="29"/>
        <v>97.681131339203276</v>
      </c>
      <c r="N109" s="61"/>
      <c r="O109" s="40">
        <v>43297.748506944445</v>
      </c>
      <c r="P109" s="50">
        <f t="shared" si="30"/>
        <v>8.9641666666720994</v>
      </c>
      <c r="Q109">
        <v>279.08999999999997</v>
      </c>
      <c r="R109">
        <v>276.16000000000003</v>
      </c>
      <c r="S109" s="32">
        <f t="shared" si="31"/>
        <v>0.2840572538784224</v>
      </c>
      <c r="T109" s="32">
        <f t="shared" si="32"/>
        <v>0.32283906893702419</v>
      </c>
      <c r="U109" s="61"/>
      <c r="V109" s="61"/>
      <c r="W109" s="40">
        <v>43297.755046296297</v>
      </c>
      <c r="X109" s="50">
        <f t="shared" si="33"/>
        <v>9.1211111111333594</v>
      </c>
      <c r="Y109">
        <v>0</v>
      </c>
      <c r="Z109">
        <v>0.56999999999999995</v>
      </c>
      <c r="AA109" s="32">
        <f t="shared" si="34"/>
        <v>0</v>
      </c>
      <c r="AB109" s="32">
        <f t="shared" si="35"/>
        <v>8.8199271166483303E-4</v>
      </c>
      <c r="AC109" s="61"/>
      <c r="AD109" s="40">
        <v>43297.755902777775</v>
      </c>
      <c r="AE109" s="50">
        <f t="shared" si="36"/>
        <v>9.1416666666045785</v>
      </c>
      <c r="AF109">
        <v>380.3</v>
      </c>
      <c r="AG109">
        <v>399.1</v>
      </c>
      <c r="AH109" s="32">
        <f t="shared" si="37"/>
        <v>0.51233350996883231</v>
      </c>
      <c r="AI109" s="32">
        <f t="shared" si="38"/>
        <v>0.6175496337288332</v>
      </c>
      <c r="AJ109" s="61"/>
      <c r="AK109" s="40">
        <v>43297.75675925926</v>
      </c>
      <c r="AL109" s="50">
        <f t="shared" si="39"/>
        <v>9.1622222222504206</v>
      </c>
      <c r="AM109">
        <v>113.21</v>
      </c>
      <c r="AN109">
        <v>111.8</v>
      </c>
      <c r="AO109" s="32">
        <f t="shared" si="40"/>
        <v>0.15251453237857349</v>
      </c>
      <c r="AP109" s="32">
        <f t="shared" si="41"/>
        <v>0.17299435993706724</v>
      </c>
      <c r="AQ109" s="61"/>
      <c r="AR109" s="61"/>
      <c r="AS109" s="61"/>
      <c r="AT109" s="61"/>
      <c r="AU109" s="61"/>
    </row>
    <row r="110" spans="1:47" x14ac:dyDescent="0.2">
      <c r="A110" s="40">
        <v>43297.763298611113</v>
      </c>
      <c r="B110" s="50">
        <f t="shared" si="24"/>
        <v>9.3191666667116806</v>
      </c>
      <c r="C110">
        <v>3.69</v>
      </c>
      <c r="D110">
        <v>5.81</v>
      </c>
      <c r="E110" s="32">
        <f t="shared" si="25"/>
        <v>2.7561082068876092E-3</v>
      </c>
      <c r="F110" s="32">
        <f t="shared" si="26"/>
        <v>4.9843638105161086E-3</v>
      </c>
      <c r="G110" s="61"/>
      <c r="H110" s="40">
        <v>43297.764155092591</v>
      </c>
      <c r="I110" s="50">
        <f t="shared" si="27"/>
        <v>9.3397222221828997</v>
      </c>
      <c r="J110">
        <v>35996.18</v>
      </c>
      <c r="K110">
        <v>32405.18</v>
      </c>
      <c r="L110" s="32">
        <f t="shared" si="28"/>
        <v>94.572379283468095</v>
      </c>
      <c r="M110" s="32">
        <f t="shared" si="29"/>
        <v>97.788107705888279</v>
      </c>
      <c r="N110" s="61"/>
      <c r="O110" s="40">
        <v>43297.765011574076</v>
      </c>
      <c r="P110" s="50">
        <f t="shared" si="30"/>
        <v>9.3602777778287418</v>
      </c>
      <c r="Q110">
        <v>317.08999999999997</v>
      </c>
      <c r="R110">
        <v>264.68</v>
      </c>
      <c r="S110" s="32">
        <f t="shared" si="31"/>
        <v>0.32273357924794494</v>
      </c>
      <c r="T110" s="32">
        <f t="shared" si="32"/>
        <v>0.30941861517327474</v>
      </c>
      <c r="U110" s="61"/>
      <c r="V110" s="61"/>
      <c r="W110" s="40">
        <v>43297.771550925929</v>
      </c>
      <c r="X110" s="50">
        <f t="shared" si="33"/>
        <v>9.5172222222900018</v>
      </c>
      <c r="Y110">
        <v>0</v>
      </c>
      <c r="Z110">
        <v>0</v>
      </c>
      <c r="AA110" s="32">
        <f t="shared" si="34"/>
        <v>0</v>
      </c>
      <c r="AB110" s="32">
        <f t="shared" si="35"/>
        <v>0</v>
      </c>
      <c r="AC110" s="61"/>
      <c r="AD110" s="40">
        <v>43297.772407407407</v>
      </c>
      <c r="AE110" s="50">
        <f t="shared" si="36"/>
        <v>9.5377777777612209</v>
      </c>
      <c r="AF110">
        <v>407.88</v>
      </c>
      <c r="AG110">
        <v>450.35</v>
      </c>
      <c r="AH110" s="32">
        <f t="shared" si="37"/>
        <v>0.5494888036973109</v>
      </c>
      <c r="AI110" s="32">
        <f t="shared" si="38"/>
        <v>0.69685160999694307</v>
      </c>
      <c r="AJ110" s="61"/>
      <c r="AK110" s="40">
        <v>43297.773263888892</v>
      </c>
      <c r="AL110" s="50">
        <f t="shared" si="39"/>
        <v>9.558333333407063</v>
      </c>
      <c r="AM110">
        <v>101.16</v>
      </c>
      <c r="AN110">
        <v>86.64</v>
      </c>
      <c r="AO110" s="32">
        <f t="shared" si="40"/>
        <v>0.13628098308821213</v>
      </c>
      <c r="AP110" s="32">
        <f t="shared" si="41"/>
        <v>0.13406289217305462</v>
      </c>
      <c r="AQ110" s="61"/>
      <c r="AR110" s="61"/>
      <c r="AS110" s="61"/>
      <c r="AT110" s="61"/>
      <c r="AU110" s="61"/>
    </row>
    <row r="111" spans="1:47" x14ac:dyDescent="0.2">
      <c r="A111" s="40">
        <v>43297.779826388891</v>
      </c>
      <c r="B111" s="50">
        <f t="shared" si="24"/>
        <v>9.7158333333791234</v>
      </c>
      <c r="C111">
        <v>0</v>
      </c>
      <c r="D111">
        <v>0</v>
      </c>
      <c r="E111" s="32">
        <f t="shared" si="25"/>
        <v>0</v>
      </c>
      <c r="F111" s="32">
        <f t="shared" si="26"/>
        <v>0</v>
      </c>
      <c r="H111" s="40">
        <v>43297.780682870369</v>
      </c>
      <c r="I111" s="50">
        <f t="shared" si="27"/>
        <v>9.7363888888503425</v>
      </c>
      <c r="J111">
        <v>35682.480000000003</v>
      </c>
      <c r="K111">
        <v>32360.89</v>
      </c>
      <c r="L111" s="32">
        <f t="shared" si="28"/>
        <v>93.748198623708547</v>
      </c>
      <c r="M111" s="32">
        <f t="shared" si="29"/>
        <v>97.654455145084938</v>
      </c>
      <c r="O111" s="40">
        <v>43297.781539351854</v>
      </c>
      <c r="P111" s="50">
        <f t="shared" si="30"/>
        <v>9.7569444444961846</v>
      </c>
      <c r="Q111">
        <v>299.02</v>
      </c>
      <c r="R111">
        <v>250.64</v>
      </c>
      <c r="S111" s="32">
        <f t="shared" si="31"/>
        <v>0.304341968736701</v>
      </c>
      <c r="T111" s="32">
        <f t="shared" si="32"/>
        <v>0.2930054469813721</v>
      </c>
      <c r="W111" s="40">
        <v>43297.78806712963</v>
      </c>
      <c r="X111" s="50">
        <f t="shared" si="33"/>
        <v>9.9136111111147329</v>
      </c>
      <c r="Y111">
        <v>0</v>
      </c>
      <c r="Z111">
        <v>0.56999999999999995</v>
      </c>
      <c r="AA111" s="32">
        <f t="shared" si="34"/>
        <v>0</v>
      </c>
      <c r="AB111" s="32">
        <f t="shared" si="35"/>
        <v>8.8199271166483303E-4</v>
      </c>
      <c r="AD111" s="40">
        <v>43297.788923611108</v>
      </c>
      <c r="AE111" s="50">
        <f t="shared" si="36"/>
        <v>9.934166666585952</v>
      </c>
      <c r="AF111">
        <v>421.8</v>
      </c>
      <c r="AG111">
        <v>471.06</v>
      </c>
      <c r="AH111" s="32">
        <f t="shared" si="37"/>
        <v>0.56824158428833405</v>
      </c>
      <c r="AI111" s="32">
        <f t="shared" si="38"/>
        <v>0.72889734518743199</v>
      </c>
      <c r="AK111" s="40">
        <v>43297.789780092593</v>
      </c>
      <c r="AL111" s="50">
        <f t="shared" si="39"/>
        <v>9.9547222222317941</v>
      </c>
      <c r="AM111">
        <v>100.72</v>
      </c>
      <c r="AN111">
        <v>119.24</v>
      </c>
      <c r="AO111" s="32">
        <f t="shared" si="40"/>
        <v>0.13568822278217404</v>
      </c>
      <c r="AP111" s="32">
        <f t="shared" si="41"/>
        <v>0.18450668585774505</v>
      </c>
    </row>
    <row r="112" spans="1:47" x14ac:dyDescent="0.2">
      <c r="A112" s="40">
        <v>43297.796331018515</v>
      </c>
      <c r="B112" s="50">
        <f t="shared" si="24"/>
        <v>10.111944444361143</v>
      </c>
      <c r="C112">
        <v>4.16</v>
      </c>
      <c r="D112">
        <v>7.94</v>
      </c>
      <c r="E112" s="32">
        <f t="shared" si="25"/>
        <v>3.1071572196890119E-3</v>
      </c>
      <c r="F112" s="32">
        <f t="shared" si="26"/>
        <v>6.8116779097242529E-3</v>
      </c>
      <c r="H112" s="40">
        <v>43297.7971875</v>
      </c>
      <c r="I112" s="50">
        <f t="shared" si="27"/>
        <v>10.132500000006985</v>
      </c>
      <c r="J112">
        <v>35815.71</v>
      </c>
      <c r="K112">
        <v>32059.81</v>
      </c>
      <c r="L112" s="32">
        <f t="shared" si="28"/>
        <v>94.09823237984422</v>
      </c>
      <c r="M112" s="32">
        <f t="shared" si="29"/>
        <v>96.745895357171747</v>
      </c>
      <c r="O112" s="40">
        <v>43297.798032407409</v>
      </c>
      <c r="P112" s="50">
        <f t="shared" si="30"/>
        <v>10.152777777810115</v>
      </c>
      <c r="Q112">
        <v>287.13</v>
      </c>
      <c r="R112">
        <v>267.3</v>
      </c>
      <c r="S112" s="32">
        <f t="shared" si="31"/>
        <v>0.29224035008818455</v>
      </c>
      <c r="T112" s="32">
        <f t="shared" si="32"/>
        <v>0.31248147134583776</v>
      </c>
      <c r="W112" s="40">
        <v>43297.804432870369</v>
      </c>
      <c r="X112" s="50">
        <f t="shared" si="33"/>
        <v>10.306388888857327</v>
      </c>
      <c r="Y112">
        <v>0</v>
      </c>
      <c r="Z112">
        <v>0.56999999999999995</v>
      </c>
      <c r="AA112" s="32">
        <f t="shared" si="34"/>
        <v>0</v>
      </c>
      <c r="AB112" s="32">
        <f t="shared" si="35"/>
        <v>8.8199271166483303E-4</v>
      </c>
      <c r="AD112" s="40">
        <v>43297.805289351854</v>
      </c>
      <c r="AE112" s="50">
        <f t="shared" si="36"/>
        <v>10.32694444450317</v>
      </c>
      <c r="AF112">
        <v>394.79</v>
      </c>
      <c r="AG112">
        <v>457.71</v>
      </c>
      <c r="AH112" s="32">
        <f t="shared" si="37"/>
        <v>0.53185418459267764</v>
      </c>
      <c r="AI112" s="32">
        <f t="shared" si="38"/>
        <v>0.70824014746686093</v>
      </c>
      <c r="AK112" s="40">
        <v>43297.806134259263</v>
      </c>
      <c r="AL112" s="50">
        <f t="shared" si="39"/>
        <v>10.3472222223063</v>
      </c>
      <c r="AM112">
        <v>84.69</v>
      </c>
      <c r="AN112">
        <v>105.67</v>
      </c>
      <c r="AO112" s="32">
        <f t="shared" si="40"/>
        <v>0.11409288708719539</v>
      </c>
      <c r="AP112" s="32">
        <f t="shared" si="41"/>
        <v>0.16350906989758407</v>
      </c>
    </row>
    <row r="113" spans="1:42" x14ac:dyDescent="0.2">
      <c r="A113" s="40">
        <v>43297.812685185185</v>
      </c>
      <c r="B113" s="50">
        <f t="shared" si="24"/>
        <v>10.504444444435649</v>
      </c>
      <c r="C113">
        <v>0</v>
      </c>
      <c r="D113">
        <v>3.68</v>
      </c>
      <c r="E113" s="32">
        <f t="shared" si="25"/>
        <v>0</v>
      </c>
      <c r="F113" s="32">
        <f t="shared" si="26"/>
        <v>3.157049711307966E-3</v>
      </c>
      <c r="H113" s="40">
        <v>43297.813530092593</v>
      </c>
      <c r="I113" s="50">
        <f t="shared" si="27"/>
        <v>10.524722222238779</v>
      </c>
      <c r="J113">
        <v>35964.57</v>
      </c>
      <c r="K113">
        <v>32169.51</v>
      </c>
      <c r="L113" s="32">
        <f t="shared" si="28"/>
        <v>94.489330668055288</v>
      </c>
      <c r="M113" s="32">
        <f t="shared" si="29"/>
        <v>97.076933648436764</v>
      </c>
      <c r="O113" s="40">
        <v>43297.814386574071</v>
      </c>
      <c r="P113" s="50">
        <f t="shared" si="30"/>
        <v>10.545277777709998</v>
      </c>
      <c r="Q113">
        <v>267.13</v>
      </c>
      <c r="R113">
        <v>268.42</v>
      </c>
      <c r="S113" s="32">
        <f t="shared" si="31"/>
        <v>0.27188438936738318</v>
      </c>
      <c r="T113" s="32">
        <f t="shared" si="32"/>
        <v>0.31379078390815479</v>
      </c>
      <c r="W113" s="40">
        <v>43297.820925925924</v>
      </c>
      <c r="X113" s="50">
        <f t="shared" si="33"/>
        <v>10.702222222171258</v>
      </c>
      <c r="Y113">
        <v>0</v>
      </c>
      <c r="Z113">
        <v>0</v>
      </c>
      <c r="AA113" s="32">
        <f t="shared" si="34"/>
        <v>0</v>
      </c>
      <c r="AB113" s="32">
        <f t="shared" si="35"/>
        <v>0</v>
      </c>
      <c r="AD113" s="40">
        <v>43297.821782407409</v>
      </c>
      <c r="AE113" s="50">
        <f t="shared" si="36"/>
        <v>10.7227777778171</v>
      </c>
      <c r="AF113">
        <v>409.28</v>
      </c>
      <c r="AG113">
        <v>464.32</v>
      </c>
      <c r="AH113" s="32">
        <f t="shared" si="37"/>
        <v>0.55137485921652296</v>
      </c>
      <c r="AI113" s="32">
        <f t="shared" si="38"/>
        <v>0.71846816821090398</v>
      </c>
      <c r="AK113" s="40">
        <v>43297.822627314818</v>
      </c>
      <c r="AL113" s="50">
        <f t="shared" si="39"/>
        <v>10.743055555620231</v>
      </c>
      <c r="AM113">
        <v>110.71</v>
      </c>
      <c r="AN113">
        <v>109.15</v>
      </c>
      <c r="AO113" s="32">
        <f t="shared" si="40"/>
        <v>0.14914657609426615</v>
      </c>
      <c r="AP113" s="32">
        <f t="shared" si="41"/>
        <v>0.16889386750564306</v>
      </c>
    </row>
    <row r="114" spans="1:42" x14ac:dyDescent="0.2">
      <c r="A114" s="40">
        <v>43297.82917824074</v>
      </c>
      <c r="B114" s="50">
        <f t="shared" si="24"/>
        <v>10.900277777749579</v>
      </c>
      <c r="C114">
        <v>5.67</v>
      </c>
      <c r="D114">
        <v>1.55</v>
      </c>
      <c r="E114" s="32">
        <f t="shared" si="25"/>
        <v>4.2349955374126674E-3</v>
      </c>
      <c r="F114" s="32">
        <f t="shared" si="26"/>
        <v>1.3297356120998225E-3</v>
      </c>
      <c r="H114" s="40">
        <v>43297.830034722225</v>
      </c>
      <c r="I114" s="50">
        <f t="shared" si="27"/>
        <v>10.920833333395422</v>
      </c>
      <c r="J114">
        <v>35951.33</v>
      </c>
      <c r="K114">
        <v>32488.69</v>
      </c>
      <c r="L114" s="32">
        <f t="shared" si="28"/>
        <v>94.454545357455302</v>
      </c>
      <c r="M114" s="32">
        <f t="shared" si="29"/>
        <v>98.04011324557419</v>
      </c>
      <c r="O114" s="40">
        <v>43297.830879629626</v>
      </c>
      <c r="P114" s="50">
        <f t="shared" si="30"/>
        <v>10.941111111023929</v>
      </c>
      <c r="Q114">
        <v>262.13</v>
      </c>
      <c r="R114">
        <v>268.42</v>
      </c>
      <c r="S114" s="32">
        <f t="shared" si="31"/>
        <v>0.26679539918718287</v>
      </c>
      <c r="T114" s="32">
        <f t="shared" si="32"/>
        <v>0.31379078390815479</v>
      </c>
      <c r="W114" s="40">
        <v>43297.837418981479</v>
      </c>
      <c r="X114" s="50">
        <f t="shared" si="33"/>
        <v>11.098055555485189</v>
      </c>
      <c r="Y114">
        <v>0</v>
      </c>
      <c r="Z114">
        <v>1.85</v>
      </c>
      <c r="AA114" s="32">
        <f t="shared" si="34"/>
        <v>0</v>
      </c>
      <c r="AB114" s="32">
        <f t="shared" si="35"/>
        <v>2.8626079238244584E-3</v>
      </c>
      <c r="AD114" s="40">
        <v>43297.838275462964</v>
      </c>
      <c r="AE114" s="50">
        <f t="shared" si="36"/>
        <v>11.118611111131031</v>
      </c>
      <c r="AF114">
        <v>463.79</v>
      </c>
      <c r="AG114">
        <v>424.04</v>
      </c>
      <c r="AH114" s="32">
        <f t="shared" si="37"/>
        <v>0.62480977803956017</v>
      </c>
      <c r="AI114" s="32">
        <f t="shared" si="38"/>
        <v>0.65614068325325592</v>
      </c>
      <c r="AK114" s="40">
        <v>43297.839131944442</v>
      </c>
      <c r="AL114" s="50">
        <f t="shared" si="39"/>
        <v>11.13916666660225</v>
      </c>
      <c r="AM114">
        <v>95.23</v>
      </c>
      <c r="AN114">
        <v>91.94</v>
      </c>
      <c r="AO114" s="32">
        <f t="shared" si="40"/>
        <v>0.12829219078183512</v>
      </c>
      <c r="AP114" s="32">
        <f t="shared" si="41"/>
        <v>0.14226387703590307</v>
      </c>
    </row>
    <row r="115" spans="1:42" x14ac:dyDescent="0.2">
      <c r="A115" s="40">
        <v>43297.845671296294</v>
      </c>
      <c r="B115" s="50">
        <f t="shared" si="24"/>
        <v>11.29611111106351</v>
      </c>
      <c r="C115">
        <v>6.17</v>
      </c>
      <c r="D115">
        <v>3.68</v>
      </c>
      <c r="E115" s="32">
        <f t="shared" si="25"/>
        <v>4.6084519340099045E-3</v>
      </c>
      <c r="F115" s="32">
        <f t="shared" si="26"/>
        <v>3.157049711307966E-3</v>
      </c>
      <c r="H115" s="40">
        <v>43297.84652777778</v>
      </c>
      <c r="I115" s="50">
        <f t="shared" si="27"/>
        <v>11.316666666709352</v>
      </c>
      <c r="J115">
        <v>35424.22</v>
      </c>
      <c r="K115">
        <v>32287.41</v>
      </c>
      <c r="L115" s="32">
        <f t="shared" si="28"/>
        <v>93.069674883863129</v>
      </c>
      <c r="M115" s="32">
        <f t="shared" si="29"/>
        <v>97.432716825648697</v>
      </c>
      <c r="O115" s="40">
        <v>43297.847384259258</v>
      </c>
      <c r="P115" s="50">
        <f t="shared" si="30"/>
        <v>11.337222222180571</v>
      </c>
      <c r="Q115">
        <v>297.62</v>
      </c>
      <c r="R115">
        <v>273.95999999999998</v>
      </c>
      <c r="S115" s="32">
        <f t="shared" si="31"/>
        <v>0.30291705148624487</v>
      </c>
      <c r="T115" s="32">
        <f t="shared" si="32"/>
        <v>0.32026720497532996</v>
      </c>
      <c r="W115" s="40">
        <v>43297.853912037041</v>
      </c>
      <c r="X115" s="50">
        <f t="shared" si="33"/>
        <v>11.493888888973743</v>
      </c>
      <c r="Y115">
        <v>0</v>
      </c>
      <c r="Z115">
        <v>0</v>
      </c>
      <c r="AA115" s="32">
        <f t="shared" si="34"/>
        <v>0</v>
      </c>
      <c r="AB115" s="32">
        <f t="shared" si="35"/>
        <v>0</v>
      </c>
      <c r="AD115" s="40">
        <v>43297.854768518519</v>
      </c>
      <c r="AE115" s="50">
        <f t="shared" si="36"/>
        <v>11.514444444444962</v>
      </c>
      <c r="AF115">
        <v>417.31</v>
      </c>
      <c r="AG115">
        <v>395.44</v>
      </c>
      <c r="AH115" s="32">
        <f t="shared" si="37"/>
        <v>0.56219273480171816</v>
      </c>
      <c r="AI115" s="32">
        <f t="shared" si="38"/>
        <v>0.61188631210656419</v>
      </c>
      <c r="AK115" s="40">
        <v>43297.855624999997</v>
      </c>
      <c r="AL115" s="50">
        <f t="shared" si="39"/>
        <v>11.534999999916181</v>
      </c>
      <c r="AM115">
        <v>96.71</v>
      </c>
      <c r="AN115">
        <v>123.47</v>
      </c>
      <c r="AO115" s="32">
        <f t="shared" si="40"/>
        <v>0.13028602090214506</v>
      </c>
      <c r="AP115" s="32">
        <f t="shared" si="41"/>
        <v>0.19105200019167884</v>
      </c>
    </row>
    <row r="116" spans="1:42" x14ac:dyDescent="0.2">
      <c r="A116" s="40">
        <v>43297.862164351849</v>
      </c>
      <c r="B116" s="50">
        <f t="shared" si="24"/>
        <v>11.691944444377441</v>
      </c>
      <c r="C116">
        <v>4.17</v>
      </c>
      <c r="D116">
        <v>9.01</v>
      </c>
      <c r="E116" s="32">
        <f t="shared" si="25"/>
        <v>3.1146263476209564E-3</v>
      </c>
      <c r="F116" s="32">
        <f t="shared" si="26"/>
        <v>7.7296244290447746E-3</v>
      </c>
      <c r="H116" s="40">
        <v>43297.863009259258</v>
      </c>
      <c r="I116" s="50">
        <f t="shared" si="27"/>
        <v>11.712222222180571</v>
      </c>
      <c r="J116">
        <v>35668.300000000003</v>
      </c>
      <c r="K116">
        <v>31850.31</v>
      </c>
      <c r="L116" s="32">
        <f t="shared" si="28"/>
        <v>93.710943661147525</v>
      </c>
      <c r="M116" s="32">
        <f t="shared" si="29"/>
        <v>96.113693697919004</v>
      </c>
      <c r="O116" s="40">
        <v>43297.863865740743</v>
      </c>
      <c r="P116" s="50">
        <f t="shared" si="30"/>
        <v>11.732777777826414</v>
      </c>
      <c r="Q116">
        <v>263.57</v>
      </c>
      <c r="R116">
        <v>272.56</v>
      </c>
      <c r="S116" s="32">
        <f t="shared" si="31"/>
        <v>0.26826102835908056</v>
      </c>
      <c r="T116" s="32">
        <f t="shared" si="32"/>
        <v>0.31863056427243375</v>
      </c>
      <c r="W116" s="40">
        <v>43297.870405092595</v>
      </c>
      <c r="X116" s="50">
        <f t="shared" si="33"/>
        <v>11.889722222287674</v>
      </c>
      <c r="Y116">
        <v>0</v>
      </c>
      <c r="Z116">
        <v>0</v>
      </c>
      <c r="AA116" s="32">
        <f t="shared" si="34"/>
        <v>0</v>
      </c>
      <c r="AB116" s="32">
        <f t="shared" si="35"/>
        <v>0</v>
      </c>
      <c r="AD116" s="40">
        <v>43297.871261574073</v>
      </c>
      <c r="AE116" s="50">
        <f t="shared" si="36"/>
        <v>11.910277777758893</v>
      </c>
      <c r="AF116">
        <v>406.34</v>
      </c>
      <c r="AG116">
        <v>402.2</v>
      </c>
      <c r="AH116" s="32">
        <f t="shared" si="37"/>
        <v>0.54741414262617749</v>
      </c>
      <c r="AI116" s="32">
        <f t="shared" si="38"/>
        <v>0.62234643619578223</v>
      </c>
      <c r="AK116" s="40">
        <v>43297.872118055559</v>
      </c>
      <c r="AL116" s="50">
        <f t="shared" si="39"/>
        <v>11.930833333404735</v>
      </c>
      <c r="AM116">
        <v>92.19</v>
      </c>
      <c r="AN116">
        <v>117.1</v>
      </c>
      <c r="AO116" s="32">
        <f t="shared" si="40"/>
        <v>0.12419675594011741</v>
      </c>
      <c r="AP116" s="32">
        <f t="shared" si="41"/>
        <v>0.1811953447999157</v>
      </c>
    </row>
    <row r="117" spans="1:42" x14ac:dyDescent="0.2">
      <c r="A117" s="40">
        <v>43297.878657407404</v>
      </c>
      <c r="B117" s="50">
        <f t="shared" si="24"/>
        <v>12.087777777691372</v>
      </c>
      <c r="C117">
        <v>0</v>
      </c>
      <c r="D117">
        <v>3.27</v>
      </c>
      <c r="E117" s="32">
        <f t="shared" si="25"/>
        <v>0</v>
      </c>
      <c r="F117" s="32">
        <f t="shared" si="26"/>
        <v>2.8053131945589803E-3</v>
      </c>
      <c r="H117" s="40">
        <v>43297.879502314812</v>
      </c>
      <c r="I117" s="50">
        <f t="shared" si="27"/>
        <v>12.108055555494502</v>
      </c>
      <c r="J117">
        <v>35382.370000000003</v>
      </c>
      <c r="K117">
        <v>31970.28</v>
      </c>
      <c r="L117" s="32">
        <f t="shared" si="28"/>
        <v>92.959722825811056</v>
      </c>
      <c r="M117" s="32">
        <f t="shared" si="29"/>
        <v>96.475723449998</v>
      </c>
      <c r="O117" s="40">
        <v>43297.880358796298</v>
      </c>
      <c r="P117" s="50">
        <f t="shared" si="30"/>
        <v>12.128611111140344</v>
      </c>
      <c r="Q117">
        <v>267.64999999999998</v>
      </c>
      <c r="R117">
        <v>260.25</v>
      </c>
      <c r="S117" s="32">
        <f t="shared" si="31"/>
        <v>0.27241364434612403</v>
      </c>
      <c r="T117" s="32">
        <f t="shared" si="32"/>
        <v>0.30423981637768149</v>
      </c>
      <c r="W117" s="40">
        <v>43297.88689814815</v>
      </c>
      <c r="X117" s="50">
        <f t="shared" si="33"/>
        <v>12.285555555601604</v>
      </c>
      <c r="Y117">
        <v>0</v>
      </c>
      <c r="Z117">
        <v>2.63</v>
      </c>
      <c r="AA117" s="32">
        <f t="shared" si="34"/>
        <v>0</v>
      </c>
      <c r="AB117" s="32">
        <f t="shared" si="35"/>
        <v>4.0695453187342299E-3</v>
      </c>
      <c r="AD117" s="40">
        <v>43297.887743055559</v>
      </c>
      <c r="AE117" s="50">
        <f t="shared" si="36"/>
        <v>12.305833333404735</v>
      </c>
      <c r="AF117">
        <v>418.81</v>
      </c>
      <c r="AG117">
        <v>433.9</v>
      </c>
      <c r="AH117" s="32">
        <f t="shared" si="37"/>
        <v>0.56421350857230257</v>
      </c>
      <c r="AI117" s="32">
        <f t="shared" si="38"/>
        <v>0.67139760980942287</v>
      </c>
      <c r="AK117" s="40">
        <v>43297.888599537036</v>
      </c>
      <c r="AL117" s="50">
        <f t="shared" si="39"/>
        <v>12.326388888875954</v>
      </c>
      <c r="AM117">
        <v>87.69</v>
      </c>
      <c r="AN117">
        <v>106.5</v>
      </c>
      <c r="AO117" s="32">
        <f t="shared" si="40"/>
        <v>0.11813443462836419</v>
      </c>
      <c r="AP117" s="32">
        <f t="shared" si="41"/>
        <v>0.16479337507421879</v>
      </c>
    </row>
    <row r="118" spans="1:42" x14ac:dyDescent="0.2">
      <c r="A118" s="40">
        <v>43297.895162037035</v>
      </c>
      <c r="B118" s="50">
        <f t="shared" si="24"/>
        <v>12.483888888848014</v>
      </c>
      <c r="C118">
        <v>0</v>
      </c>
      <c r="D118">
        <v>9.01</v>
      </c>
      <c r="E118" s="32">
        <f t="shared" si="25"/>
        <v>0</v>
      </c>
      <c r="F118" s="32">
        <f t="shared" si="26"/>
        <v>7.7296244290447746E-3</v>
      </c>
      <c r="H118" s="40">
        <v>43297.896006944444</v>
      </c>
      <c r="I118" s="50">
        <f t="shared" si="27"/>
        <v>12.504166666651145</v>
      </c>
      <c r="J118">
        <v>35657.760000000002</v>
      </c>
      <c r="K118">
        <v>32253.55</v>
      </c>
      <c r="L118" s="32">
        <f t="shared" si="28"/>
        <v>93.683252031712186</v>
      </c>
      <c r="M118" s="32">
        <f t="shared" si="29"/>
        <v>97.330538552702166</v>
      </c>
      <c r="O118" s="40">
        <v>43297.896863425929</v>
      </c>
      <c r="P118" s="50">
        <f t="shared" si="30"/>
        <v>12.524722222296987</v>
      </c>
      <c r="Q118">
        <v>283.10000000000002</v>
      </c>
      <c r="R118">
        <v>249.39</v>
      </c>
      <c r="S118" s="32">
        <f t="shared" si="31"/>
        <v>0.28813862400294316</v>
      </c>
      <c r="T118" s="32">
        <f t="shared" si="32"/>
        <v>0.29154416063950045</v>
      </c>
      <c r="W118" s="40">
        <v>43297.903402777774</v>
      </c>
      <c r="X118" s="50">
        <f t="shared" si="33"/>
        <v>12.681666666583624</v>
      </c>
      <c r="Y118">
        <v>0</v>
      </c>
      <c r="Z118">
        <v>0</v>
      </c>
      <c r="AA118" s="32">
        <f t="shared" si="34"/>
        <v>0</v>
      </c>
      <c r="AB118" s="32">
        <f t="shared" si="35"/>
        <v>0</v>
      </c>
      <c r="AD118" s="40">
        <v>43297.90425925926</v>
      </c>
      <c r="AE118" s="50">
        <f t="shared" si="36"/>
        <v>12.702222222229466</v>
      </c>
      <c r="AF118">
        <v>375.17</v>
      </c>
      <c r="AG118">
        <v>377.93</v>
      </c>
      <c r="AH118" s="32">
        <f t="shared" si="37"/>
        <v>0.50542246367343369</v>
      </c>
      <c r="AI118" s="32">
        <f t="shared" si="38"/>
        <v>0.58479211494647432</v>
      </c>
      <c r="AK118" s="40">
        <v>43297.905104166668</v>
      </c>
      <c r="AL118" s="50">
        <f t="shared" si="39"/>
        <v>12.722500000032596</v>
      </c>
      <c r="AM118">
        <v>90.17</v>
      </c>
      <c r="AN118">
        <v>99.86</v>
      </c>
      <c r="AO118" s="32">
        <f t="shared" si="40"/>
        <v>0.12147544726239709</v>
      </c>
      <c r="AP118" s="32">
        <f t="shared" si="41"/>
        <v>0.15451893366114075</v>
      </c>
    </row>
    <row r="119" spans="1:42" x14ac:dyDescent="0.2">
      <c r="A119" s="40">
        <v>43297.91165509259</v>
      </c>
      <c r="B119" s="50">
        <f t="shared" si="24"/>
        <v>12.879722222161945</v>
      </c>
      <c r="C119">
        <v>0</v>
      </c>
      <c r="D119">
        <v>1.55</v>
      </c>
      <c r="E119" s="32">
        <f t="shared" si="25"/>
        <v>0</v>
      </c>
      <c r="F119" s="32">
        <f t="shared" si="26"/>
        <v>1.3297356120998225E-3</v>
      </c>
      <c r="H119" s="40">
        <v>43297.912499999999</v>
      </c>
      <c r="I119" s="50">
        <f t="shared" si="27"/>
        <v>12.899999999965075</v>
      </c>
      <c r="J119">
        <v>35439.22</v>
      </c>
      <c r="K119">
        <v>31679.88</v>
      </c>
      <c r="L119" s="32">
        <f t="shared" si="28"/>
        <v>93.109084223666741</v>
      </c>
      <c r="M119" s="32">
        <f t="shared" si="29"/>
        <v>95.599392367196117</v>
      </c>
      <c r="O119" s="40">
        <v>43297.913356481484</v>
      </c>
      <c r="P119" s="50">
        <f t="shared" si="30"/>
        <v>12.920555555610918</v>
      </c>
      <c r="Q119">
        <v>277.60000000000002</v>
      </c>
      <c r="R119">
        <v>259.33999999999997</v>
      </c>
      <c r="S119" s="32">
        <f t="shared" si="31"/>
        <v>0.28254073480472275</v>
      </c>
      <c r="T119" s="32">
        <f t="shared" si="32"/>
        <v>0.30317599992079891</v>
      </c>
      <c r="W119" s="40">
        <v>43297.919895833336</v>
      </c>
      <c r="X119" s="50">
        <f t="shared" si="33"/>
        <v>13.077500000072177</v>
      </c>
      <c r="Y119">
        <v>0</v>
      </c>
      <c r="Z119">
        <v>0.56999999999999995</v>
      </c>
      <c r="AA119" s="32">
        <f t="shared" si="34"/>
        <v>0</v>
      </c>
      <c r="AB119" s="32">
        <f t="shared" si="35"/>
        <v>8.8199271166483303E-4</v>
      </c>
      <c r="AD119" s="40">
        <v>43297.920752314814</v>
      </c>
      <c r="AE119" s="50">
        <f t="shared" si="36"/>
        <v>13.098055555543397</v>
      </c>
      <c r="AF119">
        <v>404.76</v>
      </c>
      <c r="AG119">
        <v>441.98</v>
      </c>
      <c r="AH119" s="32">
        <f t="shared" si="37"/>
        <v>0.5452855942544953</v>
      </c>
      <c r="AI119" s="32">
        <f t="shared" si="38"/>
        <v>0.68390024333618049</v>
      </c>
      <c r="AK119" s="40">
        <v>43297.921597222223</v>
      </c>
      <c r="AL119" s="50">
        <f t="shared" si="39"/>
        <v>13.118333333346527</v>
      </c>
      <c r="AM119">
        <v>91.2</v>
      </c>
      <c r="AN119">
        <v>98.56</v>
      </c>
      <c r="AO119" s="32">
        <f t="shared" si="40"/>
        <v>0.1228630452515317</v>
      </c>
      <c r="AP119" s="32">
        <f t="shared" si="41"/>
        <v>0.15250737133629114</v>
      </c>
    </row>
    <row r="120" spans="1:42" x14ac:dyDescent="0.2">
      <c r="A120" s="40">
        <v>43297.928148148145</v>
      </c>
      <c r="B120" s="50">
        <f t="shared" si="24"/>
        <v>13.275555555475876</v>
      </c>
      <c r="C120">
        <v>5.17</v>
      </c>
      <c r="D120">
        <v>7.95</v>
      </c>
      <c r="E120" s="32">
        <f t="shared" si="25"/>
        <v>3.8615391408154303E-3</v>
      </c>
      <c r="F120" s="32">
        <f t="shared" si="26"/>
        <v>6.8202568491571537E-3</v>
      </c>
      <c r="H120" s="40">
        <v>43297.928993055553</v>
      </c>
      <c r="I120" s="50">
        <f t="shared" si="27"/>
        <v>13.295833333279006</v>
      </c>
      <c r="J120">
        <v>34980.559999999998</v>
      </c>
      <c r="K120">
        <v>31598.83</v>
      </c>
      <c r="L120" s="32">
        <f t="shared" si="28"/>
        <v>91.90405170404506</v>
      </c>
      <c r="M120" s="32">
        <f t="shared" si="29"/>
        <v>95.354810293294292</v>
      </c>
      <c r="O120" s="40">
        <v>43297.929849537039</v>
      </c>
      <c r="P120" s="50">
        <f t="shared" si="30"/>
        <v>13.316388888924848</v>
      </c>
      <c r="Q120">
        <v>276.11</v>
      </c>
      <c r="R120">
        <v>254.92</v>
      </c>
      <c r="S120" s="32">
        <f t="shared" si="31"/>
        <v>0.28102421573102304</v>
      </c>
      <c r="T120" s="32">
        <f t="shared" si="32"/>
        <v>0.29800889141594072</v>
      </c>
      <c r="W120" s="40">
        <v>43297.936388888891</v>
      </c>
      <c r="X120" s="50">
        <f t="shared" si="33"/>
        <v>13.473333333386108</v>
      </c>
      <c r="Y120">
        <v>0</v>
      </c>
      <c r="Z120">
        <v>0</v>
      </c>
      <c r="AA120" s="32">
        <f t="shared" si="34"/>
        <v>0</v>
      </c>
      <c r="AB120" s="32">
        <f t="shared" si="35"/>
        <v>0</v>
      </c>
      <c r="AD120" s="40">
        <v>43297.937245370369</v>
      </c>
      <c r="AE120" s="50">
        <f t="shared" si="36"/>
        <v>13.493888888857327</v>
      </c>
      <c r="AF120">
        <v>424.36</v>
      </c>
      <c r="AG120">
        <v>438.65</v>
      </c>
      <c r="AH120" s="32">
        <f t="shared" si="37"/>
        <v>0.5716903715234648</v>
      </c>
      <c r="AI120" s="32">
        <f t="shared" si="38"/>
        <v>0.67874754907329649</v>
      </c>
      <c r="AK120" s="40">
        <v>43297.938101851854</v>
      </c>
      <c r="AL120" s="50">
        <f t="shared" si="39"/>
        <v>13.51444444450317</v>
      </c>
      <c r="AM120">
        <v>92.71</v>
      </c>
      <c r="AN120">
        <v>129.03</v>
      </c>
      <c r="AO120" s="32">
        <f t="shared" si="40"/>
        <v>0.12489729084725332</v>
      </c>
      <c r="AP120" s="32">
        <f t="shared" si="41"/>
        <v>0.1996552975194972</v>
      </c>
    </row>
    <row r="121" spans="1:42" x14ac:dyDescent="0.2">
      <c r="A121" s="40">
        <v>43297.944641203707</v>
      </c>
      <c r="B121" s="50">
        <f t="shared" si="24"/>
        <v>13.671388888964429</v>
      </c>
      <c r="C121">
        <v>0</v>
      </c>
      <c r="D121">
        <v>11.14</v>
      </c>
      <c r="E121" s="32">
        <f t="shared" si="25"/>
        <v>0</v>
      </c>
      <c r="F121" s="32">
        <f t="shared" si="26"/>
        <v>9.556938528252918E-3</v>
      </c>
      <c r="H121" s="40">
        <v>43297.945497685185</v>
      </c>
      <c r="I121" s="50">
        <f t="shared" si="27"/>
        <v>13.691944444435649</v>
      </c>
      <c r="J121">
        <v>35428.46</v>
      </c>
      <c r="K121">
        <v>32086.95</v>
      </c>
      <c r="L121" s="32">
        <f t="shared" si="28"/>
        <v>93.080814590580943</v>
      </c>
      <c r="M121" s="32">
        <f t="shared" si="29"/>
        <v>96.82779489431789</v>
      </c>
      <c r="O121" s="40">
        <v>43297.94635416667</v>
      </c>
      <c r="P121" s="50">
        <f t="shared" si="30"/>
        <v>13.712500000081491</v>
      </c>
      <c r="Q121">
        <v>315.12</v>
      </c>
      <c r="R121">
        <v>261.79000000000002</v>
      </c>
      <c r="S121" s="32">
        <f t="shared" si="31"/>
        <v>0.32072851711694605</v>
      </c>
      <c r="T121" s="32">
        <f t="shared" si="32"/>
        <v>0.30604012115086743</v>
      </c>
      <c r="W121" s="40">
        <v>43297.952893518515</v>
      </c>
      <c r="X121" s="50">
        <f t="shared" si="33"/>
        <v>13.869444444368128</v>
      </c>
      <c r="Y121">
        <v>0</v>
      </c>
      <c r="Z121">
        <v>0</v>
      </c>
      <c r="AA121" s="32">
        <f t="shared" si="34"/>
        <v>0</v>
      </c>
      <c r="AB121" s="32">
        <f t="shared" si="35"/>
        <v>0</v>
      </c>
      <c r="AD121" s="40">
        <v>43297.953738425924</v>
      </c>
      <c r="AE121" s="50">
        <f t="shared" si="36"/>
        <v>13.889722222171258</v>
      </c>
      <c r="AF121">
        <v>417.85</v>
      </c>
      <c r="AG121">
        <v>478.4</v>
      </c>
      <c r="AH121" s="32">
        <f t="shared" si="37"/>
        <v>0.56292021335912845</v>
      </c>
      <c r="AI121" s="32">
        <f t="shared" si="38"/>
        <v>0.74025493554465993</v>
      </c>
      <c r="AK121" s="40">
        <v>43297.954594907409</v>
      </c>
      <c r="AL121" s="50">
        <f t="shared" si="39"/>
        <v>13.9102777778171</v>
      </c>
      <c r="AM121">
        <v>94.2</v>
      </c>
      <c r="AN121">
        <v>117.92</v>
      </c>
      <c r="AO121" s="32">
        <f t="shared" si="40"/>
        <v>0.12690459279270053</v>
      </c>
      <c r="AP121" s="32">
        <f t="shared" si="41"/>
        <v>0.18246417642020546</v>
      </c>
    </row>
    <row r="122" spans="1:42" x14ac:dyDescent="0.2">
      <c r="A122" s="40">
        <v>43297.961157407408</v>
      </c>
      <c r="B122" s="50">
        <f t="shared" si="24"/>
        <v>14.067777777789161</v>
      </c>
      <c r="C122">
        <v>0</v>
      </c>
      <c r="D122">
        <v>0</v>
      </c>
      <c r="E122" s="32">
        <f t="shared" si="25"/>
        <v>0</v>
      </c>
      <c r="F122" s="32">
        <f t="shared" si="26"/>
        <v>0</v>
      </c>
      <c r="H122" s="40">
        <v>43297.962002314816</v>
      </c>
      <c r="I122" s="50">
        <f t="shared" si="27"/>
        <v>14.088055555592291</v>
      </c>
      <c r="J122">
        <v>35366.32</v>
      </c>
      <c r="K122">
        <v>31906.78</v>
      </c>
      <c r="L122" s="32">
        <f t="shared" si="28"/>
        <v>92.917554832221185</v>
      </c>
      <c r="M122" s="32">
        <f t="shared" si="29"/>
        <v>96.284101467360529</v>
      </c>
      <c r="O122" s="40">
        <v>43297.962858796294</v>
      </c>
      <c r="P122" s="50">
        <f t="shared" si="30"/>
        <v>14.10861111106351</v>
      </c>
      <c r="Q122">
        <v>259.62</v>
      </c>
      <c r="R122">
        <v>235.69</v>
      </c>
      <c r="S122" s="32">
        <f t="shared" si="31"/>
        <v>0.26424072611672228</v>
      </c>
      <c r="T122" s="32">
        <f t="shared" si="32"/>
        <v>0.27552846233258699</v>
      </c>
      <c r="W122" s="40">
        <v>43297.969386574077</v>
      </c>
      <c r="X122" s="50">
        <f t="shared" si="33"/>
        <v>14.265277777856681</v>
      </c>
      <c r="Y122">
        <v>0</v>
      </c>
      <c r="Z122">
        <v>3.12</v>
      </c>
      <c r="AA122" s="32">
        <f t="shared" si="34"/>
        <v>0</v>
      </c>
      <c r="AB122" s="32">
        <f t="shared" si="35"/>
        <v>4.827749579639086E-3</v>
      </c>
      <c r="AD122" s="40">
        <v>43297.970231481479</v>
      </c>
      <c r="AE122" s="50">
        <f t="shared" si="36"/>
        <v>14.285555555485189</v>
      </c>
      <c r="AF122">
        <v>402.31</v>
      </c>
      <c r="AG122">
        <v>396.64</v>
      </c>
      <c r="AH122" s="32">
        <f t="shared" si="37"/>
        <v>0.54198499709587411</v>
      </c>
      <c r="AI122" s="32">
        <f t="shared" si="38"/>
        <v>0.61374313886796383</v>
      </c>
      <c r="AK122" s="40">
        <v>43297.971087962964</v>
      </c>
      <c r="AL122" s="50">
        <f t="shared" si="39"/>
        <v>14.306111111131031</v>
      </c>
      <c r="AM122">
        <v>92.2</v>
      </c>
      <c r="AN122">
        <v>122.36</v>
      </c>
      <c r="AO122" s="32">
        <f t="shared" si="40"/>
        <v>0.12421022776525463</v>
      </c>
      <c r="AP122" s="32">
        <f t="shared" si="41"/>
        <v>0.18933443543738415</v>
      </c>
    </row>
    <row r="123" spans="1:42" x14ac:dyDescent="0.2">
      <c r="A123" s="40">
        <v>43297.977638888886</v>
      </c>
      <c r="B123" s="50">
        <f t="shared" si="24"/>
        <v>14.46333333326038</v>
      </c>
      <c r="C123">
        <v>1.17</v>
      </c>
      <c r="D123">
        <v>4.55</v>
      </c>
      <c r="E123" s="32">
        <f t="shared" si="25"/>
        <v>8.7388796803753452E-4</v>
      </c>
      <c r="F123" s="32">
        <f t="shared" si="26"/>
        <v>3.9034174419704465E-3</v>
      </c>
      <c r="H123" s="40">
        <v>43297.978483796294</v>
      </c>
      <c r="I123" s="50">
        <f t="shared" si="27"/>
        <v>14.48361111106351</v>
      </c>
      <c r="J123">
        <v>35292.42</v>
      </c>
      <c r="K123">
        <v>31485.49</v>
      </c>
      <c r="L123" s="32">
        <f t="shared" si="28"/>
        <v>92.72339815145537</v>
      </c>
      <c r="M123" s="32">
        <f t="shared" si="29"/>
        <v>95.012787686804046</v>
      </c>
      <c r="O123" s="40">
        <v>43297.97934027778</v>
      </c>
      <c r="P123" s="50">
        <f t="shared" si="30"/>
        <v>14.504166666709352</v>
      </c>
      <c r="Q123">
        <v>266.13</v>
      </c>
      <c r="R123">
        <v>259.56</v>
      </c>
      <c r="S123" s="32">
        <f t="shared" si="31"/>
        <v>0.27086659133134311</v>
      </c>
      <c r="T123" s="32">
        <f t="shared" si="32"/>
        <v>0.30343318631696836</v>
      </c>
      <c r="W123" s="40">
        <v>43297.985879629632</v>
      </c>
      <c r="X123" s="50">
        <f t="shared" si="33"/>
        <v>14.661111111170612</v>
      </c>
      <c r="Y123">
        <v>0</v>
      </c>
      <c r="Z123">
        <v>5.18</v>
      </c>
      <c r="AA123" s="32">
        <f t="shared" si="34"/>
        <v>0</v>
      </c>
      <c r="AB123" s="32">
        <f t="shared" si="35"/>
        <v>8.0153021867084822E-3</v>
      </c>
      <c r="AD123" s="40">
        <v>43297.98673611111</v>
      </c>
      <c r="AE123" s="50">
        <f t="shared" si="36"/>
        <v>14.681666666641831</v>
      </c>
      <c r="AF123">
        <v>405.73</v>
      </c>
      <c r="AG123">
        <v>412.22</v>
      </c>
      <c r="AH123" s="32">
        <f t="shared" si="37"/>
        <v>0.54659236129280653</v>
      </c>
      <c r="AI123" s="32">
        <f t="shared" si="38"/>
        <v>0.63785093965346928</v>
      </c>
      <c r="AK123" s="40">
        <v>43297.987581018519</v>
      </c>
      <c r="AL123" s="50">
        <f t="shared" si="39"/>
        <v>14.701944444444962</v>
      </c>
      <c r="AM123">
        <v>87.69</v>
      </c>
      <c r="AN123">
        <v>124.53</v>
      </c>
      <c r="AO123" s="32">
        <f t="shared" si="40"/>
        <v>0.11813443462836419</v>
      </c>
      <c r="AP123" s="32">
        <f t="shared" si="41"/>
        <v>0.19269219716424851</v>
      </c>
    </row>
    <row r="124" spans="1:42" x14ac:dyDescent="0.2">
      <c r="A124" s="40">
        <v>43297.994120370371</v>
      </c>
      <c r="B124" s="50">
        <f t="shared" si="24"/>
        <v>14.858888888906222</v>
      </c>
      <c r="C124">
        <v>4.18</v>
      </c>
      <c r="D124">
        <v>5.81</v>
      </c>
      <c r="E124" s="32">
        <f t="shared" si="25"/>
        <v>3.122095475552901E-3</v>
      </c>
      <c r="F124" s="32">
        <f t="shared" si="26"/>
        <v>4.9843638105161086E-3</v>
      </c>
      <c r="H124" s="40">
        <v>43297.99496527778</v>
      </c>
      <c r="I124" s="50">
        <f t="shared" si="27"/>
        <v>14.879166666709352</v>
      </c>
      <c r="J124">
        <v>35401.040000000001</v>
      </c>
      <c r="K124">
        <v>31968.52</v>
      </c>
      <c r="L124" s="32">
        <f t="shared" si="28"/>
        <v>93.008774317419949</v>
      </c>
      <c r="M124" s="32">
        <f t="shared" si="29"/>
        <v>96.470412352526481</v>
      </c>
      <c r="O124" s="40">
        <v>43297.995821759258</v>
      </c>
      <c r="P124" s="50">
        <f t="shared" si="30"/>
        <v>14.899722222180571</v>
      </c>
      <c r="Q124">
        <v>313.63</v>
      </c>
      <c r="R124">
        <v>272.83999999999997</v>
      </c>
      <c r="S124" s="32">
        <f t="shared" si="31"/>
        <v>0.31921199804324635</v>
      </c>
      <c r="T124" s="32">
        <f t="shared" si="32"/>
        <v>0.31895789241301292</v>
      </c>
      <c r="W124" s="40">
        <v>43298.002453703702</v>
      </c>
      <c r="X124" s="50">
        <f t="shared" si="33"/>
        <v>15.058888888859656</v>
      </c>
      <c r="Y124">
        <v>2.17</v>
      </c>
      <c r="Z124">
        <v>9.2799999999999994</v>
      </c>
      <c r="AA124" s="32">
        <f t="shared" si="34"/>
        <v>2.9233860547787692E-3</v>
      </c>
      <c r="AB124" s="32">
        <f t="shared" si="35"/>
        <v>1.4359460288157282E-2</v>
      </c>
      <c r="AD124" s="40">
        <v>43298.003298611111</v>
      </c>
      <c r="AE124" s="50">
        <f t="shared" si="36"/>
        <v>15.079166666662786</v>
      </c>
      <c r="AF124">
        <v>402.85</v>
      </c>
      <c r="AG124">
        <v>475.87</v>
      </c>
      <c r="AH124" s="32">
        <f t="shared" si="37"/>
        <v>0.54271247565328451</v>
      </c>
      <c r="AI124" s="32">
        <f t="shared" si="38"/>
        <v>0.73634012578937558</v>
      </c>
      <c r="AK124" s="40">
        <v>43298.004155092596</v>
      </c>
      <c r="AL124" s="50">
        <f t="shared" si="39"/>
        <v>15.099722222308628</v>
      </c>
      <c r="AM124">
        <v>85.2</v>
      </c>
      <c r="AN124">
        <v>102.74</v>
      </c>
      <c r="AO124" s="32">
        <f t="shared" si="40"/>
        <v>0.11477995016919409</v>
      </c>
      <c r="AP124" s="32">
        <f t="shared" si="41"/>
        <v>0.15897531788849989</v>
      </c>
    </row>
    <row r="125" spans="1:42" x14ac:dyDescent="0.2">
      <c r="A125" s="40">
        <v>43298.010567129626</v>
      </c>
      <c r="B125" s="50">
        <f t="shared" si="24"/>
        <v>15.253611111023929</v>
      </c>
      <c r="C125">
        <v>0.67</v>
      </c>
      <c r="D125">
        <v>7.95</v>
      </c>
      <c r="E125" s="32">
        <f t="shared" si="25"/>
        <v>5.0043157144029761E-4</v>
      </c>
      <c r="F125" s="32">
        <f t="shared" si="26"/>
        <v>6.8202568491571537E-3</v>
      </c>
      <c r="H125" s="40">
        <v>43298.011423611111</v>
      </c>
      <c r="I125" s="50">
        <f t="shared" si="27"/>
        <v>15.274166666669771</v>
      </c>
      <c r="J125">
        <v>35137.15</v>
      </c>
      <c r="K125">
        <v>31881.759999999998</v>
      </c>
      <c r="L125" s="32">
        <f t="shared" si="28"/>
        <v>92.315458938701582</v>
      </c>
      <c r="M125" s="32">
        <f t="shared" si="29"/>
        <v>96.208599388532349</v>
      </c>
      <c r="O125" s="40">
        <v>43298.012280092589</v>
      </c>
      <c r="P125" s="50">
        <f t="shared" si="30"/>
        <v>15.29472222214099</v>
      </c>
      <c r="Q125">
        <v>300.63</v>
      </c>
      <c r="R125">
        <v>257.33999999999997</v>
      </c>
      <c r="S125" s="32">
        <f t="shared" si="31"/>
        <v>0.3059806235747255</v>
      </c>
      <c r="T125" s="32">
        <f t="shared" si="32"/>
        <v>0.30083794177380424</v>
      </c>
      <c r="W125" s="40">
        <v>43298.018831018519</v>
      </c>
      <c r="X125" s="50">
        <f t="shared" si="33"/>
        <v>15.451944444444962</v>
      </c>
      <c r="Y125">
        <v>2.17</v>
      </c>
      <c r="Z125">
        <v>10.54</v>
      </c>
      <c r="AA125" s="32">
        <f t="shared" si="34"/>
        <v>2.9233860547787692E-3</v>
      </c>
      <c r="AB125" s="32">
        <f t="shared" si="35"/>
        <v>1.6309128387626909E-2</v>
      </c>
      <c r="AD125" s="40">
        <v>43298.019675925927</v>
      </c>
      <c r="AE125" s="50">
        <f t="shared" si="36"/>
        <v>15.472222222248092</v>
      </c>
      <c r="AF125">
        <v>385.31</v>
      </c>
      <c r="AG125">
        <v>380.17</v>
      </c>
      <c r="AH125" s="32">
        <f t="shared" si="37"/>
        <v>0.51908289436258415</v>
      </c>
      <c r="AI125" s="32">
        <f t="shared" si="38"/>
        <v>0.58825819156775372</v>
      </c>
      <c r="AK125" s="40">
        <v>43298.020532407405</v>
      </c>
      <c r="AL125" s="50">
        <f t="shared" si="39"/>
        <v>15.492777777719311</v>
      </c>
      <c r="AM125">
        <v>88.2</v>
      </c>
      <c r="AN125">
        <v>101.23</v>
      </c>
      <c r="AO125" s="32">
        <f t="shared" si="40"/>
        <v>0.11882149771036291</v>
      </c>
      <c r="AP125" s="32">
        <f t="shared" si="41"/>
        <v>0.15663881088040535</v>
      </c>
    </row>
    <row r="126" spans="1:42" x14ac:dyDescent="0.2">
      <c r="A126" s="40">
        <v>43298.027071759258</v>
      </c>
      <c r="B126" s="50">
        <f t="shared" si="24"/>
        <v>15.649722222180571</v>
      </c>
      <c r="C126">
        <v>3.67</v>
      </c>
      <c r="D126">
        <v>5.81</v>
      </c>
      <c r="E126" s="32">
        <f t="shared" si="25"/>
        <v>2.7411699510237193E-3</v>
      </c>
      <c r="F126" s="32">
        <f t="shared" si="26"/>
        <v>4.9843638105161086E-3</v>
      </c>
      <c r="H126" s="40">
        <v>43298.027928240743</v>
      </c>
      <c r="I126" s="50">
        <f t="shared" si="27"/>
        <v>15.670277777826414</v>
      </c>
      <c r="J126">
        <v>35052.33</v>
      </c>
      <c r="K126">
        <v>31238.240000000002</v>
      </c>
      <c r="L126" s="32">
        <f t="shared" si="28"/>
        <v>92.092612258558759</v>
      </c>
      <c r="M126" s="32">
        <f t="shared" si="29"/>
        <v>94.2666690221251</v>
      </c>
      <c r="O126" s="40">
        <v>43298.028784722221</v>
      </c>
      <c r="P126" s="50">
        <f t="shared" si="30"/>
        <v>15.690833333297633</v>
      </c>
      <c r="Q126">
        <v>331.6</v>
      </c>
      <c r="R126">
        <v>232.78</v>
      </c>
      <c r="S126" s="32">
        <f t="shared" si="31"/>
        <v>0.33750182875088641</v>
      </c>
      <c r="T126" s="32">
        <f t="shared" si="32"/>
        <v>0.27212658772870973</v>
      </c>
      <c r="W126" s="40">
        <v>43298.035324074073</v>
      </c>
      <c r="X126" s="50">
        <f t="shared" si="33"/>
        <v>15.847777777758893</v>
      </c>
      <c r="Y126">
        <v>0</v>
      </c>
      <c r="Z126">
        <v>0</v>
      </c>
      <c r="AA126" s="32">
        <f t="shared" si="34"/>
        <v>0</v>
      </c>
      <c r="AB126" s="32">
        <f t="shared" si="35"/>
        <v>0</v>
      </c>
      <c r="AD126" s="40">
        <v>43298.036180555559</v>
      </c>
      <c r="AE126" s="50">
        <f t="shared" si="36"/>
        <v>15.868333333404735</v>
      </c>
      <c r="AF126">
        <v>400.69</v>
      </c>
      <c r="AG126">
        <v>460.36</v>
      </c>
      <c r="AH126" s="32">
        <f t="shared" si="37"/>
        <v>0.53980256142364291</v>
      </c>
      <c r="AI126" s="32">
        <f t="shared" si="38"/>
        <v>0.71234063989828522</v>
      </c>
      <c r="AK126" s="40">
        <v>43298.037037037036</v>
      </c>
      <c r="AL126" s="50">
        <f t="shared" si="39"/>
        <v>15.888888888875954</v>
      </c>
      <c r="AM126">
        <v>103.2</v>
      </c>
      <c r="AN126">
        <v>112.86</v>
      </c>
      <c r="AO126" s="32">
        <f t="shared" si="40"/>
        <v>0.1390292354162069</v>
      </c>
      <c r="AP126" s="32">
        <f t="shared" si="41"/>
        <v>0.17463455690963695</v>
      </c>
    </row>
    <row r="127" spans="1:42" x14ac:dyDescent="0.2">
      <c r="A127" s="40">
        <v>43298.043576388889</v>
      </c>
      <c r="B127" s="50">
        <f t="shared" si="24"/>
        <v>16.045833333337214</v>
      </c>
      <c r="C127">
        <v>7.17</v>
      </c>
      <c r="D127">
        <v>4.75</v>
      </c>
      <c r="E127" s="32">
        <f t="shared" si="25"/>
        <v>5.3553647272043788E-3</v>
      </c>
      <c r="F127" s="32">
        <f t="shared" si="26"/>
        <v>4.0749962306284885E-3</v>
      </c>
      <c r="H127" s="40">
        <v>43298.044421296298</v>
      </c>
      <c r="I127" s="50">
        <f t="shared" si="27"/>
        <v>16.066111111140344</v>
      </c>
      <c r="J127">
        <v>35002.1</v>
      </c>
      <c r="K127">
        <v>31330.32</v>
      </c>
      <c r="L127" s="32">
        <f t="shared" si="28"/>
        <v>91.960643516003046</v>
      </c>
      <c r="M127" s="32">
        <f t="shared" si="29"/>
        <v>94.544535985294502</v>
      </c>
      <c r="O127" s="40">
        <v>43298.045277777775</v>
      </c>
      <c r="P127" s="50">
        <f t="shared" si="30"/>
        <v>16.086666666611563</v>
      </c>
      <c r="Q127">
        <v>273.11</v>
      </c>
      <c r="R127">
        <v>245.17</v>
      </c>
      <c r="S127" s="32">
        <f t="shared" si="31"/>
        <v>0.27797082162290282</v>
      </c>
      <c r="T127" s="32">
        <f t="shared" si="32"/>
        <v>0.28661085794934171</v>
      </c>
      <c r="W127" s="40">
        <v>43298.051817129628</v>
      </c>
      <c r="X127" s="50">
        <f t="shared" si="33"/>
        <v>16.243611111072823</v>
      </c>
      <c r="Y127">
        <v>0</v>
      </c>
      <c r="Z127">
        <v>3.12</v>
      </c>
      <c r="AA127" s="32">
        <f t="shared" si="34"/>
        <v>0</v>
      </c>
      <c r="AB127" s="32">
        <f t="shared" si="35"/>
        <v>4.827749579639086E-3</v>
      </c>
      <c r="AD127" s="40">
        <v>43298.052673611113</v>
      </c>
      <c r="AE127" s="50">
        <f t="shared" si="36"/>
        <v>16.264166666718666</v>
      </c>
      <c r="AF127">
        <v>362.26</v>
      </c>
      <c r="AG127">
        <v>448.98</v>
      </c>
      <c r="AH127" s="32">
        <f t="shared" si="37"/>
        <v>0.4880303374212705</v>
      </c>
      <c r="AI127" s="32">
        <f t="shared" si="38"/>
        <v>0.69473173277767852</v>
      </c>
      <c r="AK127" s="40">
        <v>43298.053518518522</v>
      </c>
      <c r="AL127" s="50">
        <f t="shared" si="39"/>
        <v>16.284444444521796</v>
      </c>
      <c r="AM127">
        <v>88.23</v>
      </c>
      <c r="AN127">
        <v>126.37</v>
      </c>
      <c r="AO127" s="32">
        <f t="shared" si="40"/>
        <v>0.11886191318577459</v>
      </c>
      <c r="AP127" s="32">
        <f t="shared" si="41"/>
        <v>0.19553933153172798</v>
      </c>
    </row>
    <row r="128" spans="1:42" x14ac:dyDescent="0.2">
      <c r="A128" s="40">
        <v>43298.060081018521</v>
      </c>
      <c r="B128" s="50">
        <f t="shared" si="24"/>
        <v>16.441944444493856</v>
      </c>
      <c r="C128">
        <v>0</v>
      </c>
      <c r="D128">
        <v>14.15</v>
      </c>
      <c r="E128" s="32">
        <f t="shared" si="25"/>
        <v>0</v>
      </c>
      <c r="F128" s="32">
        <f t="shared" si="26"/>
        <v>1.2139199297556445E-2</v>
      </c>
      <c r="H128" s="40">
        <v>43298.060925925929</v>
      </c>
      <c r="I128" s="50">
        <f t="shared" si="27"/>
        <v>16.462222222296987</v>
      </c>
      <c r="J128">
        <v>35162.79</v>
      </c>
      <c r="K128">
        <v>31539.98</v>
      </c>
      <c r="L128" s="32">
        <f t="shared" si="28"/>
        <v>92.382822636872561</v>
      </c>
      <c r="M128" s="32">
        <f t="shared" si="29"/>
        <v>95.177220471590118</v>
      </c>
      <c r="O128" s="40">
        <v>43298.061782407407</v>
      </c>
      <c r="P128" s="50">
        <f t="shared" si="30"/>
        <v>16.482777777768206</v>
      </c>
      <c r="Q128">
        <v>283.60000000000002</v>
      </c>
      <c r="R128">
        <v>269.58</v>
      </c>
      <c r="S128" s="32">
        <f t="shared" si="31"/>
        <v>0.28864752302096314</v>
      </c>
      <c r="T128" s="32">
        <f t="shared" si="32"/>
        <v>0.31514685763341166</v>
      </c>
      <c r="W128" s="40">
        <v>43298.06832175926</v>
      </c>
      <c r="X128" s="50">
        <f t="shared" si="33"/>
        <v>16.639722222229466</v>
      </c>
      <c r="Y128">
        <v>0</v>
      </c>
      <c r="Z128">
        <v>0</v>
      </c>
      <c r="AA128" s="32">
        <f t="shared" si="34"/>
        <v>0</v>
      </c>
      <c r="AB128" s="32">
        <f t="shared" si="35"/>
        <v>0</v>
      </c>
      <c r="AD128" s="40">
        <v>43298.069178240738</v>
      </c>
      <c r="AE128" s="50">
        <f t="shared" si="36"/>
        <v>16.660277777700685</v>
      </c>
      <c r="AF128">
        <v>393.27</v>
      </c>
      <c r="AG128">
        <v>452.96</v>
      </c>
      <c r="AH128" s="32">
        <f t="shared" si="37"/>
        <v>0.52980646717181867</v>
      </c>
      <c r="AI128" s="32">
        <f t="shared" si="38"/>
        <v>0.70089020820298731</v>
      </c>
      <c r="AK128" s="40">
        <v>43298.070023148146</v>
      </c>
      <c r="AL128" s="50">
        <f t="shared" si="39"/>
        <v>16.680555555503815</v>
      </c>
      <c r="AM128">
        <v>88.71</v>
      </c>
      <c r="AN128">
        <v>114.47</v>
      </c>
      <c r="AO128" s="32">
        <f t="shared" si="40"/>
        <v>0.11950856079236158</v>
      </c>
      <c r="AP128" s="32">
        <f t="shared" si="41"/>
        <v>0.17712579948118146</v>
      </c>
    </row>
    <row r="129" spans="1:47" x14ac:dyDescent="0.2">
      <c r="A129" s="40">
        <v>43298.076574074075</v>
      </c>
      <c r="B129" s="50">
        <f t="shared" si="24"/>
        <v>16.837777777807787</v>
      </c>
      <c r="C129">
        <v>0</v>
      </c>
      <c r="D129">
        <v>2.61</v>
      </c>
      <c r="E129" s="32">
        <f t="shared" si="25"/>
        <v>0</v>
      </c>
      <c r="F129" s="32">
        <f t="shared" si="26"/>
        <v>2.239103191987443E-3</v>
      </c>
      <c r="H129" s="40">
        <v>43298.077430555553</v>
      </c>
      <c r="I129" s="50">
        <f t="shared" si="27"/>
        <v>16.858333333279006</v>
      </c>
      <c r="J129">
        <v>35154.230000000003</v>
      </c>
      <c r="K129">
        <v>31491.64</v>
      </c>
      <c r="L129" s="32">
        <f t="shared" si="28"/>
        <v>92.360333040291309</v>
      </c>
      <c r="M129" s="32">
        <f t="shared" si="29"/>
        <v>95.031346351264204</v>
      </c>
      <c r="O129" s="40">
        <v>43298.078287037039</v>
      </c>
      <c r="P129" s="50">
        <f t="shared" si="30"/>
        <v>16.878888888924848</v>
      </c>
      <c r="Q129">
        <v>279.05</v>
      </c>
      <c r="R129">
        <v>251.53</v>
      </c>
      <c r="S129" s="32">
        <f t="shared" si="31"/>
        <v>0.28401654195698084</v>
      </c>
      <c r="T129" s="32">
        <f t="shared" si="32"/>
        <v>0.29404588285678473</v>
      </c>
      <c r="W129" s="40">
        <v>43298.084826388891</v>
      </c>
      <c r="X129" s="50">
        <f t="shared" si="33"/>
        <v>17.035833333386108</v>
      </c>
      <c r="Y129">
        <v>0</v>
      </c>
      <c r="Z129">
        <v>3.91</v>
      </c>
      <c r="AA129" s="32">
        <f t="shared" si="34"/>
        <v>0</v>
      </c>
      <c r="AB129" s="32">
        <f t="shared" si="35"/>
        <v>6.0501605308938555E-3</v>
      </c>
      <c r="AD129" s="40">
        <v>43298.0856712963</v>
      </c>
      <c r="AE129" s="50">
        <f t="shared" si="36"/>
        <v>17.056111111189239</v>
      </c>
      <c r="AF129">
        <v>392.3</v>
      </c>
      <c r="AG129">
        <v>390.49</v>
      </c>
      <c r="AH129" s="32">
        <f t="shared" si="37"/>
        <v>0.52849970013350756</v>
      </c>
      <c r="AI129" s="32">
        <f t="shared" si="38"/>
        <v>0.60422690171579063</v>
      </c>
      <c r="AK129" s="40">
        <v>43298.086527777778</v>
      </c>
      <c r="AL129" s="50">
        <f t="shared" si="39"/>
        <v>17.076666666660458</v>
      </c>
      <c r="AM129">
        <v>93.71</v>
      </c>
      <c r="AN129">
        <v>118.42</v>
      </c>
      <c r="AO129" s="32">
        <f t="shared" si="40"/>
        <v>0.12624447336097624</v>
      </c>
      <c r="AP129" s="32">
        <f t="shared" si="41"/>
        <v>0.18323785423745531</v>
      </c>
    </row>
    <row r="130" spans="1:47" x14ac:dyDescent="0.2">
      <c r="A130" s="40">
        <v>43298.093078703707</v>
      </c>
      <c r="B130" s="50">
        <f t="shared" si="24"/>
        <v>17.233888888964429</v>
      </c>
      <c r="C130">
        <v>1.69</v>
      </c>
      <c r="D130">
        <v>18.420000000000002</v>
      </c>
      <c r="E130" s="32">
        <f t="shared" si="25"/>
        <v>1.2622826204986611E-3</v>
      </c>
      <c r="F130" s="32">
        <f t="shared" si="26"/>
        <v>1.5802406435405633E-2</v>
      </c>
      <c r="H130" s="40">
        <v>43298.093923611108</v>
      </c>
      <c r="I130" s="50">
        <f t="shared" si="27"/>
        <v>17.254166666592937</v>
      </c>
      <c r="J130">
        <v>34984.14</v>
      </c>
      <c r="K130">
        <v>31006.67</v>
      </c>
      <c r="L130" s="32">
        <f t="shared" si="28"/>
        <v>91.91345739981152</v>
      </c>
      <c r="M130" s="32">
        <f t="shared" si="29"/>
        <v>93.567867407647014</v>
      </c>
      <c r="O130" s="40">
        <v>43298.094780092593</v>
      </c>
      <c r="P130" s="50">
        <f t="shared" si="30"/>
        <v>17.274722222238779</v>
      </c>
      <c r="Q130">
        <v>295.08999999999997</v>
      </c>
      <c r="R130">
        <v>226.35</v>
      </c>
      <c r="S130" s="32">
        <f t="shared" si="31"/>
        <v>0.30034202245506347</v>
      </c>
      <c r="T130" s="32">
        <f t="shared" si="32"/>
        <v>0.26460973078612188</v>
      </c>
      <c r="W130" s="40">
        <v>43298.101319444446</v>
      </c>
      <c r="X130" s="50">
        <f t="shared" si="33"/>
        <v>17.431666666700039</v>
      </c>
      <c r="Y130">
        <v>0</v>
      </c>
      <c r="Z130">
        <v>10.77</v>
      </c>
      <c r="AA130" s="32">
        <f t="shared" si="34"/>
        <v>0</v>
      </c>
      <c r="AB130" s="32">
        <f t="shared" si="35"/>
        <v>1.6665020183561845E-2</v>
      </c>
      <c r="AD130" s="40">
        <v>43298.102164351854</v>
      </c>
      <c r="AE130" s="50">
        <f t="shared" si="36"/>
        <v>17.45194444450317</v>
      </c>
      <c r="AF130">
        <v>405.31</v>
      </c>
      <c r="AG130">
        <v>403.47</v>
      </c>
      <c r="AH130" s="32">
        <f t="shared" si="37"/>
        <v>0.54602654463704292</v>
      </c>
      <c r="AI130" s="32">
        <f t="shared" si="38"/>
        <v>0.62431157785159686</v>
      </c>
      <c r="AK130" s="40">
        <v>43298.103020833332</v>
      </c>
      <c r="AL130" s="50">
        <f t="shared" si="39"/>
        <v>17.472499999974389</v>
      </c>
      <c r="AM130">
        <v>97.19</v>
      </c>
      <c r="AN130">
        <v>118.41</v>
      </c>
      <c r="AO130" s="32">
        <f t="shared" si="40"/>
        <v>0.13093266850873209</v>
      </c>
      <c r="AP130" s="32">
        <f t="shared" si="41"/>
        <v>0.1832223806811103</v>
      </c>
    </row>
    <row r="131" spans="1:47" x14ac:dyDescent="0.2">
      <c r="A131" s="40">
        <v>43298.109560185185</v>
      </c>
      <c r="B131" s="50">
        <f t="shared" si="24"/>
        <v>17.629444444435649</v>
      </c>
      <c r="C131">
        <v>0</v>
      </c>
      <c r="D131">
        <v>11.15</v>
      </c>
      <c r="E131" s="32">
        <f t="shared" si="25"/>
        <v>0</v>
      </c>
      <c r="F131" s="32">
        <f t="shared" si="26"/>
        <v>9.5655174676858197E-3</v>
      </c>
      <c r="H131" s="40">
        <v>43298.11041666667</v>
      </c>
      <c r="I131" s="50">
        <f t="shared" si="27"/>
        <v>17.650000000081491</v>
      </c>
      <c r="J131">
        <v>34852.089999999997</v>
      </c>
      <c r="K131">
        <v>31478.09</v>
      </c>
      <c r="L131" s="32">
        <f t="shared" si="28"/>
        <v>91.566523845073704</v>
      </c>
      <c r="M131" s="32">
        <f t="shared" si="29"/>
        <v>94.990456936071482</v>
      </c>
      <c r="O131" s="40">
        <v>43298.111273148148</v>
      </c>
      <c r="P131" s="50">
        <f t="shared" si="30"/>
        <v>17.67055555555271</v>
      </c>
      <c r="Q131">
        <v>280.5</v>
      </c>
      <c r="R131">
        <v>252.21</v>
      </c>
      <c r="S131" s="32">
        <f t="shared" si="31"/>
        <v>0.28549234910923893</v>
      </c>
      <c r="T131" s="32">
        <f t="shared" si="32"/>
        <v>0.29484082262676298</v>
      </c>
      <c r="W131" s="40">
        <v>43298.117812500001</v>
      </c>
      <c r="X131" s="50">
        <f t="shared" si="33"/>
        <v>17.82750000001397</v>
      </c>
      <c r="Y131">
        <v>0</v>
      </c>
      <c r="Z131">
        <v>0</v>
      </c>
      <c r="AA131" s="32">
        <f t="shared" si="34"/>
        <v>0</v>
      </c>
      <c r="AB131" s="32">
        <f t="shared" si="35"/>
        <v>0</v>
      </c>
      <c r="AD131" s="40">
        <v>43298.118657407409</v>
      </c>
      <c r="AE131" s="50">
        <f t="shared" si="36"/>
        <v>17.8477777778171</v>
      </c>
      <c r="AF131">
        <v>385.28</v>
      </c>
      <c r="AG131">
        <v>384.77</v>
      </c>
      <c r="AH131" s="32">
        <f t="shared" si="37"/>
        <v>0.51904247888717248</v>
      </c>
      <c r="AI131" s="32">
        <f t="shared" si="38"/>
        <v>0.59537602748645224</v>
      </c>
      <c r="AK131" s="40">
        <v>43298.119513888887</v>
      </c>
      <c r="AL131" s="50">
        <f t="shared" si="39"/>
        <v>17.868333333288319</v>
      </c>
      <c r="AM131">
        <v>93.2</v>
      </c>
      <c r="AN131">
        <v>99.89</v>
      </c>
      <c r="AO131" s="32">
        <f t="shared" si="40"/>
        <v>0.12555741027897757</v>
      </c>
      <c r="AP131" s="32">
        <f t="shared" si="41"/>
        <v>0.15456535433017574</v>
      </c>
    </row>
    <row r="132" spans="1:47" x14ac:dyDescent="0.2">
      <c r="A132" s="40">
        <v>43298.126064814816</v>
      </c>
      <c r="B132" s="50">
        <f t="shared" si="24"/>
        <v>18.025555555592291</v>
      </c>
      <c r="C132">
        <v>0</v>
      </c>
      <c r="D132">
        <v>11.8</v>
      </c>
      <c r="E132" s="32">
        <f t="shared" si="25"/>
        <v>0</v>
      </c>
      <c r="F132" s="32">
        <f t="shared" si="26"/>
        <v>1.0123148530824456E-2</v>
      </c>
      <c r="H132" s="40">
        <v>43298.126909722225</v>
      </c>
      <c r="I132" s="50">
        <f t="shared" si="27"/>
        <v>18.045833333395422</v>
      </c>
      <c r="J132">
        <v>35320.620000000003</v>
      </c>
      <c r="K132">
        <v>31755.67</v>
      </c>
      <c r="L132" s="32">
        <f t="shared" si="28"/>
        <v>92.797487710286177</v>
      </c>
      <c r="M132" s="32">
        <f t="shared" si="29"/>
        <v>95.828101502063731</v>
      </c>
      <c r="O132" s="40">
        <v>43298.127766203703</v>
      </c>
      <c r="P132" s="50">
        <f t="shared" si="30"/>
        <v>18.066388888866641</v>
      </c>
      <c r="Q132">
        <v>267.62</v>
      </c>
      <c r="R132">
        <v>280.60000000000002</v>
      </c>
      <c r="S132" s="32">
        <f t="shared" si="31"/>
        <v>0.27238311040504287</v>
      </c>
      <c r="T132" s="32">
        <f t="shared" si="32"/>
        <v>0.32802955802335232</v>
      </c>
      <c r="W132" s="40">
        <v>43298.134305555555</v>
      </c>
      <c r="X132" s="50">
        <f t="shared" si="33"/>
        <v>18.223333333327901</v>
      </c>
      <c r="Y132">
        <v>0</v>
      </c>
      <c r="Z132">
        <v>0.56999999999999995</v>
      </c>
      <c r="AA132" s="32">
        <f t="shared" si="34"/>
        <v>0</v>
      </c>
      <c r="AB132" s="32">
        <f t="shared" si="35"/>
        <v>8.8199271166483303E-4</v>
      </c>
      <c r="AD132" s="40">
        <v>43298.135150462964</v>
      </c>
      <c r="AE132" s="50">
        <f t="shared" si="36"/>
        <v>18.243611111131031</v>
      </c>
      <c r="AF132">
        <v>378.75</v>
      </c>
      <c r="AG132">
        <v>441.14</v>
      </c>
      <c r="AH132" s="32">
        <f t="shared" si="37"/>
        <v>0.51024537707256179</v>
      </c>
      <c r="AI132" s="32">
        <f t="shared" si="38"/>
        <v>0.68260046460320078</v>
      </c>
      <c r="AK132" s="40">
        <v>43298.136006944442</v>
      </c>
      <c r="AL132" s="50">
        <f t="shared" si="39"/>
        <v>18.26416666660225</v>
      </c>
      <c r="AM132">
        <v>116.21</v>
      </c>
      <c r="AN132">
        <v>95.91</v>
      </c>
      <c r="AO132" s="32">
        <f t="shared" si="40"/>
        <v>0.1565560799197423</v>
      </c>
      <c r="AP132" s="32">
        <f t="shared" si="41"/>
        <v>0.1484068789048669</v>
      </c>
    </row>
    <row r="133" spans="1:47" x14ac:dyDescent="0.2">
      <c r="A133" s="40">
        <v>43298.142557870371</v>
      </c>
      <c r="B133" s="50">
        <f t="shared" si="24"/>
        <v>18.421388888906222</v>
      </c>
      <c r="C133">
        <v>0</v>
      </c>
      <c r="D133">
        <v>0</v>
      </c>
      <c r="E133" s="32">
        <f t="shared" si="25"/>
        <v>0</v>
      </c>
      <c r="F133" s="32">
        <f t="shared" si="26"/>
        <v>0</v>
      </c>
      <c r="H133" s="40">
        <v>43298.143414351849</v>
      </c>
      <c r="I133" s="50">
        <f t="shared" si="27"/>
        <v>18.441944444377441</v>
      </c>
      <c r="J133">
        <v>34675.050000000003</v>
      </c>
      <c r="K133">
        <v>31140.84</v>
      </c>
      <c r="L133" s="32">
        <f t="shared" si="28"/>
        <v>91.101388543818288</v>
      </c>
      <c r="M133" s="32">
        <f t="shared" si="29"/>
        <v>93.972748059780386</v>
      </c>
      <c r="O133" s="40">
        <v>43298.144270833334</v>
      </c>
      <c r="P133" s="50">
        <f t="shared" si="30"/>
        <v>18.462500000023283</v>
      </c>
      <c r="Q133">
        <v>283.61</v>
      </c>
      <c r="R133">
        <v>229.24</v>
      </c>
      <c r="S133" s="32">
        <f t="shared" si="31"/>
        <v>0.28865770100132354</v>
      </c>
      <c r="T133" s="32">
        <f t="shared" si="32"/>
        <v>0.26798822480852919</v>
      </c>
      <c r="W133" s="40">
        <v>43298.150810185187</v>
      </c>
      <c r="X133" s="50">
        <f t="shared" si="33"/>
        <v>18.619444444484543</v>
      </c>
      <c r="Y133">
        <v>0</v>
      </c>
      <c r="Z133">
        <v>0</v>
      </c>
      <c r="AA133" s="32">
        <f t="shared" si="34"/>
        <v>0</v>
      </c>
      <c r="AB133" s="32">
        <f t="shared" si="35"/>
        <v>0</v>
      </c>
      <c r="AD133" s="40">
        <v>43298.151655092595</v>
      </c>
      <c r="AE133" s="50">
        <f t="shared" si="36"/>
        <v>18.639722222287674</v>
      </c>
      <c r="AF133">
        <v>375.35</v>
      </c>
      <c r="AG133">
        <v>426.62</v>
      </c>
      <c r="AH133" s="32">
        <f t="shared" si="37"/>
        <v>0.50566495652590382</v>
      </c>
      <c r="AI133" s="32">
        <f t="shared" si="38"/>
        <v>0.66013286079026501</v>
      </c>
      <c r="AK133" s="40">
        <v>43298.152511574073</v>
      </c>
      <c r="AL133" s="50">
        <f t="shared" si="39"/>
        <v>18.660277777758893</v>
      </c>
      <c r="AM133">
        <v>79.19</v>
      </c>
      <c r="AN133">
        <v>108.87</v>
      </c>
      <c r="AO133" s="32">
        <f t="shared" si="40"/>
        <v>0.10668338326171924</v>
      </c>
      <c r="AP133" s="32">
        <f t="shared" si="41"/>
        <v>0.16846060792798312</v>
      </c>
    </row>
    <row r="134" spans="1:47" x14ac:dyDescent="0.2">
      <c r="A134" s="40">
        <v>43298.159074074072</v>
      </c>
      <c r="B134" s="50">
        <f t="shared" si="24"/>
        <v>18.817777777730953</v>
      </c>
      <c r="C134">
        <v>0</v>
      </c>
      <c r="D134">
        <v>0</v>
      </c>
      <c r="E134" s="32">
        <f t="shared" si="25"/>
        <v>0</v>
      </c>
      <c r="F134" s="32">
        <f t="shared" si="26"/>
        <v>0</v>
      </c>
      <c r="H134" s="40">
        <v>43298.159930555557</v>
      </c>
      <c r="I134" s="50">
        <f t="shared" si="27"/>
        <v>18.838333333376795</v>
      </c>
      <c r="J134">
        <v>34346.33</v>
      </c>
      <c r="K134">
        <v>31138.59</v>
      </c>
      <c r="L134" s="32">
        <f t="shared" si="28"/>
        <v>90.237745998468696</v>
      </c>
      <c r="M134" s="32">
        <f t="shared" si="29"/>
        <v>93.965958304490087</v>
      </c>
      <c r="O134" s="40">
        <v>43298.160787037035</v>
      </c>
      <c r="P134" s="50">
        <f t="shared" si="30"/>
        <v>18.858888888848014</v>
      </c>
      <c r="Q134">
        <v>279.64</v>
      </c>
      <c r="R134">
        <v>241.84</v>
      </c>
      <c r="S134" s="32">
        <f t="shared" si="31"/>
        <v>0.28461704279824446</v>
      </c>
      <c r="T134" s="32">
        <f t="shared" si="32"/>
        <v>0.28271799113459556</v>
      </c>
      <c r="W134" s="40">
        <v>43298.167175925926</v>
      </c>
      <c r="X134" s="50">
        <f t="shared" si="33"/>
        <v>19.012222222227138</v>
      </c>
      <c r="Y134">
        <v>0</v>
      </c>
      <c r="Z134">
        <v>1.35</v>
      </c>
      <c r="AA134" s="32">
        <f t="shared" si="34"/>
        <v>0</v>
      </c>
      <c r="AB134" s="32">
        <f t="shared" si="35"/>
        <v>2.0889301065746047E-3</v>
      </c>
      <c r="AD134" s="40">
        <v>43298.168032407404</v>
      </c>
      <c r="AE134" s="50">
        <f t="shared" si="36"/>
        <v>19.032777777698357</v>
      </c>
      <c r="AF134">
        <v>377.68</v>
      </c>
      <c r="AG134">
        <v>421.09</v>
      </c>
      <c r="AH134" s="32">
        <f t="shared" si="37"/>
        <v>0.50880389178287821</v>
      </c>
      <c r="AI134" s="32">
        <f t="shared" si="38"/>
        <v>0.65157598413148166</v>
      </c>
      <c r="AK134" s="40">
        <v>43298.168888888889</v>
      </c>
      <c r="AL134" s="50">
        <f t="shared" si="39"/>
        <v>19.053333333344199</v>
      </c>
      <c r="AM134">
        <v>81.180000000000007</v>
      </c>
      <c r="AN134">
        <v>108.79</v>
      </c>
      <c r="AO134" s="32">
        <f t="shared" si="40"/>
        <v>0.1093642764640279</v>
      </c>
      <c r="AP134" s="32">
        <f t="shared" si="41"/>
        <v>0.16833681947722312</v>
      </c>
    </row>
    <row r="135" spans="1:47" x14ac:dyDescent="0.2">
      <c r="A135" s="40">
        <v>43298.175428240742</v>
      </c>
      <c r="B135" s="50">
        <f t="shared" si="24"/>
        <v>19.210277777805459</v>
      </c>
      <c r="C135">
        <v>4.17</v>
      </c>
      <c r="D135">
        <v>9.01</v>
      </c>
      <c r="E135" s="32">
        <f t="shared" si="25"/>
        <v>3.1146263476209564E-3</v>
      </c>
      <c r="F135" s="32">
        <f t="shared" si="26"/>
        <v>7.7296244290447746E-3</v>
      </c>
      <c r="H135" s="40">
        <v>43298.17628472222</v>
      </c>
      <c r="I135" s="50">
        <f t="shared" si="27"/>
        <v>19.230833333276678</v>
      </c>
      <c r="J135">
        <v>34938.85</v>
      </c>
      <c r="K135">
        <v>31589.99</v>
      </c>
      <c r="L135" s="32">
        <f t="shared" si="28"/>
        <v>91.794467466497807</v>
      </c>
      <c r="M135" s="32">
        <f t="shared" si="29"/>
        <v>95.328134099175941</v>
      </c>
      <c r="O135" s="40">
        <v>43298.177141203705</v>
      </c>
      <c r="P135" s="50">
        <f t="shared" si="30"/>
        <v>19.25138888892252</v>
      </c>
      <c r="Q135">
        <v>311.11</v>
      </c>
      <c r="R135">
        <v>258.02</v>
      </c>
      <c r="S135" s="32">
        <f t="shared" si="31"/>
        <v>0.31664714699242541</v>
      </c>
      <c r="T135" s="32">
        <f t="shared" si="32"/>
        <v>0.30163288154378248</v>
      </c>
      <c r="W135" s="40">
        <v>43298.183668981481</v>
      </c>
      <c r="X135" s="50">
        <f t="shared" si="33"/>
        <v>19.408055555541068</v>
      </c>
      <c r="Y135">
        <v>1.17</v>
      </c>
      <c r="Z135">
        <v>0</v>
      </c>
      <c r="AA135" s="32">
        <f t="shared" si="34"/>
        <v>1.5762035410558342E-3</v>
      </c>
      <c r="AB135" s="32">
        <f t="shared" si="35"/>
        <v>0</v>
      </c>
      <c r="AD135" s="40">
        <v>43298.184525462966</v>
      </c>
      <c r="AE135" s="50">
        <f t="shared" si="36"/>
        <v>19.42861111118691</v>
      </c>
      <c r="AF135">
        <v>391.15</v>
      </c>
      <c r="AG135">
        <v>420.23</v>
      </c>
      <c r="AH135" s="32">
        <f t="shared" si="37"/>
        <v>0.52695044024272608</v>
      </c>
      <c r="AI135" s="32">
        <f t="shared" si="38"/>
        <v>0.65024525828581192</v>
      </c>
      <c r="AK135" s="40">
        <v>43298.185381944444</v>
      </c>
      <c r="AL135" s="50">
        <f t="shared" si="39"/>
        <v>19.44916666665813</v>
      </c>
      <c r="AM135">
        <v>89.2</v>
      </c>
      <c r="AN135">
        <v>104.93</v>
      </c>
      <c r="AO135" s="32">
        <f t="shared" si="40"/>
        <v>0.12016868022408583</v>
      </c>
      <c r="AP135" s="32">
        <f t="shared" si="41"/>
        <v>0.16236402672805428</v>
      </c>
    </row>
    <row r="136" spans="1:47" x14ac:dyDescent="0.2">
      <c r="A136" s="40">
        <v>43298.191921296297</v>
      </c>
      <c r="B136" s="50">
        <f t="shared" si="24"/>
        <v>19.60611111111939</v>
      </c>
      <c r="C136">
        <v>2.17</v>
      </c>
      <c r="D136">
        <v>3.68</v>
      </c>
      <c r="E136" s="32">
        <f t="shared" si="25"/>
        <v>1.6208007612320083E-3</v>
      </c>
      <c r="F136" s="32">
        <f t="shared" si="26"/>
        <v>3.157049711307966E-3</v>
      </c>
      <c r="H136" s="40">
        <v>43298.192777777775</v>
      </c>
      <c r="I136" s="50">
        <f t="shared" si="27"/>
        <v>19.626666666590609</v>
      </c>
      <c r="J136">
        <v>34850.26</v>
      </c>
      <c r="K136">
        <v>31208.880000000001</v>
      </c>
      <c r="L136" s="32">
        <f t="shared" si="28"/>
        <v>91.561715905617689</v>
      </c>
      <c r="M136" s="32">
        <f t="shared" si="29"/>
        <v>94.178070259759181</v>
      </c>
      <c r="O136" s="40">
        <v>43298.19363425926</v>
      </c>
      <c r="P136" s="50">
        <f t="shared" si="30"/>
        <v>19.647222222236451</v>
      </c>
      <c r="Q136">
        <v>276.64999999999998</v>
      </c>
      <c r="R136">
        <v>254.03</v>
      </c>
      <c r="S136" s="32">
        <f t="shared" si="31"/>
        <v>0.28157382667048464</v>
      </c>
      <c r="T136" s="32">
        <f t="shared" si="32"/>
        <v>0.29696845554052814</v>
      </c>
      <c r="W136" s="40">
        <v>43298.200173611112</v>
      </c>
      <c r="X136" s="50">
        <f t="shared" si="33"/>
        <v>19.804166666697711</v>
      </c>
      <c r="Y136">
        <v>0</v>
      </c>
      <c r="Z136">
        <v>3.12</v>
      </c>
      <c r="AA136" s="32">
        <f t="shared" si="34"/>
        <v>0</v>
      </c>
      <c r="AB136" s="32">
        <f t="shared" si="35"/>
        <v>4.827749579639086E-3</v>
      </c>
      <c r="AD136" s="40">
        <v>43298.20103009259</v>
      </c>
      <c r="AE136" s="50">
        <f t="shared" si="36"/>
        <v>19.82472222216893</v>
      </c>
      <c r="AF136">
        <v>380.81</v>
      </c>
      <c r="AG136">
        <v>434.76</v>
      </c>
      <c r="AH136" s="32">
        <f t="shared" si="37"/>
        <v>0.51302057305083104</v>
      </c>
      <c r="AI136" s="32">
        <f t="shared" si="38"/>
        <v>0.67272833565509271</v>
      </c>
      <c r="AK136" s="40">
        <v>43298.201886574076</v>
      </c>
      <c r="AL136" s="50">
        <f t="shared" si="39"/>
        <v>19.845277777814772</v>
      </c>
      <c r="AM136">
        <v>81.23</v>
      </c>
      <c r="AN136">
        <v>102.56</v>
      </c>
      <c r="AO136" s="32">
        <f t="shared" si="40"/>
        <v>0.10943163558971404</v>
      </c>
      <c r="AP136" s="32">
        <f t="shared" si="41"/>
        <v>0.15869679387428995</v>
      </c>
    </row>
    <row r="137" spans="1:47" x14ac:dyDescent="0.2">
      <c r="A137" s="40">
        <v>43298.208425925928</v>
      </c>
      <c r="B137" s="50">
        <f t="shared" si="24"/>
        <v>20.002222222276032</v>
      </c>
      <c r="C137">
        <v>0</v>
      </c>
      <c r="D137">
        <v>3.48</v>
      </c>
      <c r="E137" s="32">
        <f t="shared" si="25"/>
        <v>0</v>
      </c>
      <c r="F137" s="32">
        <f t="shared" si="26"/>
        <v>2.9854709226499244E-3</v>
      </c>
      <c r="G137" s="61"/>
      <c r="H137" s="40">
        <v>43298.209282407406</v>
      </c>
      <c r="I137" s="50">
        <f t="shared" si="27"/>
        <v>20.022777777747251</v>
      </c>
      <c r="J137">
        <v>34675.339999999997</v>
      </c>
      <c r="K137">
        <v>31076.43</v>
      </c>
      <c r="L137" s="32">
        <f t="shared" si="28"/>
        <v>91.102150457721137</v>
      </c>
      <c r="M137" s="32">
        <f t="shared" si="29"/>
        <v>93.778379998336632</v>
      </c>
      <c r="N137" s="61"/>
      <c r="O137" s="40">
        <v>43298.210127314815</v>
      </c>
      <c r="P137" s="50">
        <f t="shared" si="30"/>
        <v>20.043055555550382</v>
      </c>
      <c r="Q137">
        <v>272.67</v>
      </c>
      <c r="R137">
        <v>223.02</v>
      </c>
      <c r="S137" s="32">
        <f t="shared" si="31"/>
        <v>0.27752299048704521</v>
      </c>
      <c r="T137" s="32">
        <f t="shared" si="32"/>
        <v>0.26071686397137572</v>
      </c>
      <c r="U137" s="61"/>
      <c r="V137" s="61"/>
      <c r="W137" s="40">
        <v>43298.216666666667</v>
      </c>
      <c r="X137" s="50">
        <f t="shared" si="33"/>
        <v>20.200000000011642</v>
      </c>
      <c r="Y137">
        <v>0</v>
      </c>
      <c r="Z137">
        <v>8.23</v>
      </c>
      <c r="AA137" s="32">
        <f t="shared" si="34"/>
        <v>0</v>
      </c>
      <c r="AB137" s="32">
        <f t="shared" si="35"/>
        <v>1.2734736871932589E-2</v>
      </c>
      <c r="AC137" s="61"/>
      <c r="AD137" s="40">
        <v>43298.217523148145</v>
      </c>
      <c r="AE137" s="50">
        <f t="shared" si="36"/>
        <v>20.220555555482861</v>
      </c>
      <c r="AF137">
        <v>373.26</v>
      </c>
      <c r="AG137">
        <v>446.12</v>
      </c>
      <c r="AH137" s="32">
        <f t="shared" si="37"/>
        <v>0.50284934507222279</v>
      </c>
      <c r="AI137" s="32">
        <f t="shared" si="38"/>
        <v>0.69030629566300938</v>
      </c>
      <c r="AJ137" s="61"/>
      <c r="AK137" s="40">
        <v>43298.21837962963</v>
      </c>
      <c r="AL137" s="50">
        <f t="shared" si="39"/>
        <v>20.241111111128703</v>
      </c>
      <c r="AM137">
        <v>84.2</v>
      </c>
      <c r="AN137">
        <v>107.83</v>
      </c>
      <c r="AO137" s="32">
        <f t="shared" si="40"/>
        <v>0.11343276765547115</v>
      </c>
      <c r="AP137" s="32">
        <f t="shared" si="41"/>
        <v>0.16685135806810342</v>
      </c>
      <c r="AQ137" s="61"/>
      <c r="AR137" s="61"/>
      <c r="AS137" s="61"/>
      <c r="AT137" s="61"/>
      <c r="AU137" s="61"/>
    </row>
    <row r="138" spans="1:47" x14ac:dyDescent="0.2">
      <c r="A138" s="40">
        <v>43298.224930555552</v>
      </c>
      <c r="B138" s="50">
        <f t="shared" si="24"/>
        <v>20.398333333258051</v>
      </c>
      <c r="C138">
        <v>1.68</v>
      </c>
      <c r="D138">
        <v>2.61</v>
      </c>
      <c r="E138" s="32">
        <f t="shared" si="25"/>
        <v>1.2548134925667162E-3</v>
      </c>
      <c r="F138" s="32">
        <f t="shared" si="26"/>
        <v>2.239103191987443E-3</v>
      </c>
      <c r="G138" s="61"/>
      <c r="H138" s="40">
        <v>43298.225787037038</v>
      </c>
      <c r="I138" s="50">
        <f t="shared" si="27"/>
        <v>20.418888888903894</v>
      </c>
      <c r="J138">
        <v>35205.06</v>
      </c>
      <c r="K138">
        <v>31263.15</v>
      </c>
      <c r="L138" s="32">
        <f t="shared" si="28"/>
        <v>92.493878156439138</v>
      </c>
      <c r="M138" s="32">
        <f t="shared" si="29"/>
        <v>94.341839157361306</v>
      </c>
      <c r="N138" s="61"/>
      <c r="O138" s="40">
        <v>43298.226643518516</v>
      </c>
      <c r="P138" s="50">
        <f t="shared" si="30"/>
        <v>20.439444444375113</v>
      </c>
      <c r="Q138">
        <v>265.08999999999997</v>
      </c>
      <c r="R138">
        <v>243.85</v>
      </c>
      <c r="S138" s="32">
        <f t="shared" si="31"/>
        <v>0.26980808137386147</v>
      </c>
      <c r="T138" s="32">
        <f t="shared" si="32"/>
        <v>0.28506773957232523</v>
      </c>
      <c r="U138" s="61"/>
      <c r="V138" s="61"/>
      <c r="W138" s="40">
        <v>43298.233263888891</v>
      </c>
      <c r="X138" s="50">
        <f t="shared" si="33"/>
        <v>20.598333333386108</v>
      </c>
      <c r="Y138">
        <v>0</v>
      </c>
      <c r="Z138">
        <v>0</v>
      </c>
      <c r="AA138" s="32">
        <f t="shared" si="34"/>
        <v>0</v>
      </c>
      <c r="AB138" s="32">
        <f t="shared" si="35"/>
        <v>0</v>
      </c>
      <c r="AC138" s="61"/>
      <c r="AD138" s="40">
        <v>43298.234120370369</v>
      </c>
      <c r="AE138" s="50">
        <f t="shared" si="36"/>
        <v>20.618888888857327</v>
      </c>
      <c r="AF138">
        <v>396.28</v>
      </c>
      <c r="AG138">
        <v>358.7</v>
      </c>
      <c r="AH138" s="32">
        <f t="shared" si="37"/>
        <v>0.53386148653812482</v>
      </c>
      <c r="AI138" s="32">
        <f t="shared" si="38"/>
        <v>0.55503646609504487</v>
      </c>
      <c r="AJ138" s="61"/>
      <c r="AK138" s="40">
        <v>43298.234976851854</v>
      </c>
      <c r="AL138" s="50">
        <f t="shared" si="39"/>
        <v>20.63944444450317</v>
      </c>
      <c r="AM138">
        <v>88.2</v>
      </c>
      <c r="AN138">
        <v>96.92</v>
      </c>
      <c r="AO138" s="32">
        <f t="shared" si="40"/>
        <v>0.11882149771036291</v>
      </c>
      <c r="AP138" s="32">
        <f t="shared" si="41"/>
        <v>0.14996970809571161</v>
      </c>
      <c r="AQ138" s="61"/>
      <c r="AR138" s="61"/>
      <c r="AS138" s="61"/>
      <c r="AT138" s="61"/>
      <c r="AU138" s="61"/>
    </row>
    <row r="139" spans="1:47" x14ac:dyDescent="0.2">
      <c r="A139" s="40">
        <v>43298.241388888891</v>
      </c>
      <c r="B139" s="50">
        <f t="shared" si="24"/>
        <v>20.793333333393093</v>
      </c>
      <c r="C139">
        <v>6.17</v>
      </c>
      <c r="D139">
        <v>3.68</v>
      </c>
      <c r="E139" s="32">
        <f t="shared" si="25"/>
        <v>4.6084519340099045E-3</v>
      </c>
      <c r="F139" s="32">
        <f t="shared" si="26"/>
        <v>3.157049711307966E-3</v>
      </c>
      <c r="G139" s="61"/>
      <c r="H139" s="40">
        <v>43298.242245370369</v>
      </c>
      <c r="I139" s="50">
        <f t="shared" si="27"/>
        <v>20.813888888864312</v>
      </c>
      <c r="J139">
        <v>34353.919999999998</v>
      </c>
      <c r="K139">
        <v>31612.15</v>
      </c>
      <c r="L139" s="32">
        <f t="shared" si="28"/>
        <v>90.257687124409316</v>
      </c>
      <c r="M139" s="32">
        <f t="shared" si="29"/>
        <v>95.395005644612894</v>
      </c>
      <c r="N139" s="61"/>
      <c r="O139" s="40">
        <v>43298.243101851855</v>
      </c>
      <c r="P139" s="50">
        <f t="shared" si="30"/>
        <v>20.834444444510154</v>
      </c>
      <c r="Q139">
        <v>298.11</v>
      </c>
      <c r="R139">
        <v>287.02</v>
      </c>
      <c r="S139" s="32">
        <f t="shared" si="31"/>
        <v>0.30341577252390456</v>
      </c>
      <c r="T139" s="32">
        <f t="shared" si="32"/>
        <v>0.33553472467520518</v>
      </c>
      <c r="U139" s="61"/>
      <c r="V139" s="61"/>
      <c r="W139" s="40">
        <v>43298.24962962963</v>
      </c>
      <c r="X139" s="50">
        <f t="shared" si="33"/>
        <v>20.991111111128703</v>
      </c>
      <c r="Y139">
        <v>0</v>
      </c>
      <c r="Z139">
        <v>0</v>
      </c>
      <c r="AA139" s="32">
        <f t="shared" si="34"/>
        <v>0</v>
      </c>
      <c r="AB139" s="32">
        <f t="shared" si="35"/>
        <v>0</v>
      </c>
      <c r="AC139" s="61"/>
      <c r="AD139" s="40">
        <v>43298.250486111108</v>
      </c>
      <c r="AE139" s="50">
        <f t="shared" si="36"/>
        <v>21.011666666599922</v>
      </c>
      <c r="AF139">
        <v>381.78</v>
      </c>
      <c r="AG139">
        <v>390.45</v>
      </c>
      <c r="AH139" s="32">
        <f t="shared" si="37"/>
        <v>0.51432734008914216</v>
      </c>
      <c r="AI139" s="32">
        <f t="shared" si="38"/>
        <v>0.60416500749041058</v>
      </c>
      <c r="AJ139" s="61"/>
      <c r="AK139" s="40">
        <v>43298.251342592594</v>
      </c>
      <c r="AL139" s="50">
        <f t="shared" si="39"/>
        <v>21.032222222245764</v>
      </c>
      <c r="AM139">
        <v>94.71</v>
      </c>
      <c r="AN139">
        <v>129</v>
      </c>
      <c r="AO139" s="32">
        <f t="shared" si="40"/>
        <v>0.12759165587469917</v>
      </c>
      <c r="AP139" s="32">
        <f t="shared" si="41"/>
        <v>0.19960887685046222</v>
      </c>
      <c r="AQ139" s="61"/>
      <c r="AR139" s="61"/>
      <c r="AS139" s="61"/>
      <c r="AT139" s="61"/>
      <c r="AU139" s="61"/>
    </row>
    <row r="140" spans="1:47" x14ac:dyDescent="0.2">
      <c r="A140" s="40">
        <v>43298.257881944446</v>
      </c>
      <c r="B140" s="50">
        <f t="shared" si="24"/>
        <v>21.189166666707024</v>
      </c>
      <c r="C140">
        <v>0</v>
      </c>
      <c r="D140">
        <v>10.94</v>
      </c>
      <c r="E140" s="32">
        <f t="shared" si="25"/>
        <v>0</v>
      </c>
      <c r="F140" s="32">
        <f t="shared" si="26"/>
        <v>9.385359739594876E-3</v>
      </c>
      <c r="G140" s="61"/>
      <c r="H140" s="40">
        <v>43298.258738425924</v>
      </c>
      <c r="I140" s="50">
        <f t="shared" si="27"/>
        <v>21.209722222178243</v>
      </c>
      <c r="J140">
        <v>34846.35</v>
      </c>
      <c r="K140">
        <v>30949.09</v>
      </c>
      <c r="L140" s="32">
        <f t="shared" si="28"/>
        <v>91.551443204375531</v>
      </c>
      <c r="M140" s="32">
        <f t="shared" si="29"/>
        <v>93.394110025595594</v>
      </c>
      <c r="N140" s="61"/>
      <c r="O140" s="40">
        <v>43298.259594907409</v>
      </c>
      <c r="P140" s="50">
        <f t="shared" si="30"/>
        <v>21.230277777824085</v>
      </c>
      <c r="Q140">
        <v>285.14</v>
      </c>
      <c r="R140">
        <v>228.56</v>
      </c>
      <c r="S140" s="32">
        <f t="shared" si="31"/>
        <v>0.29021493199646481</v>
      </c>
      <c r="T140" s="32">
        <f t="shared" si="32"/>
        <v>0.267193285038551</v>
      </c>
      <c r="U140" s="61"/>
      <c r="V140" s="61"/>
      <c r="W140" s="40">
        <v>43298.266134259262</v>
      </c>
      <c r="X140" s="50">
        <f t="shared" si="33"/>
        <v>21.387222222285345</v>
      </c>
      <c r="Y140">
        <v>0</v>
      </c>
      <c r="Z140">
        <v>12.05</v>
      </c>
      <c r="AA140" s="32">
        <f t="shared" si="34"/>
        <v>0</v>
      </c>
      <c r="AB140" s="32">
        <f t="shared" si="35"/>
        <v>1.864563539572147E-2</v>
      </c>
      <c r="AC140" s="61"/>
      <c r="AD140" s="40">
        <v>43298.26699074074</v>
      </c>
      <c r="AE140" s="50">
        <f t="shared" si="36"/>
        <v>21.407777777756564</v>
      </c>
      <c r="AF140">
        <v>411.81</v>
      </c>
      <c r="AG140">
        <v>394.4</v>
      </c>
      <c r="AH140" s="32">
        <f t="shared" si="37"/>
        <v>0.55478323097624205</v>
      </c>
      <c r="AI140" s="32">
        <f t="shared" si="38"/>
        <v>0.61027706224668443</v>
      </c>
      <c r="AJ140" s="61"/>
      <c r="AK140" s="40">
        <v>43298.267835648148</v>
      </c>
      <c r="AL140" s="50">
        <f t="shared" si="39"/>
        <v>21.428055555559695</v>
      </c>
      <c r="AM140">
        <v>88.2</v>
      </c>
      <c r="AN140">
        <v>106.27</v>
      </c>
      <c r="AO140" s="32">
        <f t="shared" si="40"/>
        <v>0.11882149771036291</v>
      </c>
      <c r="AP140" s="32">
        <f t="shared" si="41"/>
        <v>0.16443748327828386</v>
      </c>
      <c r="AQ140" s="61"/>
      <c r="AR140" s="61"/>
      <c r="AS140" s="61"/>
      <c r="AT140" s="61"/>
      <c r="AU140" s="61"/>
    </row>
    <row r="141" spans="1:47" x14ac:dyDescent="0.2">
      <c r="A141" s="40">
        <v>43298.274386574078</v>
      </c>
      <c r="B141" s="50">
        <f t="shared" si="24"/>
        <v>21.585277777863666</v>
      </c>
      <c r="C141">
        <v>7.17</v>
      </c>
      <c r="D141">
        <v>6.88</v>
      </c>
      <c r="E141" s="32">
        <f t="shared" si="25"/>
        <v>5.3553647272043788E-3</v>
      </c>
      <c r="F141" s="32">
        <f t="shared" si="26"/>
        <v>5.902310329836632E-3</v>
      </c>
      <c r="G141" s="61"/>
      <c r="H141" s="40">
        <v>43298.275243055556</v>
      </c>
      <c r="I141" s="50">
        <f t="shared" si="27"/>
        <v>21.605833333334886</v>
      </c>
      <c r="J141">
        <v>34339.660000000003</v>
      </c>
      <c r="K141">
        <v>31064.21</v>
      </c>
      <c r="L141" s="32">
        <f t="shared" si="28"/>
        <v>90.220221978702696</v>
      </c>
      <c r="M141" s="32">
        <f t="shared" si="29"/>
        <v>93.741504082937738</v>
      </c>
      <c r="N141" s="61"/>
      <c r="O141" s="40">
        <v>43298.276099537034</v>
      </c>
      <c r="P141" s="50">
        <f t="shared" si="30"/>
        <v>21.626388888806105</v>
      </c>
      <c r="Q141">
        <v>275.10000000000002</v>
      </c>
      <c r="R141">
        <v>241.42</v>
      </c>
      <c r="S141" s="32">
        <f t="shared" si="31"/>
        <v>0.27999623971462256</v>
      </c>
      <c r="T141" s="32">
        <f t="shared" si="32"/>
        <v>0.28222699892372671</v>
      </c>
      <c r="U141" s="61"/>
      <c r="V141" s="61"/>
      <c r="W141" s="40">
        <v>43298.282638888886</v>
      </c>
      <c r="X141" s="50">
        <f t="shared" si="33"/>
        <v>21.783333333267365</v>
      </c>
      <c r="Y141">
        <v>0</v>
      </c>
      <c r="Z141">
        <v>0</v>
      </c>
      <c r="AA141" s="32">
        <f t="shared" si="34"/>
        <v>0</v>
      </c>
      <c r="AB141" s="32">
        <f t="shared" si="35"/>
        <v>0</v>
      </c>
      <c r="AC141" s="61"/>
      <c r="AD141" s="40">
        <v>43298.283483796295</v>
      </c>
      <c r="AE141" s="50">
        <f t="shared" si="36"/>
        <v>21.803611111070495</v>
      </c>
      <c r="AF141">
        <v>392.81</v>
      </c>
      <c r="AG141">
        <v>438.54</v>
      </c>
      <c r="AH141" s="32">
        <f t="shared" si="37"/>
        <v>0.52918676321550617</v>
      </c>
      <c r="AI141" s="32">
        <f t="shared" si="38"/>
        <v>0.67857733995350167</v>
      </c>
      <c r="AJ141" s="61"/>
      <c r="AK141" s="40">
        <v>43298.28434027778</v>
      </c>
      <c r="AL141" s="50">
        <f t="shared" si="39"/>
        <v>21.824166666716337</v>
      </c>
      <c r="AM141">
        <v>89.71</v>
      </c>
      <c r="AN141">
        <v>113.12</v>
      </c>
      <c r="AO141" s="32">
        <f t="shared" si="40"/>
        <v>0.12085574330608453</v>
      </c>
      <c r="AP141" s="32">
        <f t="shared" si="41"/>
        <v>0.17503686937460688</v>
      </c>
      <c r="AQ141" s="61"/>
      <c r="AR141" s="61"/>
      <c r="AS141" s="61"/>
      <c r="AT141" s="61"/>
      <c r="AU141" s="61"/>
    </row>
    <row r="142" spans="1:47" x14ac:dyDescent="0.2">
      <c r="A142" s="40">
        <v>43298.290879629632</v>
      </c>
      <c r="B142" s="50">
        <f t="shared" si="24"/>
        <v>21.981111111177597</v>
      </c>
      <c r="C142">
        <v>11.17</v>
      </c>
      <c r="D142">
        <v>13.94</v>
      </c>
      <c r="E142" s="32">
        <f t="shared" si="25"/>
        <v>8.3430158999822732E-3</v>
      </c>
      <c r="F142" s="32">
        <f t="shared" si="26"/>
        <v>1.1959041569465501E-2</v>
      </c>
      <c r="G142" s="61"/>
      <c r="H142" s="40">
        <v>43298.29173611111</v>
      </c>
      <c r="I142" s="50">
        <f t="shared" si="27"/>
        <v>22.001666666648816</v>
      </c>
      <c r="J142">
        <v>34785.49</v>
      </c>
      <c r="K142">
        <v>31191.22</v>
      </c>
      <c r="L142" s="32">
        <f t="shared" si="28"/>
        <v>91.391546376345673</v>
      </c>
      <c r="M142" s="32">
        <f t="shared" si="29"/>
        <v>94.12477822490284</v>
      </c>
      <c r="N142" s="61"/>
      <c r="O142" s="40">
        <v>43298.292592592596</v>
      </c>
      <c r="P142" s="50">
        <f t="shared" si="30"/>
        <v>22.022222222294658</v>
      </c>
      <c r="Q142">
        <v>287.11</v>
      </c>
      <c r="R142">
        <v>290.56</v>
      </c>
      <c r="S142" s="32">
        <f t="shared" si="31"/>
        <v>0.2922199941274638</v>
      </c>
      <c r="T142" s="32">
        <f t="shared" si="32"/>
        <v>0.33967308759538573</v>
      </c>
      <c r="U142" s="61"/>
      <c r="V142" s="61"/>
      <c r="W142" s="40">
        <v>43298.299120370371</v>
      </c>
      <c r="X142" s="50">
        <f t="shared" si="33"/>
        <v>22.178888888913207</v>
      </c>
      <c r="Y142">
        <v>0</v>
      </c>
      <c r="Z142">
        <v>0.08</v>
      </c>
      <c r="AA142" s="32">
        <f t="shared" si="34"/>
        <v>0</v>
      </c>
      <c r="AB142" s="32">
        <f t="shared" si="35"/>
        <v>1.2378845075997657E-4</v>
      </c>
      <c r="AC142" s="61"/>
      <c r="AD142" s="40">
        <v>43298.299976851849</v>
      </c>
      <c r="AE142" s="50">
        <f t="shared" si="36"/>
        <v>22.199444444384426</v>
      </c>
      <c r="AF142">
        <v>369.77</v>
      </c>
      <c r="AG142">
        <v>490.58</v>
      </c>
      <c r="AH142" s="32">
        <f t="shared" si="37"/>
        <v>0.49814767809932969</v>
      </c>
      <c r="AI142" s="32">
        <f t="shared" si="38"/>
        <v>0.75910172717286628</v>
      </c>
      <c r="AJ142" s="61"/>
      <c r="AK142" s="40">
        <v>43298.300833333335</v>
      </c>
      <c r="AL142" s="50">
        <f t="shared" si="39"/>
        <v>22.220000000030268</v>
      </c>
      <c r="AM142">
        <v>94.16</v>
      </c>
      <c r="AN142">
        <v>117.05</v>
      </c>
      <c r="AO142" s="32">
        <f t="shared" si="40"/>
        <v>0.12685070549215158</v>
      </c>
      <c r="AP142" s="32">
        <f t="shared" si="41"/>
        <v>0.18111797701819071</v>
      </c>
      <c r="AQ142" s="61"/>
      <c r="AR142" s="61"/>
      <c r="AS142" s="61"/>
      <c r="AT142" s="61"/>
      <c r="AU142" s="61"/>
    </row>
    <row r="143" spans="1:47" x14ac:dyDescent="0.2">
      <c r="A143" s="40">
        <v>43298.307372685187</v>
      </c>
      <c r="B143" s="50">
        <f t="shared" si="24"/>
        <v>22.376944444491528</v>
      </c>
      <c r="C143">
        <v>0</v>
      </c>
      <c r="D143">
        <v>15.01</v>
      </c>
      <c r="E143" s="32">
        <f t="shared" si="25"/>
        <v>0</v>
      </c>
      <c r="F143" s="32">
        <f t="shared" si="26"/>
        <v>1.2876988088786023E-2</v>
      </c>
      <c r="G143" s="61"/>
      <c r="H143" s="40">
        <v>43298.308229166665</v>
      </c>
      <c r="I143" s="50">
        <f t="shared" si="27"/>
        <v>22.397499999962747</v>
      </c>
      <c r="J143">
        <v>34227.19</v>
      </c>
      <c r="K143">
        <v>30752.33</v>
      </c>
      <c r="L143" s="32">
        <f t="shared" si="28"/>
        <v>89.924730748855197</v>
      </c>
      <c r="M143" s="32">
        <f t="shared" si="29"/>
        <v>92.800353469631091</v>
      </c>
      <c r="N143" s="61"/>
      <c r="O143" s="40">
        <v>43298.30908564815</v>
      </c>
      <c r="P143" s="50">
        <f t="shared" si="30"/>
        <v>22.418055555608589</v>
      </c>
      <c r="Q143">
        <v>275.05</v>
      </c>
      <c r="R143">
        <v>270.56</v>
      </c>
      <c r="S143" s="32">
        <f t="shared" si="31"/>
        <v>0.27994534981282054</v>
      </c>
      <c r="T143" s="32">
        <f t="shared" si="32"/>
        <v>0.31629250612543902</v>
      </c>
      <c r="U143" s="61"/>
      <c r="V143" s="61"/>
      <c r="W143" s="40">
        <v>43298.315613425926</v>
      </c>
      <c r="X143" s="50">
        <f t="shared" si="33"/>
        <v>22.574722222227138</v>
      </c>
      <c r="Y143">
        <v>0</v>
      </c>
      <c r="Z143">
        <v>0</v>
      </c>
      <c r="AA143" s="32">
        <f t="shared" si="34"/>
        <v>0</v>
      </c>
      <c r="AB143" s="32">
        <f t="shared" si="35"/>
        <v>0</v>
      </c>
      <c r="AC143" s="61"/>
      <c r="AD143" s="40">
        <v>43298.316469907404</v>
      </c>
      <c r="AE143" s="50">
        <f t="shared" si="36"/>
        <v>22.595277777698357</v>
      </c>
      <c r="AF143">
        <v>367.33</v>
      </c>
      <c r="AG143">
        <v>409.97</v>
      </c>
      <c r="AH143" s="32">
        <f t="shared" si="37"/>
        <v>0.49486055276584578</v>
      </c>
      <c r="AI143" s="32">
        <f t="shared" si="38"/>
        <v>0.63436938947584498</v>
      </c>
      <c r="AJ143" s="61"/>
      <c r="AK143" s="40">
        <v>43298.317326388889</v>
      </c>
      <c r="AL143" s="50">
        <f t="shared" si="39"/>
        <v>22.615833333344199</v>
      </c>
      <c r="AM143">
        <v>104.2</v>
      </c>
      <c r="AN143">
        <v>107.83</v>
      </c>
      <c r="AO143" s="32">
        <f t="shared" si="40"/>
        <v>0.14037641792992986</v>
      </c>
      <c r="AP143" s="32">
        <f t="shared" si="41"/>
        <v>0.16685135806810342</v>
      </c>
      <c r="AQ143" s="61"/>
      <c r="AR143" s="61"/>
      <c r="AS143" s="61"/>
      <c r="AT143" s="61"/>
      <c r="AU143" s="61"/>
    </row>
    <row r="144" spans="1:47" x14ac:dyDescent="0.2">
      <c r="A144" s="40">
        <v>43298.323865740742</v>
      </c>
      <c r="B144" s="50">
        <f t="shared" si="24"/>
        <v>22.772777777805459</v>
      </c>
      <c r="C144">
        <v>5.17</v>
      </c>
      <c r="D144">
        <v>3.68</v>
      </c>
      <c r="E144" s="32">
        <f t="shared" si="25"/>
        <v>3.8615391408154303E-3</v>
      </c>
      <c r="F144" s="32">
        <f t="shared" si="26"/>
        <v>3.157049711307966E-3</v>
      </c>
      <c r="H144" s="40">
        <v>43298.32472222222</v>
      </c>
      <c r="I144" s="50">
        <f t="shared" si="27"/>
        <v>22.793333333276678</v>
      </c>
      <c r="J144">
        <v>34257.480000000003</v>
      </c>
      <c r="K144">
        <v>30971.24</v>
      </c>
      <c r="L144" s="32">
        <f t="shared" si="28"/>
        <v>90.004311342365298</v>
      </c>
      <c r="M144" s="32">
        <f t="shared" si="29"/>
        <v>93.460951394342374</v>
      </c>
      <c r="O144" s="40">
        <v>43298.325578703705</v>
      </c>
      <c r="P144" s="50">
        <f t="shared" si="30"/>
        <v>22.81388888892252</v>
      </c>
      <c r="Q144">
        <v>264.63</v>
      </c>
      <c r="R144">
        <v>252.71</v>
      </c>
      <c r="S144" s="32">
        <f t="shared" si="31"/>
        <v>0.26933989427728305</v>
      </c>
      <c r="T144" s="32">
        <f t="shared" si="32"/>
        <v>0.2954253371635116</v>
      </c>
      <c r="W144" s="40">
        <v>43298.332106481481</v>
      </c>
      <c r="X144" s="50">
        <f t="shared" si="33"/>
        <v>22.970555555541068</v>
      </c>
      <c r="Y144">
        <v>0</v>
      </c>
      <c r="Z144">
        <v>1.84</v>
      </c>
      <c r="AA144" s="32">
        <f t="shared" si="34"/>
        <v>0</v>
      </c>
      <c r="AB144" s="32">
        <f t="shared" si="35"/>
        <v>2.8471343674794612E-3</v>
      </c>
      <c r="AD144" s="40">
        <v>43298.332962962966</v>
      </c>
      <c r="AE144" s="50">
        <f t="shared" si="36"/>
        <v>22.99111111118691</v>
      </c>
      <c r="AF144">
        <v>387.66</v>
      </c>
      <c r="AG144">
        <v>438.46</v>
      </c>
      <c r="AH144" s="32">
        <f t="shared" si="37"/>
        <v>0.52224877326983321</v>
      </c>
      <c r="AI144" s="32">
        <f t="shared" si="38"/>
        <v>0.67845355150274156</v>
      </c>
      <c r="AK144" s="40">
        <v>43298.333819444444</v>
      </c>
      <c r="AL144" s="50">
        <f t="shared" si="39"/>
        <v>23.01166666665813</v>
      </c>
      <c r="AM144">
        <v>102.19</v>
      </c>
      <c r="AN144">
        <v>80</v>
      </c>
      <c r="AO144" s="32">
        <f t="shared" si="40"/>
        <v>0.13766858107734675</v>
      </c>
      <c r="AP144" s="32">
        <f t="shared" si="41"/>
        <v>0.12378845075997656</v>
      </c>
    </row>
    <row r="145" spans="1:47" x14ac:dyDescent="0.2">
      <c r="A145" s="40">
        <v>43298.340474537035</v>
      </c>
      <c r="B145" s="50">
        <f t="shared" si="24"/>
        <v>23.171388888848014</v>
      </c>
      <c r="C145">
        <v>0</v>
      </c>
      <c r="D145">
        <v>1.54</v>
      </c>
      <c r="E145" s="32">
        <f t="shared" si="25"/>
        <v>0</v>
      </c>
      <c r="F145" s="32">
        <f t="shared" si="26"/>
        <v>1.3211566726669204E-3</v>
      </c>
      <c r="H145" s="40">
        <v>43298.341331018521</v>
      </c>
      <c r="I145" s="50">
        <f t="shared" si="27"/>
        <v>23.191944444493856</v>
      </c>
      <c r="J145">
        <v>34302.46</v>
      </c>
      <c r="K145">
        <v>31151.86</v>
      </c>
      <c r="L145" s="32">
        <f t="shared" si="28"/>
        <v>90.122486815989731</v>
      </c>
      <c r="M145" s="32">
        <f t="shared" si="29"/>
        <v>94.006002772357789</v>
      </c>
      <c r="O145" s="40">
        <v>43298.342187499999</v>
      </c>
      <c r="P145" s="50">
        <f t="shared" si="30"/>
        <v>23.212499999965075</v>
      </c>
      <c r="Q145">
        <v>259.64999999999998</v>
      </c>
      <c r="R145">
        <v>246.28</v>
      </c>
      <c r="S145" s="32">
        <f t="shared" si="31"/>
        <v>0.26427126005780349</v>
      </c>
      <c r="T145" s="32">
        <f t="shared" si="32"/>
        <v>0.28790848022092375</v>
      </c>
      <c r="W145" s="40">
        <v>43298.348576388889</v>
      </c>
      <c r="X145" s="50">
        <f t="shared" si="33"/>
        <v>23.365833333344199</v>
      </c>
      <c r="Y145">
        <v>0</v>
      </c>
      <c r="Z145">
        <v>0</v>
      </c>
      <c r="AA145" s="32">
        <f t="shared" si="34"/>
        <v>0</v>
      </c>
      <c r="AB145" s="32">
        <f t="shared" si="35"/>
        <v>0</v>
      </c>
      <c r="AD145" s="40">
        <v>43298.349432870367</v>
      </c>
      <c r="AE145" s="50">
        <f t="shared" si="36"/>
        <v>23.386388888815418</v>
      </c>
      <c r="AF145">
        <v>423.19</v>
      </c>
      <c r="AG145">
        <v>435.34</v>
      </c>
      <c r="AH145" s="32">
        <f t="shared" si="37"/>
        <v>0.57011416798240899</v>
      </c>
      <c r="AI145" s="32">
        <f t="shared" si="38"/>
        <v>0.67362580192310251</v>
      </c>
      <c r="AK145" s="40">
        <v>43298.350289351853</v>
      </c>
      <c r="AL145" s="50">
        <f t="shared" si="39"/>
        <v>23.40694444446126</v>
      </c>
      <c r="AM145">
        <v>95.19</v>
      </c>
      <c r="AN145">
        <v>96.91</v>
      </c>
      <c r="AO145" s="32">
        <f t="shared" si="40"/>
        <v>0.12823830348128623</v>
      </c>
      <c r="AP145" s="32">
        <f t="shared" si="41"/>
        <v>0.1499542345393666</v>
      </c>
    </row>
    <row r="146" spans="1:47" x14ac:dyDescent="0.2">
      <c r="A146" s="40">
        <v>43298.356828703705</v>
      </c>
      <c r="B146" s="50">
        <f t="shared" si="24"/>
        <v>23.56388888892252</v>
      </c>
      <c r="C146">
        <v>1.17</v>
      </c>
      <c r="D146">
        <v>11.15</v>
      </c>
      <c r="E146" s="32">
        <f t="shared" si="25"/>
        <v>8.7388796803753452E-4</v>
      </c>
      <c r="F146" s="32">
        <f t="shared" si="26"/>
        <v>9.5655174676858197E-3</v>
      </c>
      <c r="H146" s="40">
        <v>43298.357685185183</v>
      </c>
      <c r="I146" s="50">
        <f t="shared" si="27"/>
        <v>23.584444444393739</v>
      </c>
      <c r="J146">
        <v>34456.25</v>
      </c>
      <c r="K146">
        <v>30869.51</v>
      </c>
      <c r="L146" s="32">
        <f t="shared" si="28"/>
        <v>90.526537640549577</v>
      </c>
      <c r="M146" s="32">
        <f t="shared" si="29"/>
        <v>93.153963925150094</v>
      </c>
      <c r="O146" s="40">
        <v>43298.358541666668</v>
      </c>
      <c r="P146" s="50">
        <f t="shared" si="30"/>
        <v>23.605000000039581</v>
      </c>
      <c r="Q146">
        <v>262.05</v>
      </c>
      <c r="R146">
        <v>268.13</v>
      </c>
      <c r="S146" s="32">
        <f t="shared" si="31"/>
        <v>0.26671397534429969</v>
      </c>
      <c r="T146" s="32">
        <f t="shared" si="32"/>
        <v>0.3134517654768405</v>
      </c>
      <c r="W146" s="40">
        <v>43298.365069444444</v>
      </c>
      <c r="X146" s="50">
        <f t="shared" si="33"/>
        <v>23.76166666665813</v>
      </c>
      <c r="Y146">
        <v>2.1800000000000002</v>
      </c>
      <c r="Z146">
        <v>0</v>
      </c>
      <c r="AA146" s="32">
        <f t="shared" si="34"/>
        <v>2.9368578799159992E-3</v>
      </c>
      <c r="AB146" s="32">
        <f t="shared" si="35"/>
        <v>0</v>
      </c>
      <c r="AD146" s="40">
        <v>43298.365925925929</v>
      </c>
      <c r="AE146" s="50">
        <f t="shared" si="36"/>
        <v>23.782222222303972</v>
      </c>
      <c r="AF146">
        <v>389.29</v>
      </c>
      <c r="AG146">
        <v>430.25</v>
      </c>
      <c r="AH146" s="32">
        <f t="shared" si="37"/>
        <v>0.52444468076720152</v>
      </c>
      <c r="AI146" s="32">
        <f t="shared" si="38"/>
        <v>0.66574976174349898</v>
      </c>
      <c r="AK146" s="40">
        <v>43298.366782407407</v>
      </c>
      <c r="AL146" s="50">
        <f t="shared" si="39"/>
        <v>23.802777777775191</v>
      </c>
      <c r="AM146">
        <v>106.72</v>
      </c>
      <c r="AN146">
        <v>85.08</v>
      </c>
      <c r="AO146" s="32">
        <f t="shared" si="40"/>
        <v>0.14377131786451164</v>
      </c>
      <c r="AP146" s="32">
        <f t="shared" si="41"/>
        <v>0.13164901738323506</v>
      </c>
    </row>
    <row r="147" spans="1:47" x14ac:dyDescent="0.2">
      <c r="A147" s="40">
        <v>43298.37332175926</v>
      </c>
      <c r="B147" s="50">
        <f t="shared" si="24"/>
        <v>23.959722222236451</v>
      </c>
      <c r="C147">
        <v>0</v>
      </c>
      <c r="D147">
        <v>4.75</v>
      </c>
      <c r="E147" s="32">
        <f t="shared" si="25"/>
        <v>0</v>
      </c>
      <c r="F147" s="32">
        <f t="shared" si="26"/>
        <v>4.0749962306284885E-3</v>
      </c>
      <c r="H147" s="40">
        <v>43298.374178240738</v>
      </c>
      <c r="I147" s="50">
        <f t="shared" si="27"/>
        <v>23.98027777770767</v>
      </c>
      <c r="J147">
        <v>34100.25</v>
      </c>
      <c r="K147">
        <v>30758.81</v>
      </c>
      <c r="L147" s="32">
        <f t="shared" si="28"/>
        <v>89.591222642543826</v>
      </c>
      <c r="M147" s="32">
        <f t="shared" si="29"/>
        <v>92.819907964867156</v>
      </c>
      <c r="O147" s="40">
        <v>43298.375034722223</v>
      </c>
      <c r="P147" s="50">
        <f t="shared" si="30"/>
        <v>24.000833333353512</v>
      </c>
      <c r="Q147">
        <v>283.54000000000002</v>
      </c>
      <c r="R147">
        <v>252.86</v>
      </c>
      <c r="S147" s="32">
        <f t="shared" si="31"/>
        <v>0.28858645513880077</v>
      </c>
      <c r="T147" s="32">
        <f t="shared" si="32"/>
        <v>0.29560069152453622</v>
      </c>
      <c r="W147" s="40">
        <v>43298.381296296298</v>
      </c>
      <c r="X147" s="50">
        <f t="shared" si="33"/>
        <v>24.151111111161299</v>
      </c>
      <c r="Y147">
        <v>0</v>
      </c>
      <c r="Z147">
        <v>0</v>
      </c>
      <c r="AA147" s="32">
        <f t="shared" si="34"/>
        <v>0</v>
      </c>
      <c r="AB147" s="32">
        <f t="shared" si="35"/>
        <v>0</v>
      </c>
      <c r="AD147" s="40">
        <v>43298.382141203707</v>
      </c>
      <c r="AE147" s="50">
        <f t="shared" si="36"/>
        <v>24.171388888964429</v>
      </c>
      <c r="AF147">
        <v>387.26</v>
      </c>
      <c r="AG147">
        <v>394.6</v>
      </c>
      <c r="AH147" s="32">
        <f t="shared" si="37"/>
        <v>0.52170990026434394</v>
      </c>
      <c r="AI147" s="32">
        <f t="shared" si="38"/>
        <v>0.61058653337358448</v>
      </c>
      <c r="AK147" s="40">
        <v>43298.382997685185</v>
      </c>
      <c r="AL147" s="50">
        <f t="shared" si="39"/>
        <v>24.191944444435649</v>
      </c>
      <c r="AM147">
        <v>93.23</v>
      </c>
      <c r="AN147">
        <v>112.45</v>
      </c>
      <c r="AO147" s="32">
        <f t="shared" si="40"/>
        <v>0.12559782575438927</v>
      </c>
      <c r="AP147" s="32">
        <f t="shared" si="41"/>
        <v>0.17400014109949205</v>
      </c>
    </row>
    <row r="148" spans="1:47" x14ac:dyDescent="0.2">
      <c r="A148" s="40"/>
    </row>
    <row r="150" spans="1:47" x14ac:dyDescent="0.2">
      <c r="A150" s="61"/>
      <c r="B150" s="61"/>
      <c r="C150" s="61"/>
      <c r="D150" s="61"/>
      <c r="E150" s="61"/>
      <c r="F150" s="61"/>
      <c r="G150" s="61"/>
      <c r="H150" s="61"/>
      <c r="I150" s="61"/>
      <c r="J150" s="61"/>
      <c r="K150" s="61"/>
      <c r="L150" s="61"/>
      <c r="M150" s="61"/>
      <c r="N150" s="61"/>
      <c r="O150" s="61"/>
      <c r="P150" s="61"/>
      <c r="Q150" s="61"/>
      <c r="R150" s="61"/>
      <c r="S150" s="61"/>
      <c r="T150" s="61"/>
      <c r="U150" s="61"/>
      <c r="V150" s="61"/>
      <c r="W150" s="61"/>
      <c r="X150" s="61"/>
      <c r="Y150" s="61"/>
      <c r="Z150" s="61"/>
      <c r="AA150" s="61"/>
      <c r="AB150" s="61"/>
      <c r="AC150" s="61"/>
      <c r="AD150" s="61"/>
      <c r="AE150" s="61"/>
      <c r="AF150" s="61"/>
      <c r="AG150" s="61"/>
      <c r="AH150" s="61"/>
      <c r="AI150" s="61"/>
      <c r="AJ150" s="61"/>
      <c r="AK150" s="61"/>
      <c r="AL150" s="61"/>
      <c r="AM150" s="61"/>
      <c r="AN150" s="61"/>
      <c r="AO150" s="61"/>
      <c r="AP150" s="61"/>
      <c r="AQ150" s="61"/>
      <c r="AR150" s="61"/>
      <c r="AS150" s="61"/>
      <c r="AT150" s="61"/>
      <c r="AU150" s="61"/>
    </row>
    <row r="151" spans="1:47" x14ac:dyDescent="0.2">
      <c r="A151" s="61"/>
      <c r="B151" s="61"/>
      <c r="C151" s="61"/>
      <c r="D151" s="61"/>
      <c r="E151" s="61"/>
      <c r="F151" s="61"/>
      <c r="G151" s="61"/>
      <c r="H151" s="61"/>
      <c r="I151" s="61"/>
      <c r="J151" s="61"/>
      <c r="K151" s="61"/>
      <c r="L151" s="61"/>
      <c r="M151" s="61"/>
      <c r="N151" s="61"/>
      <c r="O151" s="61"/>
      <c r="P151" s="61"/>
      <c r="Q151" s="61"/>
      <c r="R151" s="61"/>
      <c r="S151" s="61"/>
      <c r="T151" s="61"/>
      <c r="U151" s="61"/>
      <c r="V151" s="61"/>
      <c r="W151" s="61"/>
      <c r="X151" s="61"/>
      <c r="Y151" s="61"/>
      <c r="Z151" s="61"/>
      <c r="AA151" s="61"/>
      <c r="AB151" s="61"/>
      <c r="AC151" s="61"/>
      <c r="AD151" s="61"/>
      <c r="AE151" s="61"/>
      <c r="AF151" s="61"/>
      <c r="AG151" s="61"/>
      <c r="AH151" s="61"/>
      <c r="AI151" s="61"/>
      <c r="AJ151" s="61"/>
      <c r="AK151" s="61"/>
      <c r="AL151" s="61"/>
      <c r="AM151" s="61"/>
      <c r="AN151" s="61"/>
      <c r="AO151" s="61"/>
      <c r="AP151" s="61"/>
      <c r="AQ151" s="61"/>
      <c r="AR151" s="61"/>
      <c r="AS151" s="61"/>
      <c r="AT151" s="61"/>
      <c r="AU151" s="61"/>
    </row>
    <row r="152" spans="1:47" x14ac:dyDescent="0.2">
      <c r="A152" s="61" t="s">
        <v>100</v>
      </c>
      <c r="B152" s="61"/>
      <c r="C152" s="61"/>
      <c r="D152" s="61"/>
      <c r="E152" s="61"/>
      <c r="F152" s="61"/>
      <c r="G152" s="61"/>
      <c r="H152" s="61" t="s">
        <v>101</v>
      </c>
      <c r="I152" s="61"/>
      <c r="J152" s="61"/>
      <c r="K152" s="61"/>
      <c r="L152" s="61"/>
      <c r="M152" s="61"/>
      <c r="N152" s="61"/>
      <c r="O152" s="61" t="s">
        <v>102</v>
      </c>
      <c r="P152" s="61"/>
      <c r="Q152" s="61"/>
      <c r="R152" s="61"/>
      <c r="S152" s="61"/>
      <c r="T152" s="61"/>
      <c r="U152" s="61"/>
      <c r="V152" s="61"/>
      <c r="W152" s="61" t="s">
        <v>106</v>
      </c>
      <c r="X152" s="61"/>
      <c r="Y152" s="61"/>
      <c r="Z152" s="61"/>
      <c r="AA152" s="61"/>
      <c r="AB152" s="61"/>
      <c r="AC152" s="61"/>
      <c r="AD152" s="61" t="s">
        <v>107</v>
      </c>
      <c r="AE152" s="61"/>
      <c r="AF152" s="61"/>
      <c r="AG152" s="61"/>
      <c r="AH152" s="61"/>
      <c r="AI152" s="61"/>
      <c r="AJ152" s="61"/>
      <c r="AK152" s="61" t="s">
        <v>108</v>
      </c>
      <c r="AL152" s="61"/>
      <c r="AM152" s="61"/>
      <c r="AN152" s="61"/>
      <c r="AO152" s="61"/>
      <c r="AP152" s="61"/>
      <c r="AQ152" s="61"/>
      <c r="AR152" s="61"/>
      <c r="AS152" s="61"/>
      <c r="AT152" s="61"/>
      <c r="AU152" s="61"/>
    </row>
    <row r="153" spans="1:47" x14ac:dyDescent="0.2">
      <c r="A153" s="60" t="s">
        <v>16</v>
      </c>
      <c r="B153" s="61" t="s">
        <v>67</v>
      </c>
      <c r="C153" s="61">
        <f>BioD!M58</f>
        <v>0.32120000000000015</v>
      </c>
      <c r="D153" s="61"/>
      <c r="E153" s="61"/>
      <c r="F153" s="61"/>
      <c r="G153" s="61"/>
      <c r="H153" s="60" t="s">
        <v>20</v>
      </c>
      <c r="I153" s="61" t="s">
        <v>67</v>
      </c>
      <c r="J153" s="61">
        <f>BioD!M60</f>
        <v>0.13280000000000047</v>
      </c>
      <c r="K153" s="61"/>
      <c r="L153" s="61"/>
      <c r="M153" s="61"/>
      <c r="N153" s="61"/>
      <c r="O153" s="60" t="s">
        <v>68</v>
      </c>
      <c r="P153" s="61" t="s">
        <v>67</v>
      </c>
      <c r="Q153" s="61">
        <f>BioD!M66</f>
        <v>0.38959999999999972</v>
      </c>
      <c r="R153" s="61"/>
      <c r="S153" s="61"/>
      <c r="T153" s="61"/>
      <c r="U153" s="61"/>
      <c r="V153" s="61"/>
      <c r="W153" s="60" t="s">
        <v>16</v>
      </c>
      <c r="X153" s="61" t="s">
        <v>67</v>
      </c>
      <c r="Y153" s="61">
        <f>BioD!D112</f>
        <v>0.20250000000000012</v>
      </c>
      <c r="Z153" s="61"/>
      <c r="AA153" s="61"/>
      <c r="AB153" s="61"/>
      <c r="AC153" s="61"/>
      <c r="AD153" s="60" t="s">
        <v>20</v>
      </c>
      <c r="AE153" s="61" t="s">
        <v>67</v>
      </c>
      <c r="AF153" s="61">
        <f>BioD!D114</f>
        <v>0.17350000000000065</v>
      </c>
      <c r="AG153" s="61"/>
      <c r="AH153" s="61"/>
      <c r="AI153" s="61"/>
      <c r="AJ153" s="61"/>
      <c r="AK153" s="60" t="s">
        <v>68</v>
      </c>
      <c r="AL153" s="61" t="s">
        <v>67</v>
      </c>
      <c r="AM153" s="61">
        <f>BioD!D120</f>
        <v>0.43990000000000062</v>
      </c>
      <c r="AN153" s="61"/>
      <c r="AO153" s="61"/>
      <c r="AP153" s="61"/>
      <c r="AQ153" s="61"/>
      <c r="AR153" s="61"/>
      <c r="AS153" s="61"/>
      <c r="AT153" s="61"/>
      <c r="AU153" s="61"/>
    </row>
    <row r="154" spans="1:47" x14ac:dyDescent="0.2">
      <c r="A154" s="61" t="s">
        <v>69</v>
      </c>
      <c r="B154" s="61"/>
      <c r="C154" s="61"/>
      <c r="D154" s="61"/>
      <c r="E154" s="61" t="s">
        <v>64</v>
      </c>
      <c r="F154" s="61">
        <f>0.58928*C18/C153/E5</f>
        <v>0.77502901410517777</v>
      </c>
      <c r="G154" s="61"/>
      <c r="H154" s="61" t="s">
        <v>69</v>
      </c>
      <c r="I154" s="61"/>
      <c r="J154" s="61"/>
      <c r="K154" s="61"/>
      <c r="L154" s="61" t="s">
        <v>64</v>
      </c>
      <c r="M154" s="61">
        <f>42.4692*C18/J153/E5</f>
        <v>135.09765210355704</v>
      </c>
      <c r="N154" s="61"/>
      <c r="O154" s="61" t="s">
        <v>69</v>
      </c>
      <c r="P154" s="61"/>
      <c r="Q154" s="61"/>
      <c r="R154" s="61"/>
      <c r="S154" s="61">
        <v>3.7345600000000001</v>
      </c>
      <c r="T154" s="68">
        <f>15.71879*C18/Q153/E5</f>
        <v>17.044017047516849</v>
      </c>
      <c r="U154" s="61"/>
      <c r="V154" s="61"/>
      <c r="W154" s="61" t="s">
        <v>69</v>
      </c>
      <c r="X154" s="61"/>
      <c r="Y154" s="61"/>
      <c r="Z154" s="61"/>
      <c r="AA154" s="61"/>
      <c r="AB154" s="61"/>
      <c r="AC154" s="61"/>
      <c r="AD154" s="61" t="s">
        <v>69</v>
      </c>
      <c r="AE154" s="61"/>
      <c r="AF154" s="61"/>
      <c r="AG154" s="61"/>
      <c r="AH154" s="61"/>
      <c r="AI154" s="61"/>
      <c r="AJ154" s="61"/>
      <c r="AK154" s="61" t="s">
        <v>69</v>
      </c>
      <c r="AL154" s="61"/>
      <c r="AM154" s="61"/>
      <c r="AN154" s="61"/>
      <c r="AO154" s="61"/>
      <c r="AP154" s="61"/>
      <c r="AQ154" s="61"/>
      <c r="AR154" s="61"/>
      <c r="AS154" s="61"/>
      <c r="AT154" s="61"/>
      <c r="AU154" s="61"/>
    </row>
    <row r="155" spans="1:47" x14ac:dyDescent="0.2">
      <c r="A155" s="61" t="s">
        <v>70</v>
      </c>
      <c r="B155" s="61" t="s">
        <v>71</v>
      </c>
      <c r="C155" s="61" t="s">
        <v>72</v>
      </c>
      <c r="D155" s="61" t="s">
        <v>37</v>
      </c>
      <c r="E155" s="61" t="s">
        <v>38</v>
      </c>
      <c r="F155" s="61" t="s">
        <v>39</v>
      </c>
      <c r="G155" s="61"/>
      <c r="H155" s="61" t="s">
        <v>70</v>
      </c>
      <c r="I155" s="61" t="s">
        <v>71</v>
      </c>
      <c r="J155" s="61" t="s">
        <v>72</v>
      </c>
      <c r="K155" s="61" t="s">
        <v>37</v>
      </c>
      <c r="L155" s="61" t="s">
        <v>38</v>
      </c>
      <c r="M155" s="61" t="s">
        <v>39</v>
      </c>
      <c r="N155" s="61"/>
      <c r="O155" s="61" t="s">
        <v>70</v>
      </c>
      <c r="P155" s="61" t="s">
        <v>71</v>
      </c>
      <c r="Q155" s="61" t="s">
        <v>72</v>
      </c>
      <c r="R155" s="61" t="s">
        <v>37</v>
      </c>
      <c r="S155" s="61" t="s">
        <v>38</v>
      </c>
      <c r="T155" s="61" t="s">
        <v>39</v>
      </c>
      <c r="U155" s="61"/>
      <c r="V155" s="61"/>
      <c r="W155" s="61" t="s">
        <v>70</v>
      </c>
      <c r="X155" s="61" t="s">
        <v>71</v>
      </c>
      <c r="Y155" s="61" t="s">
        <v>72</v>
      </c>
      <c r="Z155" s="61" t="s">
        <v>37</v>
      </c>
      <c r="AA155" s="61" t="s">
        <v>38</v>
      </c>
      <c r="AB155" s="61" t="s">
        <v>39</v>
      </c>
      <c r="AC155" s="61"/>
      <c r="AD155" s="61" t="s">
        <v>70</v>
      </c>
      <c r="AE155" s="61" t="s">
        <v>71</v>
      </c>
      <c r="AF155" s="61" t="s">
        <v>72</v>
      </c>
      <c r="AG155" s="61" t="s">
        <v>37</v>
      </c>
      <c r="AH155" s="61" t="s">
        <v>38</v>
      </c>
      <c r="AI155" s="61" t="s">
        <v>39</v>
      </c>
      <c r="AJ155" s="61"/>
      <c r="AK155" s="61" t="s">
        <v>70</v>
      </c>
      <c r="AL155" s="61" t="s">
        <v>71</v>
      </c>
      <c r="AM155" s="61" t="s">
        <v>72</v>
      </c>
      <c r="AN155" s="61" t="s">
        <v>37</v>
      </c>
      <c r="AO155" s="61" t="s">
        <v>38</v>
      </c>
      <c r="AP155" s="61" t="s">
        <v>39</v>
      </c>
      <c r="AQ155" s="61"/>
      <c r="AR155" s="61"/>
      <c r="AS155" s="61"/>
      <c r="AT155" s="61"/>
      <c r="AU155" s="61"/>
    </row>
    <row r="156" spans="1:47" x14ac:dyDescent="0.2">
      <c r="A156" s="40">
        <v>43297.404143518521</v>
      </c>
      <c r="B156" s="50">
        <f>(A156-$B$12)*24</f>
        <v>0.6994444445008412</v>
      </c>
      <c r="C156">
        <v>68.650000000000006</v>
      </c>
      <c r="D156">
        <v>311.79000000000002</v>
      </c>
      <c r="E156" s="32">
        <f>(C156/$B$5)/$C$153</f>
        <v>8.0074167271496827E-2</v>
      </c>
      <c r="F156" s="32">
        <f>(D156/$C$5)/$C$153</f>
        <v>0.41771279169785935</v>
      </c>
      <c r="G156" s="61"/>
      <c r="H156" s="40">
        <v>43297.404988425929</v>
      </c>
      <c r="I156" s="50">
        <f>(H156-$B$12)*24</f>
        <v>0.71972222230397165</v>
      </c>
      <c r="J156">
        <v>62197.4</v>
      </c>
      <c r="K156">
        <v>51189.35</v>
      </c>
      <c r="L156" s="32">
        <f>(J156/$B$5)/$J$153</f>
        <v>175.46947692574091</v>
      </c>
      <c r="M156" s="32">
        <f>(K156/$C$5)/$J$153</f>
        <v>165.87184274324369</v>
      </c>
      <c r="N156" s="61"/>
      <c r="O156" s="40">
        <v>43297.405844907407</v>
      </c>
      <c r="P156" s="50">
        <f>(O156-$B$12)*24</f>
        <v>0.74027777777519077</v>
      </c>
      <c r="Q156">
        <v>2649.22</v>
      </c>
      <c r="R156">
        <v>9645.89</v>
      </c>
      <c r="S156" s="32">
        <f>(Q156/$B$5)/$Q$153</f>
        <v>2.5475722101881701</v>
      </c>
      <c r="T156" s="32">
        <f>(R156/$C$5)/$Q$153</f>
        <v>10.654044007432299</v>
      </c>
      <c r="U156" s="61"/>
      <c r="V156" s="61"/>
      <c r="W156" s="40">
        <v>43297.412106481483</v>
      </c>
      <c r="X156" s="50">
        <f>(W156-$B$12)*24</f>
        <v>0.89055555558297783</v>
      </c>
      <c r="Y156">
        <v>0</v>
      </c>
      <c r="Z156">
        <v>9.99</v>
      </c>
      <c r="AA156" s="32">
        <f>(Y156/$B$5)/$C$18</f>
        <v>0</v>
      </c>
      <c r="AB156" s="32">
        <f>(Z156/$C$5)/$C$18</f>
        <v>1.5458082788652076E-2</v>
      </c>
      <c r="AC156" s="61"/>
      <c r="AD156" s="40">
        <v>43297.412951388891</v>
      </c>
      <c r="AE156" s="50">
        <f>(AD156-$B$12)*24</f>
        <v>0.91083333338610828</v>
      </c>
      <c r="AF156">
        <v>554.99</v>
      </c>
      <c r="AG156">
        <v>647.91999999999996</v>
      </c>
      <c r="AH156" s="32">
        <f>(AF156/$B$5)/$C$18</f>
        <v>0.74767282329109186</v>
      </c>
      <c r="AI156" s="32">
        <f>(AG156/$C$5)/$C$18</f>
        <v>1.0025626627050501</v>
      </c>
      <c r="AJ156" s="61"/>
      <c r="AK156" s="40">
        <v>43297.413807870369</v>
      </c>
      <c r="AL156" s="50">
        <f>(AK156-$B$12)*24</f>
        <v>0.9313888888573274</v>
      </c>
      <c r="AM156">
        <v>85.21</v>
      </c>
      <c r="AN156">
        <v>180.07</v>
      </c>
      <c r="AO156" s="32">
        <f>(AM156/$B$5)/$C$18</f>
        <v>0.11479342199433132</v>
      </c>
      <c r="AP156" s="32">
        <f>(AN156/$C$5)/$C$18</f>
        <v>0.27863232910436225</v>
      </c>
      <c r="AQ156" s="61"/>
      <c r="AR156" s="61"/>
      <c r="AS156" s="61"/>
      <c r="AT156" s="61"/>
      <c r="AU156" s="61"/>
    </row>
    <row r="157" spans="1:47" x14ac:dyDescent="0.2">
      <c r="A157" s="40">
        <v>43297.420486111114</v>
      </c>
      <c r="B157" s="50">
        <f t="shared" ref="B157:B215" si="42">(A157-$B$12)*24</f>
        <v>1.0916666667326353</v>
      </c>
      <c r="C157">
        <v>23.2</v>
      </c>
      <c r="D157">
        <v>242.77</v>
      </c>
      <c r="E157" s="32">
        <f t="shared" ref="E157:E215" si="43">(C157/$B$5)/$C$153</f>
        <v>2.7060752814256753E-2</v>
      </c>
      <c r="F157" s="32">
        <f t="shared" ref="F157:F215" si="44">(D157/$C$5)/$C$153</f>
        <v>0.32524498681961994</v>
      </c>
      <c r="G157" s="61"/>
      <c r="H157" s="40">
        <v>43297.421342592592</v>
      </c>
      <c r="I157" s="50">
        <f t="shared" ref="I157:I215" si="45">(H157-$B$12)*24</f>
        <v>1.1122222222038545</v>
      </c>
      <c r="J157">
        <v>63107.51</v>
      </c>
      <c r="K157">
        <v>53400.62</v>
      </c>
      <c r="L157" s="32">
        <f t="shared" ref="L157:L215" si="46">(J157/$B$5)/$J$153</f>
        <v>178.03705251000787</v>
      </c>
      <c r="M157" s="32">
        <f t="shared" ref="M157:M215" si="47">(K157/$C$5)/$J$153</f>
        <v>173.03715016955115</v>
      </c>
      <c r="N157" s="61"/>
      <c r="O157" s="40">
        <v>43297.4221875</v>
      </c>
      <c r="P157" s="50">
        <f t="shared" ref="P157:P215" si="48">(O157-$B$12)*24</f>
        <v>1.1325000000069849</v>
      </c>
      <c r="Q157">
        <v>2130.36</v>
      </c>
      <c r="R157">
        <v>6906.9</v>
      </c>
      <c r="S157" s="32">
        <f t="shared" ref="S157:S215" si="49">(Q157/$B$5)/$Q$153</f>
        <v>2.0486203236033518</v>
      </c>
      <c r="T157" s="32">
        <f t="shared" ref="T157:T215" si="50">(R157/$C$5)/$Q$153</f>
        <v>7.6287845450170115</v>
      </c>
      <c r="U157" s="61"/>
      <c r="V157" s="61"/>
      <c r="W157" s="40">
        <v>43297.428587962961</v>
      </c>
      <c r="X157" s="50">
        <f t="shared" ref="X157:X215" si="51">(W157-$B$12)*24</f>
        <v>1.286111111054197</v>
      </c>
      <c r="Y157">
        <v>0</v>
      </c>
      <c r="Z157">
        <v>3.29</v>
      </c>
      <c r="AA157" s="32">
        <f t="shared" ref="AA157:AA210" si="52">(Y157/$B$5)/$C$18</f>
        <v>0</v>
      </c>
      <c r="AB157" s="32">
        <f t="shared" ref="AB157:AB210" si="53">(Z157/$C$5)/$C$18</f>
        <v>5.0908000375040367E-3</v>
      </c>
      <c r="AC157" s="61"/>
      <c r="AD157" s="40">
        <v>43297.429444444446</v>
      </c>
      <c r="AE157" s="50">
        <f t="shared" ref="AE157:AE215" si="54">(AD157-$B$12)*24</f>
        <v>1.3066666667000391</v>
      </c>
      <c r="AF157">
        <v>619.86</v>
      </c>
      <c r="AG157">
        <v>622.20000000000005</v>
      </c>
      <c r="AH157" s="32">
        <f t="shared" ref="AH157:AH215" si="55">(AF157/$B$5)/$C$18</f>
        <v>0.83506455295629867</v>
      </c>
      <c r="AI157" s="32">
        <f t="shared" ref="AI157:AI215" si="56">(AG157/$C$5)/$C$18</f>
        <v>0.96276467578571778</v>
      </c>
      <c r="AJ157" s="61"/>
      <c r="AK157" s="40">
        <v>43297.430300925924</v>
      </c>
      <c r="AL157" s="50">
        <f t="shared" ref="AL157:AL215" si="57">(AK157-$B$12)*24</f>
        <v>1.3272222221712582</v>
      </c>
      <c r="AM157">
        <v>87.21</v>
      </c>
      <c r="AN157">
        <v>192.69</v>
      </c>
      <c r="AO157" s="32">
        <f t="shared" ref="AO157:AO215" si="58">(AM157/$B$5)/$C$18</f>
        <v>0.11748778702177717</v>
      </c>
      <c r="AP157" s="32">
        <f t="shared" ref="AP157:AP215" si="59">(AN157/$C$5)/$C$18</f>
        <v>0.29815995721174854</v>
      </c>
      <c r="AQ157" s="61"/>
      <c r="AR157" s="61"/>
      <c r="AS157" s="61"/>
      <c r="AT157" s="61"/>
      <c r="AU157" s="61"/>
    </row>
    <row r="158" spans="1:47" x14ac:dyDescent="0.2">
      <c r="A158" s="40">
        <v>43297.436840277776</v>
      </c>
      <c r="B158" s="50">
        <f t="shared" si="42"/>
        <v>1.4841666666325182</v>
      </c>
      <c r="C158">
        <v>32.200000000000003</v>
      </c>
      <c r="D158">
        <v>151.21</v>
      </c>
      <c r="E158" s="32">
        <f t="shared" si="43"/>
        <v>3.7558458647373609E-2</v>
      </c>
      <c r="F158" s="32">
        <f t="shared" si="44"/>
        <v>0.20257978521643835</v>
      </c>
      <c r="G158" s="61"/>
      <c r="H158" s="40">
        <v>43297.437696759262</v>
      </c>
      <c r="I158" s="50">
        <f t="shared" si="45"/>
        <v>1.5047222222783603</v>
      </c>
      <c r="J158">
        <v>64110.27</v>
      </c>
      <c r="K158">
        <v>55239.09</v>
      </c>
      <c r="L158" s="32">
        <f t="shared" si="46"/>
        <v>180.86600955133201</v>
      </c>
      <c r="M158" s="32">
        <f t="shared" si="47"/>
        <v>178.99445196627588</v>
      </c>
      <c r="N158" s="61"/>
      <c r="O158" s="40">
        <v>43297.43854166667</v>
      </c>
      <c r="P158" s="50">
        <f t="shared" si="48"/>
        <v>1.5250000000814907</v>
      </c>
      <c r="Q158">
        <v>1899.24</v>
      </c>
      <c r="R158">
        <v>5135.45</v>
      </c>
      <c r="S158" s="32">
        <f t="shared" si="49"/>
        <v>1.82636815533545</v>
      </c>
      <c r="T158" s="32">
        <f t="shared" si="50"/>
        <v>5.6721889113361446</v>
      </c>
      <c r="U158" s="61"/>
      <c r="V158" s="61"/>
      <c r="W158" s="40">
        <v>43297.445173611108</v>
      </c>
      <c r="X158" s="50">
        <f t="shared" si="51"/>
        <v>1.684166666585952</v>
      </c>
      <c r="Y158">
        <v>0</v>
      </c>
      <c r="Z158">
        <v>6.01</v>
      </c>
      <c r="AA158" s="32">
        <f t="shared" si="52"/>
        <v>0</v>
      </c>
      <c r="AB158" s="32">
        <f t="shared" si="53"/>
        <v>9.2996073633432388E-3</v>
      </c>
      <c r="AC158" s="61"/>
      <c r="AD158" s="40">
        <v>43297.446030092593</v>
      </c>
      <c r="AE158" s="50">
        <f t="shared" si="54"/>
        <v>1.7047222222317941</v>
      </c>
      <c r="AF158">
        <v>594.99</v>
      </c>
      <c r="AG158">
        <v>655.67</v>
      </c>
      <c r="AH158" s="32">
        <f t="shared" si="55"/>
        <v>0.80156012384000919</v>
      </c>
      <c r="AI158" s="32">
        <f t="shared" si="56"/>
        <v>1.0145546688724227</v>
      </c>
      <c r="AJ158" s="61"/>
      <c r="AK158" s="40">
        <v>43297.446886574071</v>
      </c>
      <c r="AL158" s="50">
        <f t="shared" si="57"/>
        <v>1.7252777777030133</v>
      </c>
      <c r="AM158">
        <v>85.18</v>
      </c>
      <c r="AN158">
        <v>133.55000000000001</v>
      </c>
      <c r="AO158" s="32">
        <f t="shared" si="58"/>
        <v>0.11475300651891963</v>
      </c>
      <c r="AP158" s="32">
        <f t="shared" si="59"/>
        <v>0.20664934498743592</v>
      </c>
      <c r="AQ158" s="61"/>
      <c r="AR158" s="61"/>
      <c r="AS158" s="61"/>
      <c r="AT158" s="61"/>
      <c r="AU158" s="61"/>
    </row>
    <row r="159" spans="1:47" x14ac:dyDescent="0.2">
      <c r="A159" s="40">
        <v>43297.453287037039</v>
      </c>
      <c r="B159" s="50">
        <f t="shared" si="42"/>
        <v>1.8788888889248483</v>
      </c>
      <c r="C159">
        <v>22.16</v>
      </c>
      <c r="D159">
        <v>123.43</v>
      </c>
      <c r="E159" s="32">
        <f t="shared" si="43"/>
        <v>2.5847684584652142E-2</v>
      </c>
      <c r="F159" s="32">
        <f t="shared" si="44"/>
        <v>0.16536223060158045</v>
      </c>
      <c r="G159" s="61"/>
      <c r="H159" s="40">
        <v>43297.454143518517</v>
      </c>
      <c r="I159" s="50">
        <f t="shared" si="45"/>
        <v>1.8994444443960674</v>
      </c>
      <c r="J159">
        <v>64210.76</v>
      </c>
      <c r="K159">
        <v>57058.27</v>
      </c>
      <c r="L159" s="32">
        <f t="shared" si="46"/>
        <v>181.1495089859751</v>
      </c>
      <c r="M159" s="32">
        <f t="shared" si="47"/>
        <v>184.88924724852998</v>
      </c>
      <c r="N159" s="61"/>
      <c r="O159" s="40">
        <v>43297.454988425925</v>
      </c>
      <c r="P159" s="50">
        <f t="shared" si="48"/>
        <v>1.9197222221991979</v>
      </c>
      <c r="Q159">
        <v>1580.83</v>
      </c>
      <c r="R159">
        <v>4007.31</v>
      </c>
      <c r="S159" s="32">
        <f t="shared" si="49"/>
        <v>1.520175212716107</v>
      </c>
      <c r="T159" s="32">
        <f t="shared" si="50"/>
        <v>4.4261397436030814</v>
      </c>
      <c r="U159" s="61"/>
      <c r="V159" s="61"/>
      <c r="W159" s="40">
        <v>43297.461527777778</v>
      </c>
      <c r="X159" s="50">
        <f t="shared" si="51"/>
        <v>2.0766666666604578</v>
      </c>
      <c r="Y159">
        <v>0</v>
      </c>
      <c r="Z159">
        <v>1.95</v>
      </c>
      <c r="AA159" s="32">
        <f t="shared" si="52"/>
        <v>0</v>
      </c>
      <c r="AB159" s="32">
        <f t="shared" si="53"/>
        <v>3.0173434872744287E-3</v>
      </c>
      <c r="AC159" s="61"/>
      <c r="AD159" s="40">
        <v>43297.462384259263</v>
      </c>
      <c r="AE159" s="50">
        <f t="shared" si="54"/>
        <v>2.0972222223063</v>
      </c>
      <c r="AF159">
        <v>605.5</v>
      </c>
      <c r="AG159">
        <v>683.43</v>
      </c>
      <c r="AH159" s="32">
        <f t="shared" si="55"/>
        <v>0.81571901205923736</v>
      </c>
      <c r="AI159" s="32">
        <f t="shared" si="56"/>
        <v>1.0575092612861348</v>
      </c>
      <c r="AJ159" s="61"/>
      <c r="AK159" s="40">
        <v>43297.463240740741</v>
      </c>
      <c r="AL159" s="50">
        <f t="shared" si="57"/>
        <v>2.1177777777775191</v>
      </c>
      <c r="AM159">
        <v>87.71</v>
      </c>
      <c r="AN159">
        <v>134.97999999999999</v>
      </c>
      <c r="AO159" s="32">
        <f t="shared" si="58"/>
        <v>0.11816137827863864</v>
      </c>
      <c r="AP159" s="32">
        <f t="shared" si="59"/>
        <v>0.20886206354477044</v>
      </c>
      <c r="AQ159" s="61"/>
      <c r="AR159" s="61"/>
      <c r="AS159" s="61"/>
      <c r="AT159" s="61"/>
      <c r="AU159" s="61"/>
    </row>
    <row r="160" spans="1:47" x14ac:dyDescent="0.2">
      <c r="A160" s="40">
        <v>43297.469780092593</v>
      </c>
      <c r="B160" s="50">
        <f t="shared" si="42"/>
        <v>2.2747222222387791</v>
      </c>
      <c r="C160">
        <v>20.170000000000002</v>
      </c>
      <c r="D160">
        <v>85.09</v>
      </c>
      <c r="E160" s="32">
        <f t="shared" si="43"/>
        <v>2.3526525183774086E-2</v>
      </c>
      <c r="F160" s="32">
        <f t="shared" si="44"/>
        <v>0.11399718222383928</v>
      </c>
      <c r="G160" s="61"/>
      <c r="H160" s="40">
        <v>43297.470636574071</v>
      </c>
      <c r="I160" s="50">
        <f t="shared" si="45"/>
        <v>2.2952777777099982</v>
      </c>
      <c r="J160">
        <v>63660.77</v>
      </c>
      <c r="K160">
        <v>58293.42</v>
      </c>
      <c r="L160" s="32">
        <f t="shared" si="46"/>
        <v>179.59789336193955</v>
      </c>
      <c r="M160" s="32">
        <f t="shared" si="47"/>
        <v>188.89157598613494</v>
      </c>
      <c r="N160" s="61"/>
      <c r="O160" s="40">
        <v>43297.471493055556</v>
      </c>
      <c r="P160" s="50">
        <f t="shared" si="48"/>
        <v>2.3158333333558403</v>
      </c>
      <c r="Q160">
        <v>1446.29</v>
      </c>
      <c r="R160">
        <v>3106.22</v>
      </c>
      <c r="S160" s="32">
        <f t="shared" si="49"/>
        <v>1.3907973712538213</v>
      </c>
      <c r="T160" s="32">
        <f t="shared" si="50"/>
        <v>3.4308710317831075</v>
      </c>
      <c r="U160" s="61"/>
      <c r="V160" s="61"/>
      <c r="W160" s="40">
        <v>43297.478020833332</v>
      </c>
      <c r="X160" s="50">
        <f t="shared" si="51"/>
        <v>2.4724999999743886</v>
      </c>
      <c r="Y160">
        <v>0</v>
      </c>
      <c r="Z160">
        <v>0</v>
      </c>
      <c r="AA160" s="32">
        <f t="shared" si="52"/>
        <v>0</v>
      </c>
      <c r="AB160" s="32">
        <f t="shared" si="53"/>
        <v>0</v>
      </c>
      <c r="AC160" s="61"/>
      <c r="AD160" s="40">
        <v>43297.478877314818</v>
      </c>
      <c r="AE160" s="50">
        <f t="shared" si="54"/>
        <v>2.4930555556202307</v>
      </c>
      <c r="AF160">
        <v>619.54</v>
      </c>
      <c r="AG160">
        <v>672.48</v>
      </c>
      <c r="AH160" s="32">
        <f t="shared" si="55"/>
        <v>0.83463345455190729</v>
      </c>
      <c r="AI160" s="32">
        <f t="shared" si="56"/>
        <v>1.0405657170883631</v>
      </c>
      <c r="AJ160" s="61"/>
      <c r="AK160" s="40">
        <v>43297.479733796295</v>
      </c>
      <c r="AL160" s="50">
        <f t="shared" si="57"/>
        <v>2.5136111110914499</v>
      </c>
      <c r="AM160">
        <v>86.21</v>
      </c>
      <c r="AN160">
        <v>117.65</v>
      </c>
      <c r="AO160" s="32">
        <f t="shared" si="58"/>
        <v>0.11614060450805425</v>
      </c>
      <c r="AP160" s="32">
        <f t="shared" si="59"/>
        <v>0.18204639039889056</v>
      </c>
      <c r="AQ160" s="61"/>
      <c r="AR160" s="61"/>
      <c r="AS160" s="61"/>
      <c r="AT160" s="61"/>
      <c r="AU160" s="61"/>
    </row>
    <row r="161" spans="1:47" x14ac:dyDescent="0.2">
      <c r="A161" s="40">
        <v>43297.486273148148</v>
      </c>
      <c r="B161" s="50">
        <f t="shared" si="42"/>
        <v>2.6705555555527098</v>
      </c>
      <c r="C161">
        <v>11.72</v>
      </c>
      <c r="D161">
        <v>80.569999999999993</v>
      </c>
      <c r="E161" s="32">
        <f t="shared" si="43"/>
        <v>1.3670345818236602E-2</v>
      </c>
      <c r="F161" s="32">
        <f t="shared" si="44"/>
        <v>0.107941626181393</v>
      </c>
      <c r="G161" s="61"/>
      <c r="H161" s="40">
        <v>43297.487129629626</v>
      </c>
      <c r="I161" s="50">
        <f t="shared" si="45"/>
        <v>2.691111111023929</v>
      </c>
      <c r="J161">
        <v>64288.28</v>
      </c>
      <c r="K161">
        <v>58540.39</v>
      </c>
      <c r="L161" s="32">
        <f t="shared" si="46"/>
        <v>181.36820613169635</v>
      </c>
      <c r="M161" s="32">
        <f t="shared" si="47"/>
        <v>189.69184731214901</v>
      </c>
      <c r="N161" s="61"/>
      <c r="O161" s="40">
        <v>43297.487974537034</v>
      </c>
      <c r="P161" s="50">
        <f t="shared" si="48"/>
        <v>2.7113888888270594</v>
      </c>
      <c r="Q161">
        <v>1366.02</v>
      </c>
      <c r="R161">
        <v>2519.13</v>
      </c>
      <c r="S161" s="32">
        <f t="shared" si="49"/>
        <v>1.3136072468731341</v>
      </c>
      <c r="T161" s="32">
        <f t="shared" si="50"/>
        <v>2.782420479649149</v>
      </c>
      <c r="U161" s="61"/>
      <c r="V161" s="61"/>
      <c r="W161" s="40">
        <v>43297.494513888887</v>
      </c>
      <c r="X161" s="50">
        <f t="shared" si="51"/>
        <v>2.8683333332883194</v>
      </c>
      <c r="Y161">
        <v>9.17</v>
      </c>
      <c r="Z161">
        <v>0</v>
      </c>
      <c r="AA161" s="32">
        <f t="shared" si="52"/>
        <v>1.2353663650839317E-2</v>
      </c>
      <c r="AB161" s="32">
        <f t="shared" si="53"/>
        <v>0</v>
      </c>
      <c r="AC161" s="61"/>
      <c r="AD161" s="40">
        <v>43297.495370370372</v>
      </c>
      <c r="AE161" s="50">
        <f t="shared" si="54"/>
        <v>2.8888888889341615</v>
      </c>
      <c r="AF161">
        <v>621.35</v>
      </c>
      <c r="AG161">
        <v>672.87</v>
      </c>
      <c r="AH161" s="32">
        <f t="shared" si="55"/>
        <v>0.83707185490174585</v>
      </c>
      <c r="AI161" s="32">
        <f t="shared" si="56"/>
        <v>1.0411691857858179</v>
      </c>
      <c r="AJ161" s="61"/>
      <c r="AK161" s="40">
        <v>43297.49622685185</v>
      </c>
      <c r="AL161" s="50">
        <f t="shared" si="57"/>
        <v>2.9094444444053806</v>
      </c>
      <c r="AM161">
        <v>91.76</v>
      </c>
      <c r="AN161">
        <v>113.99</v>
      </c>
      <c r="AO161" s="32">
        <f t="shared" si="58"/>
        <v>0.12361746745921655</v>
      </c>
      <c r="AP161" s="32">
        <f t="shared" si="59"/>
        <v>0.1763830687766216</v>
      </c>
      <c r="AQ161" s="61"/>
      <c r="AR161" s="61"/>
      <c r="AS161" s="61"/>
      <c r="AT161" s="61"/>
      <c r="AU161" s="61"/>
    </row>
    <row r="162" spans="1:47" x14ac:dyDescent="0.2">
      <c r="A162" s="40">
        <v>43297.502766203703</v>
      </c>
      <c r="B162" s="50">
        <f t="shared" si="42"/>
        <v>3.0663888888666406</v>
      </c>
      <c r="C162">
        <v>5.66</v>
      </c>
      <c r="D162">
        <v>42.48</v>
      </c>
      <c r="E162" s="32">
        <f t="shared" si="43"/>
        <v>6.6018905572712613E-3</v>
      </c>
      <c r="F162" s="32">
        <f t="shared" si="44"/>
        <v>5.691150900068976E-2</v>
      </c>
      <c r="G162" s="61"/>
      <c r="H162" s="40">
        <v>43297.503622685188</v>
      </c>
      <c r="I162" s="50">
        <f t="shared" si="45"/>
        <v>3.0869444445124827</v>
      </c>
      <c r="J162">
        <v>63877.87</v>
      </c>
      <c r="K162">
        <v>59719.13</v>
      </c>
      <c r="L162" s="32">
        <f t="shared" si="46"/>
        <v>180.21036950146592</v>
      </c>
      <c r="M162" s="32">
        <f t="shared" si="47"/>
        <v>193.51138742967677</v>
      </c>
      <c r="N162" s="61"/>
      <c r="O162" s="40">
        <v>43297.504467592589</v>
      </c>
      <c r="P162" s="50">
        <f t="shared" si="48"/>
        <v>3.1072222221409902</v>
      </c>
      <c r="Q162">
        <v>1280.6600000000001</v>
      </c>
      <c r="R162">
        <v>1962.71</v>
      </c>
      <c r="S162" s="32">
        <f t="shared" si="49"/>
        <v>1.2315224204481252</v>
      </c>
      <c r="T162" s="32">
        <f t="shared" si="50"/>
        <v>2.1678454464883434</v>
      </c>
      <c r="U162" s="61"/>
      <c r="V162" s="61"/>
      <c r="W162" s="40">
        <v>43297.511076388888</v>
      </c>
      <c r="X162" s="50">
        <f t="shared" si="51"/>
        <v>3.2658333333092742</v>
      </c>
      <c r="Y162">
        <v>0</v>
      </c>
      <c r="Z162">
        <v>7.36</v>
      </c>
      <c r="AA162" s="32">
        <f t="shared" si="52"/>
        <v>0</v>
      </c>
      <c r="AB162" s="32">
        <f t="shared" si="53"/>
        <v>1.1388537469917845E-2</v>
      </c>
      <c r="AC162" s="61"/>
      <c r="AD162" s="40">
        <v>43297.511932870373</v>
      </c>
      <c r="AE162" s="50">
        <f t="shared" si="54"/>
        <v>3.2863888889551163</v>
      </c>
      <c r="AF162">
        <v>629.95000000000005</v>
      </c>
      <c r="AG162">
        <v>616.82000000000005</v>
      </c>
      <c r="AH162" s="32">
        <f t="shared" si="55"/>
        <v>0.84865762451976312</v>
      </c>
      <c r="AI162" s="32">
        <f t="shared" si="56"/>
        <v>0.95443990247210941</v>
      </c>
      <c r="AJ162" s="61"/>
      <c r="AK162" s="40">
        <v>43297.512777777774</v>
      </c>
      <c r="AL162" s="50">
        <f t="shared" si="57"/>
        <v>3.3066666665836237</v>
      </c>
      <c r="AM162">
        <v>88.21</v>
      </c>
      <c r="AN162">
        <v>107.15</v>
      </c>
      <c r="AO162" s="32">
        <f t="shared" si="58"/>
        <v>0.1188349695355001</v>
      </c>
      <c r="AP162" s="32">
        <f t="shared" si="59"/>
        <v>0.16579915623664362</v>
      </c>
      <c r="AQ162" s="61"/>
      <c r="AR162" s="61"/>
      <c r="AS162" s="61"/>
      <c r="AT162" s="61"/>
      <c r="AU162" s="61"/>
    </row>
    <row r="163" spans="1:47" x14ac:dyDescent="0.2">
      <c r="A163" s="40">
        <v>43297.519189814811</v>
      </c>
      <c r="B163" s="50">
        <f t="shared" si="42"/>
        <v>3.4605555554735474</v>
      </c>
      <c r="C163">
        <v>15.69</v>
      </c>
      <c r="D163">
        <v>33.21</v>
      </c>
      <c r="E163" s="32">
        <f t="shared" si="43"/>
        <v>1.8301000502400366E-2</v>
      </c>
      <c r="F163" s="32">
        <f t="shared" si="44"/>
        <v>4.4492260214522295E-2</v>
      </c>
      <c r="G163" s="61"/>
      <c r="H163" s="40">
        <v>43297.520046296297</v>
      </c>
      <c r="I163" s="50">
        <f t="shared" si="45"/>
        <v>3.4811111111193895</v>
      </c>
      <c r="J163">
        <v>63753.65</v>
      </c>
      <c r="K163">
        <v>59793.89</v>
      </c>
      <c r="L163" s="32">
        <f t="shared" si="46"/>
        <v>179.85992368823716</v>
      </c>
      <c r="M163" s="32">
        <f t="shared" si="47"/>
        <v>193.75363662728304</v>
      </c>
      <c r="N163" s="61"/>
      <c r="O163" s="40">
        <v>43297.520891203705</v>
      </c>
      <c r="P163" s="50">
        <f t="shared" si="48"/>
        <v>3.50138888892252</v>
      </c>
      <c r="Q163">
        <v>1305.01</v>
      </c>
      <c r="R163">
        <v>1688.04</v>
      </c>
      <c r="S163" s="32">
        <f t="shared" si="49"/>
        <v>1.254938136514772</v>
      </c>
      <c r="T163" s="32">
        <f t="shared" si="50"/>
        <v>1.8644679180776496</v>
      </c>
      <c r="U163" s="61"/>
      <c r="V163" s="61"/>
      <c r="W163" s="40">
        <v>43297.527430555558</v>
      </c>
      <c r="X163" s="50">
        <f t="shared" si="51"/>
        <v>3.65833333338378</v>
      </c>
      <c r="Y163">
        <v>5.17</v>
      </c>
      <c r="Z163">
        <v>0</v>
      </c>
      <c r="AA163" s="32">
        <f t="shared" si="52"/>
        <v>6.9649335959475756E-3</v>
      </c>
      <c r="AB163" s="32">
        <f t="shared" si="53"/>
        <v>0</v>
      </c>
      <c r="AC163" s="61"/>
      <c r="AD163" s="40">
        <v>43297.528287037036</v>
      </c>
      <c r="AE163" s="50">
        <f t="shared" si="54"/>
        <v>3.6788888888549991</v>
      </c>
      <c r="AF163">
        <v>614</v>
      </c>
      <c r="AG163">
        <v>679.33</v>
      </c>
      <c r="AH163" s="32">
        <f t="shared" si="55"/>
        <v>0.82717006342588228</v>
      </c>
      <c r="AI163" s="32">
        <f t="shared" si="56"/>
        <v>1.051165103184686</v>
      </c>
      <c r="AJ163" s="61"/>
      <c r="AK163" s="40">
        <v>43297.529143518521</v>
      </c>
      <c r="AL163" s="50">
        <f t="shared" si="57"/>
        <v>3.6994444445008412</v>
      </c>
      <c r="AM163">
        <v>100.22</v>
      </c>
      <c r="AN163">
        <v>94.39</v>
      </c>
      <c r="AO163" s="32">
        <f t="shared" si="58"/>
        <v>0.13501463152531257</v>
      </c>
      <c r="AP163" s="32">
        <f t="shared" si="59"/>
        <v>0.14605489834042737</v>
      </c>
      <c r="AQ163" s="61"/>
      <c r="AR163" s="61"/>
      <c r="AS163" s="61"/>
      <c r="AT163" s="61"/>
      <c r="AU163" s="61"/>
    </row>
    <row r="164" spans="1:47" x14ac:dyDescent="0.2">
      <c r="A164" s="40">
        <v>43297.535682870373</v>
      </c>
      <c r="B164" s="50">
        <f t="shared" si="42"/>
        <v>3.8563888889621012</v>
      </c>
      <c r="C164">
        <v>12.69</v>
      </c>
      <c r="D164">
        <v>30.95</v>
      </c>
      <c r="E164" s="32">
        <f t="shared" si="43"/>
        <v>1.480176522469475E-2</v>
      </c>
      <c r="F164" s="32">
        <f t="shared" si="44"/>
        <v>4.1464482193299158E-2</v>
      </c>
      <c r="G164" s="61"/>
      <c r="H164" s="40">
        <v>43297.536539351851</v>
      </c>
      <c r="I164" s="50">
        <f t="shared" si="45"/>
        <v>3.8769444444333203</v>
      </c>
      <c r="J164">
        <v>63830.42</v>
      </c>
      <c r="K164">
        <v>60276.9</v>
      </c>
      <c r="L164" s="32">
        <f t="shared" si="46"/>
        <v>180.07650495600058</v>
      </c>
      <c r="M164" s="32">
        <f t="shared" si="47"/>
        <v>195.31876216146961</v>
      </c>
      <c r="N164" s="61"/>
      <c r="O164" s="40">
        <v>43297.53738425926</v>
      </c>
      <c r="P164" s="50">
        <f t="shared" si="48"/>
        <v>3.8972222222364508</v>
      </c>
      <c r="Q164">
        <v>1271.6199999999999</v>
      </c>
      <c r="R164">
        <v>1519.06</v>
      </c>
      <c r="S164" s="32">
        <f t="shared" si="49"/>
        <v>1.2228292757564418</v>
      </c>
      <c r="T164" s="32">
        <f t="shared" si="50"/>
        <v>1.6778267313778312</v>
      </c>
      <c r="U164" s="61"/>
      <c r="V164" s="61"/>
      <c r="W164" s="40">
        <v>43297.543923611112</v>
      </c>
      <c r="X164" s="50">
        <f t="shared" si="51"/>
        <v>4.0541666666977108</v>
      </c>
      <c r="Y164">
        <v>1.17</v>
      </c>
      <c r="Z164">
        <v>6</v>
      </c>
      <c r="AA164" s="32">
        <f t="shared" si="52"/>
        <v>1.5762035410558342E-3</v>
      </c>
      <c r="AB164" s="32">
        <f t="shared" si="53"/>
        <v>9.2841338069982425E-3</v>
      </c>
      <c r="AC164" s="61"/>
      <c r="AD164" s="40">
        <v>43297.54478009259</v>
      </c>
      <c r="AE164" s="50">
        <f t="shared" si="54"/>
        <v>4.0747222221689299</v>
      </c>
      <c r="AF164">
        <v>581.99</v>
      </c>
      <c r="AG164">
        <v>691.17</v>
      </c>
      <c r="AH164" s="32">
        <f t="shared" si="55"/>
        <v>0.78404675116161104</v>
      </c>
      <c r="AI164" s="32">
        <f t="shared" si="56"/>
        <v>1.0694857938971625</v>
      </c>
      <c r="AJ164" s="61"/>
      <c r="AK164" s="40">
        <v>43297.545624999999</v>
      </c>
      <c r="AL164" s="50">
        <f t="shared" si="57"/>
        <v>4.0949999999720603</v>
      </c>
      <c r="AM164">
        <v>105.22</v>
      </c>
      <c r="AN164">
        <v>120.44</v>
      </c>
      <c r="AO164" s="32">
        <f t="shared" si="58"/>
        <v>0.14175054409392726</v>
      </c>
      <c r="AP164" s="32">
        <f t="shared" si="59"/>
        <v>0.18636351261914472</v>
      </c>
      <c r="AQ164" s="61"/>
      <c r="AR164" s="61"/>
      <c r="AS164" s="61"/>
      <c r="AT164" s="61"/>
      <c r="AU164" s="61"/>
    </row>
    <row r="165" spans="1:47" x14ac:dyDescent="0.2">
      <c r="A165" s="40">
        <v>43297.552268518521</v>
      </c>
      <c r="B165" s="50">
        <f t="shared" si="42"/>
        <v>4.2544444444938563</v>
      </c>
      <c r="C165">
        <v>19.16</v>
      </c>
      <c r="D165">
        <v>17.41</v>
      </c>
      <c r="E165" s="32">
        <f t="shared" si="43"/>
        <v>2.2348449306946527E-2</v>
      </c>
      <c r="F165" s="32">
        <f t="shared" si="44"/>
        <v>2.3324608561723373E-2</v>
      </c>
      <c r="G165" s="61"/>
      <c r="H165" s="40">
        <v>43297.553124999999</v>
      </c>
      <c r="I165" s="50">
        <f t="shared" si="45"/>
        <v>4.2749999999650754</v>
      </c>
      <c r="J165">
        <v>64317.34</v>
      </c>
      <c r="K165">
        <v>59764.99</v>
      </c>
      <c r="L165" s="32">
        <f t="shared" si="46"/>
        <v>181.45018934963571</v>
      </c>
      <c r="M165" s="32">
        <f t="shared" si="47"/>
        <v>193.65999026812278</v>
      </c>
      <c r="N165" s="61"/>
      <c r="O165" s="40">
        <v>43297.553969907407</v>
      </c>
      <c r="P165" s="50">
        <f t="shared" si="48"/>
        <v>4.2952777777682059</v>
      </c>
      <c r="Q165">
        <v>1168.33</v>
      </c>
      <c r="R165">
        <v>1370.82</v>
      </c>
      <c r="S165" s="32">
        <f t="shared" si="49"/>
        <v>1.1235024046055613</v>
      </c>
      <c r="T165" s="32">
        <f t="shared" si="50"/>
        <v>1.514093215480204</v>
      </c>
      <c r="U165" s="61"/>
      <c r="V165" s="61"/>
      <c r="W165" s="40">
        <v>43297.560370370367</v>
      </c>
      <c r="X165" s="50">
        <f t="shared" si="51"/>
        <v>4.4488888888154179</v>
      </c>
      <c r="Y165">
        <v>4.17</v>
      </c>
      <c r="Z165">
        <v>0</v>
      </c>
      <c r="AA165" s="32">
        <f t="shared" si="52"/>
        <v>5.6177510822246401E-3</v>
      </c>
      <c r="AB165" s="32">
        <f t="shared" si="53"/>
        <v>0</v>
      </c>
      <c r="AC165" s="61"/>
      <c r="AD165" s="40">
        <v>43297.561226851853</v>
      </c>
      <c r="AE165" s="50">
        <f t="shared" si="54"/>
        <v>4.46944444446126</v>
      </c>
      <c r="AF165">
        <v>595.48</v>
      </c>
      <c r="AG165">
        <v>715.43</v>
      </c>
      <c r="AH165" s="32">
        <f t="shared" si="55"/>
        <v>0.80222024327173358</v>
      </c>
      <c r="AI165" s="32">
        <f t="shared" si="56"/>
        <v>1.1070246415901255</v>
      </c>
      <c r="AJ165" s="61"/>
      <c r="AK165" s="40">
        <v>43297.562071759261</v>
      </c>
      <c r="AL165" s="50">
        <f t="shared" si="57"/>
        <v>4.4897222222643904</v>
      </c>
      <c r="AM165">
        <v>73.7</v>
      </c>
      <c r="AN165">
        <v>110.86</v>
      </c>
      <c r="AO165" s="32">
        <f t="shared" si="58"/>
        <v>9.928735126138033E-2</v>
      </c>
      <c r="AP165" s="32">
        <f t="shared" si="59"/>
        <v>0.17153984564063751</v>
      </c>
      <c r="AQ165" s="61"/>
      <c r="AR165" s="61"/>
      <c r="AS165" s="61"/>
      <c r="AT165" s="61"/>
      <c r="AU165" s="61"/>
    </row>
    <row r="166" spans="1:47" x14ac:dyDescent="0.2">
      <c r="A166" s="40">
        <v>43297.56863425926</v>
      </c>
      <c r="B166" s="50">
        <f t="shared" si="42"/>
        <v>4.6472222222364508</v>
      </c>
      <c r="C166">
        <v>8.17</v>
      </c>
      <c r="D166">
        <v>11.78</v>
      </c>
      <c r="E166" s="32">
        <f t="shared" si="43"/>
        <v>9.5295840729516246E-3</v>
      </c>
      <c r="F166" s="32">
        <f t="shared" si="44"/>
        <v>1.5781958004428564E-2</v>
      </c>
      <c r="G166" s="61"/>
      <c r="H166" s="40">
        <v>43297.569479166668</v>
      </c>
      <c r="I166" s="50">
        <f t="shared" si="45"/>
        <v>4.6675000000395812</v>
      </c>
      <c r="J166">
        <v>63904.95</v>
      </c>
      <c r="K166">
        <v>59803.24</v>
      </c>
      <c r="L166" s="32">
        <f t="shared" si="46"/>
        <v>180.28676680159663</v>
      </c>
      <c r="M166" s="32">
        <f t="shared" si="47"/>
        <v>193.78393397877605</v>
      </c>
      <c r="N166" s="61"/>
      <c r="O166" s="40">
        <v>43297.570335648146</v>
      </c>
      <c r="P166" s="50">
        <f t="shared" si="48"/>
        <v>4.6880555555108003</v>
      </c>
      <c r="Q166">
        <v>1137.8599999999999</v>
      </c>
      <c r="R166">
        <v>1296.9000000000001</v>
      </c>
      <c r="S166" s="32">
        <f t="shared" si="49"/>
        <v>1.094201506513129</v>
      </c>
      <c r="T166" s="32">
        <f t="shared" si="50"/>
        <v>1.4324473608178145</v>
      </c>
      <c r="U166" s="61"/>
      <c r="V166" s="61"/>
      <c r="W166" s="40">
        <v>43297.576898148145</v>
      </c>
      <c r="X166" s="50">
        <f t="shared" si="51"/>
        <v>4.8455555554828607</v>
      </c>
      <c r="Y166">
        <v>0</v>
      </c>
      <c r="Z166">
        <v>0.61</v>
      </c>
      <c r="AA166" s="32">
        <f t="shared" si="52"/>
        <v>0</v>
      </c>
      <c r="AB166" s="32">
        <f t="shared" si="53"/>
        <v>9.438869370448213E-4</v>
      </c>
      <c r="AC166" s="61"/>
      <c r="AD166" s="40">
        <v>43297.57775462963</v>
      </c>
      <c r="AE166" s="50">
        <f t="shared" si="54"/>
        <v>4.8661111111287028</v>
      </c>
      <c r="AF166">
        <v>603.53</v>
      </c>
      <c r="AG166">
        <v>718.51</v>
      </c>
      <c r="AH166" s="32">
        <f t="shared" si="55"/>
        <v>0.81306506250720312</v>
      </c>
      <c r="AI166" s="32">
        <f t="shared" si="56"/>
        <v>1.1117904969443846</v>
      </c>
      <c r="AJ166" s="61"/>
      <c r="AK166" s="40">
        <v>43297.578599537039</v>
      </c>
      <c r="AL166" s="50">
        <f t="shared" si="57"/>
        <v>4.8863888889318332</v>
      </c>
      <c r="AM166">
        <v>87.21</v>
      </c>
      <c r="AN166">
        <v>84.64</v>
      </c>
      <c r="AO166" s="32">
        <f t="shared" si="58"/>
        <v>0.11748778702177717</v>
      </c>
      <c r="AP166" s="32">
        <f t="shared" si="59"/>
        <v>0.13096818090405521</v>
      </c>
      <c r="AQ166" s="61"/>
      <c r="AR166" s="61"/>
      <c r="AS166" s="61"/>
      <c r="AT166" s="61"/>
      <c r="AU166" s="61"/>
    </row>
    <row r="167" spans="1:47" x14ac:dyDescent="0.2">
      <c r="A167" s="40">
        <v>43297.585162037038</v>
      </c>
      <c r="B167" s="50">
        <f t="shared" si="42"/>
        <v>5.0438888889038935</v>
      </c>
      <c r="C167">
        <v>6.18</v>
      </c>
      <c r="D167">
        <v>12.04</v>
      </c>
      <c r="E167" s="32">
        <f t="shared" si="43"/>
        <v>7.2084246720735667E-3</v>
      </c>
      <c r="F167" s="32">
        <f t="shared" si="44"/>
        <v>1.6130286449348042E-2</v>
      </c>
      <c r="G167" s="61"/>
      <c r="H167" s="40">
        <v>43297.586006944446</v>
      </c>
      <c r="I167" s="50">
        <f t="shared" si="45"/>
        <v>5.064166666707024</v>
      </c>
      <c r="J167">
        <v>63440.17</v>
      </c>
      <c r="K167">
        <v>60601.120000000003</v>
      </c>
      <c r="L167" s="32">
        <f t="shared" si="46"/>
        <v>178.9755431252766</v>
      </c>
      <c r="M167" s="32">
        <f t="shared" si="47"/>
        <v>196.36935117762658</v>
      </c>
      <c r="N167" s="61"/>
      <c r="O167" s="40">
        <v>43297.586863425924</v>
      </c>
      <c r="P167" s="50">
        <f t="shared" si="48"/>
        <v>5.0847222221782431</v>
      </c>
      <c r="Q167">
        <v>1138.0899999999999</v>
      </c>
      <c r="R167">
        <v>1279.4000000000001</v>
      </c>
      <c r="S167" s="32">
        <f t="shared" si="49"/>
        <v>1.0944226816546208</v>
      </c>
      <c r="T167" s="32">
        <f t="shared" si="50"/>
        <v>1.4131183232556959</v>
      </c>
      <c r="U167" s="61"/>
      <c r="V167" s="61"/>
      <c r="W167" s="40">
        <v>43297.593263888892</v>
      </c>
      <c r="X167" s="50">
        <f t="shared" si="51"/>
        <v>5.2383333334000781</v>
      </c>
      <c r="Y167">
        <v>10.67</v>
      </c>
      <c r="Z167">
        <v>0.6</v>
      </c>
      <c r="AA167" s="32">
        <f t="shared" si="52"/>
        <v>1.4374437421423717E-2</v>
      </c>
      <c r="AB167" s="32">
        <f t="shared" si="53"/>
        <v>9.2841338069982421E-4</v>
      </c>
      <c r="AC167" s="61"/>
      <c r="AD167" s="40">
        <v>43297.59412037037</v>
      </c>
      <c r="AE167" s="50">
        <f t="shared" si="54"/>
        <v>5.2588888888712972</v>
      </c>
      <c r="AF167">
        <v>601.54</v>
      </c>
      <c r="AG167">
        <v>681.38</v>
      </c>
      <c r="AH167" s="32">
        <f t="shared" si="55"/>
        <v>0.81038416930489443</v>
      </c>
      <c r="AI167" s="32">
        <f t="shared" si="56"/>
        <v>1.0543371822354104</v>
      </c>
      <c r="AJ167" s="61"/>
      <c r="AK167" s="40">
        <v>43297.594965277778</v>
      </c>
      <c r="AL167" s="50">
        <f t="shared" si="57"/>
        <v>5.2791666666744277</v>
      </c>
      <c r="AM167">
        <v>102.25</v>
      </c>
      <c r="AN167">
        <v>120.62</v>
      </c>
      <c r="AO167" s="32">
        <f t="shared" si="58"/>
        <v>0.13774941202817015</v>
      </c>
      <c r="AP167" s="32">
        <f t="shared" si="59"/>
        <v>0.18664203663335469</v>
      </c>
      <c r="AQ167" s="61"/>
      <c r="AR167" s="61"/>
      <c r="AS167" s="61"/>
      <c r="AT167" s="61"/>
      <c r="AU167" s="61"/>
    </row>
    <row r="168" spans="1:47" x14ac:dyDescent="0.2">
      <c r="A168" s="40">
        <v>43297.601527777777</v>
      </c>
      <c r="B168" s="50">
        <f t="shared" si="42"/>
        <v>5.436666666646488</v>
      </c>
      <c r="C168">
        <v>19.68</v>
      </c>
      <c r="D168">
        <v>10.66</v>
      </c>
      <c r="E168" s="32">
        <f t="shared" si="43"/>
        <v>2.2954983421748835E-2</v>
      </c>
      <c r="F168" s="32">
        <f t="shared" si="44"/>
        <v>1.4281466241698515E-2</v>
      </c>
      <c r="G168" s="61"/>
      <c r="H168" s="40">
        <v>43297.602384259262</v>
      </c>
      <c r="I168" s="50">
        <f t="shared" si="45"/>
        <v>5.4572222222923301</v>
      </c>
      <c r="J168">
        <v>63701.31</v>
      </c>
      <c r="K168">
        <v>60202.71</v>
      </c>
      <c r="L168" s="32">
        <f t="shared" si="46"/>
        <v>179.71226361848676</v>
      </c>
      <c r="M168" s="32">
        <f t="shared" si="47"/>
        <v>195.078359968179</v>
      </c>
      <c r="N168" s="61"/>
      <c r="O168" s="40">
        <v>43297.603229166663</v>
      </c>
      <c r="P168" s="50">
        <f t="shared" si="48"/>
        <v>5.4774999999208376</v>
      </c>
      <c r="Q168">
        <v>1130.8</v>
      </c>
      <c r="R168">
        <v>1137.82</v>
      </c>
      <c r="S168" s="32">
        <f t="shared" si="49"/>
        <v>1.0874123913003764</v>
      </c>
      <c r="T168" s="32">
        <f t="shared" si="50"/>
        <v>1.2567408867959948</v>
      </c>
      <c r="U168" s="61"/>
      <c r="V168" s="61"/>
      <c r="W168" s="40">
        <v>43297.609780092593</v>
      </c>
      <c r="X168" s="50">
        <f t="shared" si="51"/>
        <v>5.6347222222248092</v>
      </c>
      <c r="Y168">
        <v>7.67</v>
      </c>
      <c r="Z168">
        <v>12.5</v>
      </c>
      <c r="AA168" s="32">
        <f t="shared" si="52"/>
        <v>1.0332889880254914E-2</v>
      </c>
      <c r="AB168" s="32">
        <f t="shared" si="53"/>
        <v>1.9341945431246337E-2</v>
      </c>
      <c r="AC168" s="61"/>
      <c r="AD168" s="40">
        <v>43297.610636574071</v>
      </c>
      <c r="AE168" s="50">
        <f t="shared" si="54"/>
        <v>5.6552777776960284</v>
      </c>
      <c r="AF168">
        <v>615.02</v>
      </c>
      <c r="AG168">
        <v>676.26</v>
      </c>
      <c r="AH168" s="32">
        <f t="shared" si="55"/>
        <v>0.82854418958987963</v>
      </c>
      <c r="AI168" s="32">
        <f t="shared" si="56"/>
        <v>1.0464147213867721</v>
      </c>
      <c r="AJ168" s="61"/>
      <c r="AK168" s="40">
        <v>43297.611481481479</v>
      </c>
      <c r="AL168" s="50">
        <f t="shared" si="57"/>
        <v>5.6755555554991588</v>
      </c>
      <c r="AM168">
        <v>108.73</v>
      </c>
      <c r="AN168">
        <v>108.41</v>
      </c>
      <c r="AO168" s="32">
        <f t="shared" si="58"/>
        <v>0.14647915471709477</v>
      </c>
      <c r="AP168" s="32">
        <f t="shared" si="59"/>
        <v>0.16774882433611324</v>
      </c>
      <c r="AQ168" s="61"/>
      <c r="AR168" s="61"/>
      <c r="AS168" s="61"/>
      <c r="AT168" s="61"/>
      <c r="AU168" s="61"/>
    </row>
    <row r="169" spans="1:47" x14ac:dyDescent="0.2">
      <c r="A169" s="40">
        <v>43297.618032407408</v>
      </c>
      <c r="B169" s="50">
        <f t="shared" si="42"/>
        <v>5.8327777778031304</v>
      </c>
      <c r="C169">
        <v>20.21</v>
      </c>
      <c r="D169">
        <v>14.04</v>
      </c>
      <c r="E169" s="32">
        <f t="shared" si="43"/>
        <v>2.3573181654143491E-2</v>
      </c>
      <c r="F169" s="32">
        <f t="shared" si="44"/>
        <v>1.88097360256517E-2</v>
      </c>
      <c r="G169" s="61"/>
      <c r="H169" s="40">
        <v>43297.618877314817</v>
      </c>
      <c r="I169" s="50">
        <f t="shared" si="45"/>
        <v>5.8530555556062609</v>
      </c>
      <c r="J169">
        <v>63973.07</v>
      </c>
      <c r="K169">
        <v>60293.99</v>
      </c>
      <c r="L169" s="32">
        <f t="shared" si="46"/>
        <v>180.47894494357976</v>
      </c>
      <c r="M169" s="32">
        <f t="shared" si="47"/>
        <v>195.37413988735366</v>
      </c>
      <c r="N169" s="61"/>
      <c r="O169" s="40">
        <v>43297.619733796295</v>
      </c>
      <c r="P169" s="50">
        <f t="shared" si="48"/>
        <v>5.87361111107748</v>
      </c>
      <c r="Q169">
        <v>1165.3499999999999</v>
      </c>
      <c r="R169">
        <v>1105.31</v>
      </c>
      <c r="S169" s="32">
        <f t="shared" si="49"/>
        <v>1.1206367440766658</v>
      </c>
      <c r="T169" s="32">
        <f t="shared" si="50"/>
        <v>1.2208330575877389</v>
      </c>
      <c r="U169" s="61"/>
      <c r="V169" s="61"/>
      <c r="W169" s="40">
        <v>43297.62599537037</v>
      </c>
      <c r="X169" s="50">
        <f t="shared" si="51"/>
        <v>6.0238888888852671</v>
      </c>
      <c r="Y169">
        <v>0.2</v>
      </c>
      <c r="Z169">
        <v>0</v>
      </c>
      <c r="AA169" s="32">
        <f t="shared" si="52"/>
        <v>2.6943650274458708E-4</v>
      </c>
      <c r="AB169" s="32">
        <f t="shared" si="53"/>
        <v>0</v>
      </c>
      <c r="AC169" s="61"/>
      <c r="AD169" s="40">
        <v>43297.626840277779</v>
      </c>
      <c r="AE169" s="50">
        <f t="shared" si="54"/>
        <v>6.0441666666883975</v>
      </c>
      <c r="AF169">
        <v>627.53</v>
      </c>
      <c r="AG169">
        <v>634.27</v>
      </c>
      <c r="AH169" s="32">
        <f t="shared" si="55"/>
        <v>0.8453974428365536</v>
      </c>
      <c r="AI169" s="32">
        <f t="shared" si="56"/>
        <v>0.9814412582941292</v>
      </c>
      <c r="AJ169" s="61"/>
      <c r="AK169" s="40">
        <v>43297.627696759257</v>
      </c>
      <c r="AL169" s="50">
        <f t="shared" si="57"/>
        <v>6.0647222221596166</v>
      </c>
      <c r="AM169">
        <v>107.22</v>
      </c>
      <c r="AN169">
        <v>103.56</v>
      </c>
      <c r="AO169" s="32">
        <f t="shared" si="58"/>
        <v>0.14444490912137312</v>
      </c>
      <c r="AP169" s="32">
        <f t="shared" si="59"/>
        <v>0.16024414950878965</v>
      </c>
      <c r="AQ169" s="61"/>
      <c r="AR169" s="61"/>
      <c r="AS169" s="61"/>
      <c r="AT169" s="61"/>
      <c r="AU169" s="61"/>
    </row>
    <row r="170" spans="1:47" x14ac:dyDescent="0.2">
      <c r="A170" s="40">
        <v>43297.633958333332</v>
      </c>
      <c r="B170" s="50">
        <f t="shared" si="42"/>
        <v>6.2149999999674037</v>
      </c>
      <c r="C170">
        <v>23.66</v>
      </c>
      <c r="D170">
        <v>11.35</v>
      </c>
      <c r="E170" s="32">
        <f t="shared" si="43"/>
        <v>2.7597302223504951E-2</v>
      </c>
      <c r="F170" s="32">
        <f t="shared" si="44"/>
        <v>1.5205876345523279E-2</v>
      </c>
      <c r="G170" s="61"/>
      <c r="H170" s="40">
        <v>43297.634814814817</v>
      </c>
      <c r="I170" s="50">
        <f t="shared" si="45"/>
        <v>6.2355555556132458</v>
      </c>
      <c r="J170">
        <v>63923.51</v>
      </c>
      <c r="K170">
        <v>59691.26</v>
      </c>
      <c r="L170" s="32">
        <f t="shared" si="46"/>
        <v>180.33912772812639</v>
      </c>
      <c r="M170" s="32">
        <f t="shared" si="47"/>
        <v>193.42107863971844</v>
      </c>
      <c r="N170" s="61"/>
      <c r="O170" s="40">
        <v>43297.635671296295</v>
      </c>
      <c r="P170" s="50">
        <f t="shared" si="48"/>
        <v>6.2561111110844649</v>
      </c>
      <c r="Q170">
        <v>1159.78</v>
      </c>
      <c r="R170">
        <v>1144.6199999999999</v>
      </c>
      <c r="S170" s="32">
        <f t="shared" si="49"/>
        <v>1.1152804591283609</v>
      </c>
      <c r="T170" s="32">
        <f t="shared" si="50"/>
        <v>1.264251598534418</v>
      </c>
      <c r="U170" s="61"/>
      <c r="V170" s="61"/>
      <c r="W170" s="40">
        <v>43297.642314814817</v>
      </c>
      <c r="X170" s="50">
        <f t="shared" si="51"/>
        <v>6.4155555556062609</v>
      </c>
      <c r="Y170">
        <v>9.17</v>
      </c>
      <c r="Z170">
        <v>0</v>
      </c>
      <c r="AA170" s="32">
        <f t="shared" si="52"/>
        <v>1.2353663650839317E-2</v>
      </c>
      <c r="AB170" s="32">
        <f t="shared" si="53"/>
        <v>0</v>
      </c>
      <c r="AC170" s="61"/>
      <c r="AD170" s="40">
        <v>43297.643171296295</v>
      </c>
      <c r="AE170" s="50">
        <f t="shared" si="54"/>
        <v>6.43611111107748</v>
      </c>
      <c r="AF170">
        <v>636.29999999999995</v>
      </c>
      <c r="AG170">
        <v>676.43</v>
      </c>
      <c r="AH170" s="32">
        <f t="shared" si="55"/>
        <v>0.85721223348190367</v>
      </c>
      <c r="AI170" s="32">
        <f t="shared" si="56"/>
        <v>1.046677771844637</v>
      </c>
      <c r="AJ170" s="61"/>
      <c r="AK170" s="40">
        <v>43297.64402777778</v>
      </c>
      <c r="AL170" s="50">
        <f t="shared" si="57"/>
        <v>6.4566666667233221</v>
      </c>
      <c r="AM170">
        <v>119.68</v>
      </c>
      <c r="AN170">
        <v>96</v>
      </c>
      <c r="AO170" s="32">
        <f t="shared" si="58"/>
        <v>0.16123080324236091</v>
      </c>
      <c r="AP170" s="32">
        <f t="shared" si="59"/>
        <v>0.14854614091197188</v>
      </c>
      <c r="AQ170" s="61"/>
      <c r="AR170" s="61"/>
      <c r="AS170" s="61"/>
      <c r="AT170" s="61"/>
      <c r="AU170" s="61"/>
    </row>
    <row r="171" spans="1:47" x14ac:dyDescent="0.2">
      <c r="A171" s="40">
        <v>43297.65042824074</v>
      </c>
      <c r="B171" s="50">
        <f t="shared" si="42"/>
        <v>6.6102777777705342</v>
      </c>
      <c r="C171">
        <v>19.66</v>
      </c>
      <c r="D171">
        <v>15.86</v>
      </c>
      <c r="E171" s="32">
        <f t="shared" si="43"/>
        <v>2.2931655186564131E-2</v>
      </c>
      <c r="F171" s="32">
        <f t="shared" si="44"/>
        <v>2.1248035140088033E-2</v>
      </c>
      <c r="G171" s="61"/>
      <c r="H171" s="40">
        <v>43297.651284722226</v>
      </c>
      <c r="I171" s="50">
        <f t="shared" si="45"/>
        <v>6.6308333334163763</v>
      </c>
      <c r="J171">
        <v>63609.41</v>
      </c>
      <c r="K171">
        <v>59901.19</v>
      </c>
      <c r="L171" s="32">
        <f t="shared" si="46"/>
        <v>179.45299803938738</v>
      </c>
      <c r="M171" s="32">
        <f t="shared" si="47"/>
        <v>194.1013270888019</v>
      </c>
      <c r="N171" s="61"/>
      <c r="O171" s="40">
        <v>43297.652141203704</v>
      </c>
      <c r="P171" s="50">
        <f t="shared" si="48"/>
        <v>6.6513888888875954</v>
      </c>
      <c r="Q171">
        <v>1147.3599999999999</v>
      </c>
      <c r="R171">
        <v>1052.1300000000001</v>
      </c>
      <c r="S171" s="32">
        <f t="shared" si="49"/>
        <v>1.1033370014877959</v>
      </c>
      <c r="T171" s="32">
        <f t="shared" si="50"/>
        <v>1.1620948737275405</v>
      </c>
      <c r="U171" s="61"/>
      <c r="V171" s="61"/>
      <c r="W171" s="40">
        <v>43297.658668981479</v>
      </c>
      <c r="X171" s="50">
        <f t="shared" si="51"/>
        <v>6.8080555555061437</v>
      </c>
      <c r="Y171">
        <v>0</v>
      </c>
      <c r="Z171">
        <v>0.61</v>
      </c>
      <c r="AA171" s="32">
        <f t="shared" si="52"/>
        <v>0</v>
      </c>
      <c r="AB171" s="32">
        <f t="shared" si="53"/>
        <v>9.438869370448213E-4</v>
      </c>
      <c r="AC171" s="61"/>
      <c r="AD171" s="40">
        <v>43297.659525462965</v>
      </c>
      <c r="AE171" s="50">
        <f t="shared" si="54"/>
        <v>6.8286111111519858</v>
      </c>
      <c r="AF171">
        <v>629.01</v>
      </c>
      <c r="AG171">
        <v>688.41</v>
      </c>
      <c r="AH171" s="32">
        <f t="shared" si="55"/>
        <v>0.84739127295686356</v>
      </c>
      <c r="AI171" s="32">
        <f t="shared" si="56"/>
        <v>1.0652150923459434</v>
      </c>
      <c r="AJ171" s="61"/>
      <c r="AK171" s="40">
        <v>43297.660381944443</v>
      </c>
      <c r="AL171" s="50">
        <f t="shared" si="57"/>
        <v>6.8491666666232049</v>
      </c>
      <c r="AM171">
        <v>98.22</v>
      </c>
      <c r="AN171">
        <v>99.99</v>
      </c>
      <c r="AO171" s="32">
        <f t="shared" si="58"/>
        <v>0.13232026649786668</v>
      </c>
      <c r="AP171" s="32">
        <f t="shared" si="59"/>
        <v>0.15472008989362571</v>
      </c>
      <c r="AQ171" s="61"/>
      <c r="AR171" s="61"/>
      <c r="AS171" s="61"/>
      <c r="AT171" s="61"/>
      <c r="AU171" s="61"/>
    </row>
    <row r="172" spans="1:47" x14ac:dyDescent="0.2">
      <c r="A172" s="40">
        <v>43297.666921296295</v>
      </c>
      <c r="B172" s="50">
        <f t="shared" si="42"/>
        <v>7.0061111110844649</v>
      </c>
      <c r="C172">
        <v>1.67</v>
      </c>
      <c r="D172">
        <v>7.27</v>
      </c>
      <c r="E172" s="32">
        <f t="shared" si="43"/>
        <v>1.9479076379227925E-3</v>
      </c>
      <c r="F172" s="32">
        <f t="shared" si="44"/>
        <v>9.739799209863809E-3</v>
      </c>
      <c r="G172" s="61"/>
      <c r="H172" s="40">
        <v>43297.66777777778</v>
      </c>
      <c r="I172" s="50">
        <f t="shared" si="45"/>
        <v>7.026666666730307</v>
      </c>
      <c r="J172">
        <v>63246.48</v>
      </c>
      <c r="K172">
        <v>59938.23</v>
      </c>
      <c r="L172" s="32">
        <f t="shared" si="46"/>
        <v>178.42911058974065</v>
      </c>
      <c r="M172" s="32">
        <f t="shared" si="47"/>
        <v>194.22134996573254</v>
      </c>
      <c r="N172" s="61"/>
      <c r="O172" s="40">
        <v>43297.668622685182</v>
      </c>
      <c r="P172" s="50">
        <f t="shared" si="48"/>
        <v>7.0469444443588145</v>
      </c>
      <c r="Q172">
        <v>1126.8599999999999</v>
      </c>
      <c r="R172">
        <v>1013.03</v>
      </c>
      <c r="S172" s="32">
        <f t="shared" si="49"/>
        <v>1.0836235649635144</v>
      </c>
      <c r="T172" s="32">
        <f t="shared" si="50"/>
        <v>1.1189082812316067</v>
      </c>
      <c r="U172" s="61"/>
      <c r="V172" s="61"/>
      <c r="W172" s="40">
        <v>43297.675162037034</v>
      </c>
      <c r="X172" s="50">
        <f t="shared" si="51"/>
        <v>7.2038888888200745</v>
      </c>
      <c r="Y172">
        <v>0</v>
      </c>
      <c r="Z172">
        <v>0</v>
      </c>
      <c r="AA172" s="32">
        <f t="shared" si="52"/>
        <v>0</v>
      </c>
      <c r="AB172" s="32">
        <f t="shared" si="53"/>
        <v>0</v>
      </c>
      <c r="AC172" s="61"/>
      <c r="AD172" s="40">
        <v>43297.676018518519</v>
      </c>
      <c r="AE172" s="50">
        <f t="shared" si="54"/>
        <v>7.2244444444659166</v>
      </c>
      <c r="AF172">
        <v>587.37</v>
      </c>
      <c r="AG172">
        <v>664.02</v>
      </c>
      <c r="AH172" s="32">
        <f t="shared" si="55"/>
        <v>0.79129459308544048</v>
      </c>
      <c r="AI172" s="32">
        <f t="shared" si="56"/>
        <v>1.0274750884204953</v>
      </c>
      <c r="AJ172" s="61"/>
      <c r="AK172" s="40">
        <v>43297.676863425928</v>
      </c>
      <c r="AL172" s="50">
        <f t="shared" si="57"/>
        <v>7.2447222222690471</v>
      </c>
      <c r="AM172">
        <v>85.72</v>
      </c>
      <c r="AN172">
        <v>91.05</v>
      </c>
      <c r="AO172" s="32">
        <f t="shared" si="58"/>
        <v>0.11548048507633001</v>
      </c>
      <c r="AP172" s="32">
        <f t="shared" si="59"/>
        <v>0.14088673052119832</v>
      </c>
      <c r="AQ172" s="61"/>
      <c r="AR172" s="61"/>
      <c r="AS172" s="61"/>
      <c r="AT172" s="61"/>
      <c r="AU172" s="61"/>
    </row>
    <row r="173" spans="1:47" x14ac:dyDescent="0.2">
      <c r="A173" s="40">
        <v>43297.68341435185</v>
      </c>
      <c r="B173" s="50">
        <f t="shared" si="42"/>
        <v>7.4019444443983957</v>
      </c>
      <c r="C173">
        <v>0</v>
      </c>
      <c r="D173">
        <v>6.84</v>
      </c>
      <c r="E173" s="32">
        <f t="shared" si="43"/>
        <v>0</v>
      </c>
      <c r="F173" s="32">
        <f t="shared" si="44"/>
        <v>9.1637175509585219E-3</v>
      </c>
      <c r="G173" s="61"/>
      <c r="H173" s="40">
        <v>43297.684270833335</v>
      </c>
      <c r="I173" s="50">
        <f t="shared" si="45"/>
        <v>7.4225000000442378</v>
      </c>
      <c r="J173">
        <v>63322.239999999998</v>
      </c>
      <c r="K173">
        <v>59641.66</v>
      </c>
      <c r="L173" s="32">
        <f t="shared" si="46"/>
        <v>178.64284247518751</v>
      </c>
      <c r="M173" s="32">
        <f t="shared" si="47"/>
        <v>193.26035686067524</v>
      </c>
      <c r="N173" s="61"/>
      <c r="O173" s="40">
        <v>43297.685115740744</v>
      </c>
      <c r="P173" s="50">
        <f t="shared" si="48"/>
        <v>7.4427777778473683</v>
      </c>
      <c r="Q173">
        <v>1062.8900000000001</v>
      </c>
      <c r="R173">
        <v>1038.3599999999999</v>
      </c>
      <c r="S173" s="32">
        <f t="shared" si="49"/>
        <v>1.0221080266972562</v>
      </c>
      <c r="T173" s="32">
        <f t="shared" si="50"/>
        <v>1.1468856824572333</v>
      </c>
      <c r="U173" s="61"/>
      <c r="V173" s="61"/>
      <c r="W173" s="40">
        <v>43297.691655092596</v>
      </c>
      <c r="X173" s="50">
        <f t="shared" si="51"/>
        <v>7.5997222223086283</v>
      </c>
      <c r="Y173">
        <v>0</v>
      </c>
      <c r="Z173">
        <v>0</v>
      </c>
      <c r="AA173" s="32">
        <f t="shared" si="52"/>
        <v>0</v>
      </c>
      <c r="AB173" s="32">
        <f t="shared" si="53"/>
        <v>0</v>
      </c>
      <c r="AC173" s="61"/>
      <c r="AD173" s="40">
        <v>43297.692511574074</v>
      </c>
      <c r="AE173" s="50">
        <f t="shared" si="54"/>
        <v>7.6202777777798474</v>
      </c>
      <c r="AF173">
        <v>601.83000000000004</v>
      </c>
      <c r="AG173">
        <v>639.32000000000005</v>
      </c>
      <c r="AH173" s="32">
        <f t="shared" si="55"/>
        <v>0.81077485223387413</v>
      </c>
      <c r="AI173" s="32">
        <f t="shared" si="56"/>
        <v>0.98925540424835279</v>
      </c>
      <c r="AJ173" s="61"/>
      <c r="AK173" s="40">
        <v>43297.693356481483</v>
      </c>
      <c r="AL173" s="50">
        <f t="shared" si="57"/>
        <v>7.6405555555829778</v>
      </c>
      <c r="AM173">
        <v>98.18</v>
      </c>
      <c r="AN173">
        <v>143.33000000000001</v>
      </c>
      <c r="AO173" s="32">
        <f t="shared" si="58"/>
        <v>0.13226637919731779</v>
      </c>
      <c r="AP173" s="32">
        <f t="shared" si="59"/>
        <v>0.22178248309284304</v>
      </c>
      <c r="AQ173" s="61"/>
      <c r="AR173" s="61"/>
      <c r="AS173" s="61"/>
      <c r="AT173" s="61"/>
      <c r="AU173" s="61"/>
    </row>
    <row r="174" spans="1:47" x14ac:dyDescent="0.2">
      <c r="A174" s="40">
        <v>43297.699918981481</v>
      </c>
      <c r="B174" s="50">
        <f t="shared" si="42"/>
        <v>7.7980555555550382</v>
      </c>
      <c r="C174">
        <v>0</v>
      </c>
      <c r="D174">
        <v>10.66</v>
      </c>
      <c r="E174" s="32">
        <f t="shared" si="43"/>
        <v>0</v>
      </c>
      <c r="F174" s="32">
        <f t="shared" si="44"/>
        <v>1.4281466241698515E-2</v>
      </c>
      <c r="G174" s="61"/>
      <c r="H174" s="40">
        <v>43297.700775462959</v>
      </c>
      <c r="I174" s="50">
        <f t="shared" si="45"/>
        <v>7.8186111110262573</v>
      </c>
      <c r="J174">
        <v>63383.360000000001</v>
      </c>
      <c r="K174">
        <v>59744.85</v>
      </c>
      <c r="L174" s="32">
        <f t="shared" si="46"/>
        <v>178.81527242289758</v>
      </c>
      <c r="M174" s="32">
        <f t="shared" si="47"/>
        <v>193.59472944897095</v>
      </c>
      <c r="N174" s="61"/>
      <c r="O174" s="40">
        <v>43297.701620370368</v>
      </c>
      <c r="P174" s="50">
        <f t="shared" si="48"/>
        <v>7.8388888888293877</v>
      </c>
      <c r="Q174">
        <v>1092.25</v>
      </c>
      <c r="R174">
        <v>1017.69</v>
      </c>
      <c r="S174" s="32">
        <f t="shared" si="49"/>
        <v>1.0503415143242272</v>
      </c>
      <c r="T174" s="32">
        <f t="shared" si="50"/>
        <v>1.1240553278052909</v>
      </c>
      <c r="U174" s="61"/>
      <c r="V174" s="61"/>
      <c r="W174" s="40">
        <v>43297.70815972222</v>
      </c>
      <c r="X174" s="50">
        <f t="shared" si="51"/>
        <v>7.9958333332906477</v>
      </c>
      <c r="Y174">
        <v>0</v>
      </c>
      <c r="Z174">
        <v>0</v>
      </c>
      <c r="AA174" s="32">
        <f t="shared" si="52"/>
        <v>0</v>
      </c>
      <c r="AB174" s="32">
        <f t="shared" si="53"/>
        <v>0</v>
      </c>
      <c r="AC174" s="61"/>
      <c r="AD174" s="40">
        <v>43297.709016203706</v>
      </c>
      <c r="AE174" s="50">
        <f t="shared" si="54"/>
        <v>8.0163888889364898</v>
      </c>
      <c r="AF174">
        <v>584.5</v>
      </c>
      <c r="AG174">
        <v>662.05</v>
      </c>
      <c r="AH174" s="32">
        <f t="shared" si="55"/>
        <v>0.78742817927105568</v>
      </c>
      <c r="AI174" s="32">
        <f t="shared" si="56"/>
        <v>1.024426797820531</v>
      </c>
      <c r="AJ174" s="61"/>
      <c r="AK174" s="40">
        <v>43297.709861111114</v>
      </c>
      <c r="AL174" s="50">
        <f t="shared" si="57"/>
        <v>8.0366666667396203</v>
      </c>
      <c r="AM174">
        <v>81.209999999999994</v>
      </c>
      <c r="AN174">
        <v>124.65</v>
      </c>
      <c r="AO174" s="32">
        <f t="shared" si="58"/>
        <v>0.10940469193943957</v>
      </c>
      <c r="AP174" s="32">
        <f t="shared" si="59"/>
        <v>0.19287787984038848</v>
      </c>
      <c r="AQ174" s="61"/>
      <c r="AR174" s="61"/>
      <c r="AS174" s="61"/>
      <c r="AT174" s="61"/>
      <c r="AU174" s="61"/>
    </row>
    <row r="175" spans="1:47" x14ac:dyDescent="0.2">
      <c r="A175" s="40">
        <v>43297.716423611113</v>
      </c>
      <c r="B175" s="50">
        <f t="shared" si="42"/>
        <v>8.1941666667116806</v>
      </c>
      <c r="C175">
        <v>5.67</v>
      </c>
      <c r="D175">
        <v>7.27</v>
      </c>
      <c r="E175" s="32">
        <f t="shared" si="43"/>
        <v>6.6135546748636118E-3</v>
      </c>
      <c r="F175" s="32">
        <f t="shared" si="44"/>
        <v>9.739799209863809E-3</v>
      </c>
      <c r="G175" s="61"/>
      <c r="H175" s="40">
        <v>43297.717280092591</v>
      </c>
      <c r="I175" s="50">
        <f t="shared" si="45"/>
        <v>8.2147222221828997</v>
      </c>
      <c r="J175">
        <v>63167.38</v>
      </c>
      <c r="K175">
        <v>59890.57</v>
      </c>
      <c r="L175" s="32">
        <f t="shared" si="46"/>
        <v>178.20595599445485</v>
      </c>
      <c r="M175" s="32">
        <f t="shared" si="47"/>
        <v>194.06691448207931</v>
      </c>
      <c r="N175" s="61"/>
      <c r="O175" s="40">
        <v>43297.718124999999</v>
      </c>
      <c r="P175" s="50">
        <f t="shared" si="48"/>
        <v>8.2349999999860302</v>
      </c>
      <c r="Q175">
        <v>1114.8900000000001</v>
      </c>
      <c r="R175">
        <v>1108.6199999999999</v>
      </c>
      <c r="S175" s="32">
        <f t="shared" si="49"/>
        <v>1.0721128412954339</v>
      </c>
      <c r="T175" s="32">
        <f t="shared" si="50"/>
        <v>1.2244890069780596</v>
      </c>
      <c r="U175" s="61"/>
      <c r="V175" s="61"/>
      <c r="W175" s="40">
        <v>43297.724664351852</v>
      </c>
      <c r="X175" s="50">
        <f t="shared" si="51"/>
        <v>8.3919444444472902</v>
      </c>
      <c r="Y175">
        <v>0</v>
      </c>
      <c r="Z175">
        <v>0</v>
      </c>
      <c r="AA175" s="32">
        <f t="shared" si="52"/>
        <v>0</v>
      </c>
      <c r="AB175" s="32">
        <f t="shared" si="53"/>
        <v>0</v>
      </c>
      <c r="AC175" s="61"/>
      <c r="AD175" s="40">
        <v>43297.72552083333</v>
      </c>
      <c r="AE175" s="50">
        <f t="shared" si="54"/>
        <v>8.4124999999185093</v>
      </c>
      <c r="AF175">
        <v>578.84</v>
      </c>
      <c r="AG175">
        <v>657.22</v>
      </c>
      <c r="AH175" s="32">
        <f t="shared" si="55"/>
        <v>0.77980312624338399</v>
      </c>
      <c r="AI175" s="32">
        <f t="shared" si="56"/>
        <v>1.0169530701058975</v>
      </c>
      <c r="AJ175" s="61"/>
      <c r="AK175" s="40">
        <v>43297.726377314815</v>
      </c>
      <c r="AL175" s="50">
        <f t="shared" si="57"/>
        <v>8.4330555555643514</v>
      </c>
      <c r="AM175">
        <v>93.18</v>
      </c>
      <c r="AN175">
        <v>104.16</v>
      </c>
      <c r="AO175" s="32">
        <f t="shared" si="58"/>
        <v>0.12553046662870312</v>
      </c>
      <c r="AP175" s="32">
        <f t="shared" si="59"/>
        <v>0.1611725628894895</v>
      </c>
      <c r="AQ175" s="61"/>
      <c r="AR175" s="61"/>
      <c r="AS175" s="61"/>
      <c r="AT175" s="61"/>
      <c r="AU175" s="61"/>
    </row>
    <row r="176" spans="1:47" x14ac:dyDescent="0.2">
      <c r="A176" s="40">
        <v>43297.73300925926</v>
      </c>
      <c r="B176" s="50">
        <f t="shared" si="42"/>
        <v>8.5922222222434357</v>
      </c>
      <c r="C176">
        <v>2.17</v>
      </c>
      <c r="D176">
        <v>17.41</v>
      </c>
      <c r="E176" s="32">
        <f t="shared" si="43"/>
        <v>2.5311135175403944E-3</v>
      </c>
      <c r="F176" s="32">
        <f t="shared" si="44"/>
        <v>2.3324608561723373E-2</v>
      </c>
      <c r="G176" s="61"/>
      <c r="H176" s="40">
        <v>43297.733865740738</v>
      </c>
      <c r="I176" s="50">
        <f t="shared" si="45"/>
        <v>8.6127777777146548</v>
      </c>
      <c r="J176">
        <v>63154.93</v>
      </c>
      <c r="K176">
        <v>59630.26</v>
      </c>
      <c r="L176" s="32">
        <f t="shared" si="46"/>
        <v>178.17083242035488</v>
      </c>
      <c r="M176" s="32">
        <f t="shared" si="47"/>
        <v>193.2234167743629</v>
      </c>
      <c r="N176" s="61"/>
      <c r="O176" s="40">
        <v>43297.734722222223</v>
      </c>
      <c r="P176" s="50">
        <f t="shared" si="48"/>
        <v>8.6333333333604969</v>
      </c>
      <c r="Q176">
        <v>1033.3</v>
      </c>
      <c r="R176">
        <v>1089.8699999999999</v>
      </c>
      <c r="S176" s="32">
        <f t="shared" si="49"/>
        <v>0.99365336392879278</v>
      </c>
      <c r="T176" s="32">
        <f t="shared" si="50"/>
        <v>1.2037793238757895</v>
      </c>
      <c r="U176" s="61"/>
      <c r="V176" s="61"/>
      <c r="W176" s="40">
        <v>43297.741111111114</v>
      </c>
      <c r="X176" s="50">
        <f t="shared" si="51"/>
        <v>8.7866666667396203</v>
      </c>
      <c r="Y176">
        <v>0</v>
      </c>
      <c r="Z176">
        <v>0</v>
      </c>
      <c r="AA176" s="32">
        <f t="shared" si="52"/>
        <v>0</v>
      </c>
      <c r="AB176" s="32">
        <f t="shared" si="53"/>
        <v>0</v>
      </c>
      <c r="AC176" s="61"/>
      <c r="AD176" s="40">
        <v>43297.741967592592</v>
      </c>
      <c r="AE176" s="50">
        <f t="shared" si="54"/>
        <v>8.8072222222108394</v>
      </c>
      <c r="AF176">
        <v>596.97</v>
      </c>
      <c r="AG176">
        <v>674.05</v>
      </c>
      <c r="AH176" s="32">
        <f t="shared" si="55"/>
        <v>0.80422754521718076</v>
      </c>
      <c r="AI176" s="32">
        <f t="shared" si="56"/>
        <v>1.0429950654345275</v>
      </c>
      <c r="AJ176" s="61"/>
      <c r="AK176" s="40">
        <v>43297.742824074077</v>
      </c>
      <c r="AL176" s="50">
        <f t="shared" si="57"/>
        <v>8.8277777778566815</v>
      </c>
      <c r="AM176">
        <v>79.209999999999994</v>
      </c>
      <c r="AN176">
        <v>87.13</v>
      </c>
      <c r="AO176" s="32">
        <f t="shared" si="58"/>
        <v>0.1067103269119937</v>
      </c>
      <c r="AP176" s="32">
        <f t="shared" si="59"/>
        <v>0.13482109643395948</v>
      </c>
      <c r="AQ176" s="61"/>
      <c r="AR176" s="61"/>
      <c r="AS176" s="61"/>
      <c r="AT176" s="61"/>
      <c r="AU176" s="61"/>
    </row>
    <row r="177" spans="1:47" x14ac:dyDescent="0.2">
      <c r="A177" s="40">
        <v>43297.749363425923</v>
      </c>
      <c r="B177" s="50">
        <f t="shared" si="42"/>
        <v>8.9847222221433185</v>
      </c>
      <c r="C177">
        <v>5.17</v>
      </c>
      <c r="D177">
        <v>11.35</v>
      </c>
      <c r="E177" s="32">
        <f t="shared" si="43"/>
        <v>6.0303487952460093E-3</v>
      </c>
      <c r="F177" s="32">
        <f t="shared" si="44"/>
        <v>1.5205876345523279E-2</v>
      </c>
      <c r="G177" s="61"/>
      <c r="H177" s="40">
        <v>43297.750219907408</v>
      </c>
      <c r="I177" s="50">
        <f t="shared" si="45"/>
        <v>9.0052777777891606</v>
      </c>
      <c r="J177">
        <v>63060.62</v>
      </c>
      <c r="K177">
        <v>59650.85</v>
      </c>
      <c r="L177" s="32">
        <f t="shared" si="46"/>
        <v>177.90476782008437</v>
      </c>
      <c r="M177" s="32">
        <f t="shared" si="47"/>
        <v>193.2901357548165</v>
      </c>
      <c r="N177" s="61"/>
      <c r="O177" s="40">
        <v>43297.751076388886</v>
      </c>
      <c r="P177" s="50">
        <f t="shared" si="48"/>
        <v>9.0258333332603797</v>
      </c>
      <c r="Q177">
        <v>1128.76</v>
      </c>
      <c r="R177">
        <v>1080.49</v>
      </c>
      <c r="S177" s="32">
        <f t="shared" si="49"/>
        <v>1.0854506639584478</v>
      </c>
      <c r="T177" s="32">
        <f t="shared" si="50"/>
        <v>1.193418959742494</v>
      </c>
      <c r="U177" s="61"/>
      <c r="V177" s="61"/>
      <c r="W177" s="40">
        <v>43297.757615740738</v>
      </c>
      <c r="X177" s="50">
        <f t="shared" si="51"/>
        <v>9.1827777777216397</v>
      </c>
      <c r="Y177">
        <v>0</v>
      </c>
      <c r="Z177">
        <v>0</v>
      </c>
      <c r="AA177" s="32">
        <f t="shared" si="52"/>
        <v>0</v>
      </c>
      <c r="AB177" s="32">
        <f t="shared" si="53"/>
        <v>0</v>
      </c>
      <c r="AC177" s="61"/>
      <c r="AD177" s="40">
        <v>43297.758460648147</v>
      </c>
      <c r="AE177" s="50">
        <f t="shared" si="54"/>
        <v>9.2030555555247702</v>
      </c>
      <c r="AF177">
        <v>551.49</v>
      </c>
      <c r="AG177">
        <v>690.11</v>
      </c>
      <c r="AH177" s="32">
        <f t="shared" si="55"/>
        <v>0.74295768449306165</v>
      </c>
      <c r="AI177" s="32">
        <f t="shared" si="56"/>
        <v>1.0678455969245928</v>
      </c>
      <c r="AJ177" s="61"/>
      <c r="AK177" s="40">
        <v>43297.759317129632</v>
      </c>
      <c r="AL177" s="50">
        <f t="shared" si="57"/>
        <v>9.2236111111706123</v>
      </c>
      <c r="AM177">
        <v>81.72</v>
      </c>
      <c r="AN177">
        <v>111.19</v>
      </c>
      <c r="AO177" s="32">
        <f t="shared" si="58"/>
        <v>0.11009175502143827</v>
      </c>
      <c r="AP177" s="32">
        <f t="shared" si="59"/>
        <v>0.17205047300002244</v>
      </c>
      <c r="AQ177" s="61"/>
      <c r="AR177" s="61"/>
      <c r="AS177" s="61"/>
      <c r="AT177" s="61"/>
      <c r="AU177" s="61"/>
    </row>
    <row r="178" spans="1:47" x14ac:dyDescent="0.2">
      <c r="A178" s="40">
        <v>43297.765856481485</v>
      </c>
      <c r="B178" s="50">
        <f t="shared" si="42"/>
        <v>9.3805555556318723</v>
      </c>
      <c r="C178">
        <v>7.17</v>
      </c>
      <c r="D178">
        <v>18.55</v>
      </c>
      <c r="E178" s="32">
        <f t="shared" si="43"/>
        <v>8.3631723137164212E-3</v>
      </c>
      <c r="F178" s="32">
        <f t="shared" si="44"/>
        <v>2.485189482021646E-2</v>
      </c>
      <c r="G178" s="61"/>
      <c r="H178" s="40">
        <v>43297.766712962963</v>
      </c>
      <c r="I178" s="50">
        <f t="shared" si="45"/>
        <v>9.4011111111030914</v>
      </c>
      <c r="J178">
        <v>63226.19</v>
      </c>
      <c r="K178">
        <v>59355.8</v>
      </c>
      <c r="L178" s="32">
        <f t="shared" si="46"/>
        <v>178.3718690380548</v>
      </c>
      <c r="M178" s="32">
        <f t="shared" si="47"/>
        <v>192.3340679946009</v>
      </c>
      <c r="N178" s="61"/>
      <c r="O178" s="40">
        <v>43297.767569444448</v>
      </c>
      <c r="P178" s="50">
        <f t="shared" si="48"/>
        <v>9.4216666667489335</v>
      </c>
      <c r="Q178">
        <v>1146.4100000000001</v>
      </c>
      <c r="R178">
        <v>1002.21</v>
      </c>
      <c r="S178" s="32">
        <f t="shared" si="49"/>
        <v>1.1024234519903295</v>
      </c>
      <c r="T178" s="32">
        <f t="shared" si="50"/>
        <v>1.1069574134360567</v>
      </c>
      <c r="U178" s="61"/>
      <c r="V178" s="61"/>
      <c r="W178" s="40">
        <v>43297.77412037037</v>
      </c>
      <c r="X178" s="50">
        <f t="shared" si="51"/>
        <v>9.5788888888782822</v>
      </c>
      <c r="Y178">
        <v>0</v>
      </c>
      <c r="Z178">
        <v>0</v>
      </c>
      <c r="AA178" s="32">
        <f t="shared" si="52"/>
        <v>0</v>
      </c>
      <c r="AB178" s="32">
        <f t="shared" si="53"/>
        <v>0</v>
      </c>
      <c r="AC178" s="61"/>
      <c r="AD178" s="40">
        <v>43297.774976851855</v>
      </c>
      <c r="AE178" s="50">
        <f t="shared" si="54"/>
        <v>9.5994444445241243</v>
      </c>
      <c r="AF178">
        <v>576.79999999999995</v>
      </c>
      <c r="AG178">
        <v>691.52</v>
      </c>
      <c r="AH178" s="32">
        <f t="shared" si="55"/>
        <v>0.77705487391538897</v>
      </c>
      <c r="AI178" s="32">
        <f t="shared" si="56"/>
        <v>1.0700273683692374</v>
      </c>
      <c r="AJ178" s="61"/>
      <c r="AK178" s="40">
        <v>43297.775833333333</v>
      </c>
      <c r="AL178" s="50">
        <f t="shared" si="57"/>
        <v>9.6199999999953434</v>
      </c>
      <c r="AM178">
        <v>75.209999999999994</v>
      </c>
      <c r="AN178">
        <v>99.77</v>
      </c>
      <c r="AO178" s="32">
        <f t="shared" si="58"/>
        <v>0.10132159685710196</v>
      </c>
      <c r="AP178" s="32">
        <f t="shared" si="59"/>
        <v>0.15437967165403577</v>
      </c>
      <c r="AQ178" s="61"/>
      <c r="AR178" s="61"/>
      <c r="AS178" s="61"/>
      <c r="AT178" s="61"/>
      <c r="AU178" s="61"/>
    </row>
    <row r="179" spans="1:47" x14ac:dyDescent="0.2">
      <c r="A179" s="40">
        <v>43297.782384259262</v>
      </c>
      <c r="B179" s="50">
        <f t="shared" si="42"/>
        <v>9.777222222299315</v>
      </c>
      <c r="C179">
        <v>4.17</v>
      </c>
      <c r="D179">
        <v>12.9</v>
      </c>
      <c r="E179" s="32">
        <f t="shared" si="43"/>
        <v>4.863937036010805E-3</v>
      </c>
      <c r="F179" s="32">
        <f t="shared" si="44"/>
        <v>1.7282449767158616E-2</v>
      </c>
      <c r="G179" s="61"/>
      <c r="H179" s="40">
        <v>43297.78324074074</v>
      </c>
      <c r="I179" s="50">
        <f t="shared" si="45"/>
        <v>9.7977777777705342</v>
      </c>
      <c r="J179">
        <v>62523.81</v>
      </c>
      <c r="K179">
        <v>59734.96</v>
      </c>
      <c r="L179" s="32">
        <f t="shared" si="46"/>
        <v>176.39033522469438</v>
      </c>
      <c r="M179" s="32">
        <f t="shared" si="47"/>
        <v>193.56268230391578</v>
      </c>
      <c r="N179" s="61"/>
      <c r="O179" s="40">
        <v>43297.784097222226</v>
      </c>
      <c r="P179" s="50">
        <f t="shared" si="48"/>
        <v>9.8183333334163763</v>
      </c>
      <c r="Q179">
        <v>1089.77</v>
      </c>
      <c r="R179">
        <v>1070.48</v>
      </c>
      <c r="S179" s="32">
        <f t="shared" si="49"/>
        <v>1.0479566693203142</v>
      </c>
      <c r="T179" s="32">
        <f t="shared" si="50"/>
        <v>1.182362750256962</v>
      </c>
      <c r="U179" s="61"/>
      <c r="V179" s="61"/>
      <c r="W179" s="40">
        <v>43297.790625000001</v>
      </c>
      <c r="X179" s="50">
        <f t="shared" si="51"/>
        <v>9.9750000000349246</v>
      </c>
      <c r="Y179">
        <v>0</v>
      </c>
      <c r="Z179">
        <v>0</v>
      </c>
      <c r="AA179" s="32">
        <f t="shared" si="52"/>
        <v>0</v>
      </c>
      <c r="AB179" s="32">
        <f t="shared" si="53"/>
        <v>0</v>
      </c>
      <c r="AC179" s="61"/>
      <c r="AD179" s="40">
        <v>43297.791481481479</v>
      </c>
      <c r="AE179" s="50">
        <f t="shared" si="54"/>
        <v>9.9955555555061437</v>
      </c>
      <c r="AF179">
        <v>599.51</v>
      </c>
      <c r="AG179">
        <v>693.07</v>
      </c>
      <c r="AH179" s="32">
        <f t="shared" si="55"/>
        <v>0.80764938880203696</v>
      </c>
      <c r="AI179" s="32">
        <f t="shared" si="56"/>
        <v>1.072425769602712</v>
      </c>
      <c r="AJ179" s="61"/>
      <c r="AK179" s="40">
        <v>43297.792337962965</v>
      </c>
      <c r="AL179" s="50">
        <f t="shared" si="57"/>
        <v>10.016111111151986</v>
      </c>
      <c r="AM179">
        <v>73.209999999999994</v>
      </c>
      <c r="AN179">
        <v>101.13</v>
      </c>
      <c r="AO179" s="32">
        <f t="shared" si="58"/>
        <v>9.862723182965609E-2</v>
      </c>
      <c r="AP179" s="32">
        <f t="shared" si="59"/>
        <v>0.15648407531695538</v>
      </c>
      <c r="AQ179" s="61"/>
      <c r="AR179" s="61"/>
      <c r="AS179" s="61"/>
      <c r="AT179" s="61"/>
      <c r="AU179" s="61"/>
    </row>
    <row r="180" spans="1:47" x14ac:dyDescent="0.2">
      <c r="A180" s="40">
        <v>43297.798888888887</v>
      </c>
      <c r="B180" s="50">
        <f t="shared" si="42"/>
        <v>10.173333333281334</v>
      </c>
      <c r="C180">
        <v>0</v>
      </c>
      <c r="D180">
        <v>2.76</v>
      </c>
      <c r="E180" s="32">
        <f t="shared" si="43"/>
        <v>0</v>
      </c>
      <c r="F180" s="32">
        <f t="shared" si="44"/>
        <v>3.6976404152990524E-3</v>
      </c>
      <c r="G180" s="61"/>
      <c r="H180" s="40">
        <v>43297.799745370372</v>
      </c>
      <c r="I180" s="50">
        <f t="shared" si="45"/>
        <v>10.193888888927177</v>
      </c>
      <c r="J180">
        <v>63188.21</v>
      </c>
      <c r="K180">
        <v>59871.72</v>
      </c>
      <c r="L180" s="32">
        <f t="shared" si="46"/>
        <v>178.2647209782703</v>
      </c>
      <c r="M180" s="32">
        <f t="shared" si="47"/>
        <v>194.005833725326</v>
      </c>
      <c r="N180" s="61"/>
      <c r="O180" s="40">
        <v>43297.80060185185</v>
      </c>
      <c r="P180" s="50">
        <f t="shared" si="48"/>
        <v>10.214444444398396</v>
      </c>
      <c r="Q180">
        <v>1076.75</v>
      </c>
      <c r="R180">
        <v>983.51</v>
      </c>
      <c r="S180" s="32">
        <f t="shared" si="49"/>
        <v>1.0354362330497704</v>
      </c>
      <c r="T180" s="32">
        <f t="shared" si="50"/>
        <v>1.0863029561553927</v>
      </c>
      <c r="U180" s="61"/>
      <c r="V180" s="61"/>
      <c r="W180" s="40">
        <v>43297.806990740741</v>
      </c>
      <c r="X180" s="50">
        <f t="shared" si="51"/>
        <v>10.367777777777519</v>
      </c>
      <c r="Y180">
        <v>0</v>
      </c>
      <c r="Z180">
        <v>7.07</v>
      </c>
      <c r="AA180" s="32">
        <f t="shared" si="52"/>
        <v>0</v>
      </c>
      <c r="AB180" s="32">
        <f t="shared" si="53"/>
        <v>1.093980433591293E-2</v>
      </c>
      <c r="AC180" s="61"/>
      <c r="AD180" s="40">
        <v>43297.807847222219</v>
      </c>
      <c r="AE180" s="50">
        <f t="shared" si="54"/>
        <v>10.388333333248738</v>
      </c>
      <c r="AF180">
        <v>552.79</v>
      </c>
      <c r="AG180">
        <v>690.51</v>
      </c>
      <c r="AH180" s="32">
        <f t="shared" si="55"/>
        <v>0.74470902176090137</v>
      </c>
      <c r="AI180" s="32">
        <f t="shared" si="56"/>
        <v>1.0684645391783927</v>
      </c>
      <c r="AJ180" s="61"/>
      <c r="AK180" s="40">
        <v>43297.808703703704</v>
      </c>
      <c r="AL180" s="50">
        <f t="shared" si="57"/>
        <v>10.40888888889458</v>
      </c>
      <c r="AM180">
        <v>76.180000000000007</v>
      </c>
      <c r="AN180">
        <v>115</v>
      </c>
      <c r="AO180" s="32">
        <f t="shared" si="58"/>
        <v>0.10262836389541322</v>
      </c>
      <c r="AP180" s="32">
        <f t="shared" si="59"/>
        <v>0.17794589796746629</v>
      </c>
      <c r="AQ180" s="61"/>
      <c r="AR180" s="61"/>
      <c r="AS180" s="61"/>
      <c r="AT180" s="61"/>
      <c r="AU180" s="61"/>
    </row>
    <row r="181" spans="1:47" x14ac:dyDescent="0.2">
      <c r="A181" s="40">
        <v>43297.815243055556</v>
      </c>
      <c r="B181" s="50">
        <f t="shared" si="42"/>
        <v>10.56583333335584</v>
      </c>
      <c r="C181">
        <v>0</v>
      </c>
      <c r="D181">
        <v>16.29</v>
      </c>
      <c r="E181" s="32">
        <f t="shared" si="43"/>
        <v>0</v>
      </c>
      <c r="F181" s="32">
        <f t="shared" si="44"/>
        <v>2.182411679899332E-2</v>
      </c>
      <c r="G181" s="61"/>
      <c r="H181" s="40">
        <v>43297.816099537034</v>
      </c>
      <c r="I181" s="50">
        <f t="shared" si="45"/>
        <v>10.586388888827059</v>
      </c>
      <c r="J181">
        <v>62774.28</v>
      </c>
      <c r="K181">
        <v>59298.9</v>
      </c>
      <c r="L181" s="32">
        <f t="shared" si="46"/>
        <v>177.09695382749115</v>
      </c>
      <c r="M181" s="32">
        <f t="shared" si="47"/>
        <v>192.149691598884</v>
      </c>
      <c r="N181" s="61"/>
      <c r="O181" s="40">
        <v>43297.81695601852</v>
      </c>
      <c r="P181" s="50">
        <f t="shared" si="48"/>
        <v>10.606944444472902</v>
      </c>
      <c r="Q181">
        <v>1137.44</v>
      </c>
      <c r="R181">
        <v>1037.1500000000001</v>
      </c>
      <c r="S181" s="32">
        <f t="shared" si="49"/>
        <v>1.0937976214721439</v>
      </c>
      <c r="T181" s="32">
        <f t="shared" si="50"/>
        <v>1.1455492175743669</v>
      </c>
      <c r="U181" s="61"/>
      <c r="V181" s="61"/>
      <c r="W181" s="40">
        <v>43297.823483796295</v>
      </c>
      <c r="X181" s="50">
        <f t="shared" si="51"/>
        <v>10.76361111109145</v>
      </c>
      <c r="Y181">
        <v>0</v>
      </c>
      <c r="Z181">
        <v>4.13</v>
      </c>
      <c r="AA181" s="32">
        <f t="shared" si="52"/>
        <v>0</v>
      </c>
      <c r="AB181" s="32">
        <f t="shared" si="53"/>
        <v>6.3905787704837905E-3</v>
      </c>
      <c r="AC181" s="61"/>
      <c r="AD181" s="40">
        <v>43297.824340277781</v>
      </c>
      <c r="AE181" s="50">
        <f t="shared" si="54"/>
        <v>10.784166666737292</v>
      </c>
      <c r="AF181">
        <v>583.5</v>
      </c>
      <c r="AG181">
        <v>694.46</v>
      </c>
      <c r="AH181" s="32">
        <f t="shared" si="55"/>
        <v>0.78608099675733278</v>
      </c>
      <c r="AI181" s="32">
        <f t="shared" si="56"/>
        <v>1.0745765939346665</v>
      </c>
      <c r="AJ181" s="61"/>
      <c r="AK181" s="40">
        <v>43297.825196759259</v>
      </c>
      <c r="AL181" s="50">
        <f t="shared" si="57"/>
        <v>10.804722222208511</v>
      </c>
      <c r="AM181">
        <v>68.2</v>
      </c>
      <c r="AN181">
        <v>96.94</v>
      </c>
      <c r="AO181" s="32">
        <f t="shared" si="58"/>
        <v>9.1877847435904186E-2</v>
      </c>
      <c r="AP181" s="32">
        <f t="shared" si="59"/>
        <v>0.15000065520840161</v>
      </c>
      <c r="AQ181" s="61"/>
      <c r="AR181" s="61"/>
      <c r="AS181" s="61"/>
      <c r="AT181" s="61"/>
      <c r="AU181" s="61"/>
    </row>
    <row r="182" spans="1:47" x14ac:dyDescent="0.2">
      <c r="A182" s="40">
        <v>43297.831736111111</v>
      </c>
      <c r="B182" s="50">
        <f t="shared" si="42"/>
        <v>10.961666666669771</v>
      </c>
      <c r="C182">
        <v>0.67</v>
      </c>
      <c r="D182">
        <v>18.55</v>
      </c>
      <c r="E182" s="32">
        <f t="shared" si="43"/>
        <v>7.8149587868758742E-4</v>
      </c>
      <c r="F182" s="32">
        <f t="shared" si="44"/>
        <v>2.485189482021646E-2</v>
      </c>
      <c r="G182" s="61"/>
      <c r="H182" s="40">
        <v>43297.832592592589</v>
      </c>
      <c r="I182" s="50">
        <f t="shared" si="45"/>
        <v>10.98222222214099</v>
      </c>
      <c r="J182">
        <v>62720.27</v>
      </c>
      <c r="K182">
        <v>59819.86</v>
      </c>
      <c r="L182" s="32">
        <f t="shared" si="46"/>
        <v>176.94458240282134</v>
      </c>
      <c r="M182" s="32">
        <f t="shared" si="47"/>
        <v>193.83778873618931</v>
      </c>
      <c r="N182" s="61"/>
      <c r="O182" s="40">
        <v>43297.833449074074</v>
      </c>
      <c r="P182" s="50">
        <f t="shared" si="48"/>
        <v>11.002777777786832</v>
      </c>
      <c r="Q182">
        <v>1081.3</v>
      </c>
      <c r="R182">
        <v>1040.71</v>
      </c>
      <c r="S182" s="32">
        <f t="shared" si="49"/>
        <v>1.039811654327111</v>
      </c>
      <c r="T182" s="32">
        <f t="shared" si="50"/>
        <v>1.1494812960727179</v>
      </c>
      <c r="U182" s="61"/>
      <c r="V182" s="61"/>
      <c r="W182" s="40">
        <v>43297.83997685185</v>
      </c>
      <c r="X182" s="50">
        <f t="shared" si="51"/>
        <v>11.159444444405381</v>
      </c>
      <c r="Y182">
        <v>0</v>
      </c>
      <c r="Z182">
        <v>0</v>
      </c>
      <c r="AA182" s="32">
        <f t="shared" si="52"/>
        <v>0</v>
      </c>
      <c r="AB182" s="32">
        <f t="shared" si="53"/>
        <v>0</v>
      </c>
      <c r="AC182" s="61"/>
      <c r="AD182" s="40">
        <v>43297.840833333335</v>
      </c>
      <c r="AE182" s="50">
        <f t="shared" si="54"/>
        <v>11.180000000051223</v>
      </c>
      <c r="AF182">
        <v>590</v>
      </c>
      <c r="AG182">
        <v>702.48</v>
      </c>
      <c r="AH182" s="32">
        <f t="shared" si="55"/>
        <v>0.79483768309653191</v>
      </c>
      <c r="AI182" s="32">
        <f t="shared" si="56"/>
        <v>1.0869863861233542</v>
      </c>
      <c r="AJ182" s="61"/>
      <c r="AK182" s="40">
        <v>43297.841689814813</v>
      </c>
      <c r="AL182" s="50">
        <f t="shared" si="57"/>
        <v>11.200555555522442</v>
      </c>
      <c r="AM182">
        <v>110.68</v>
      </c>
      <c r="AN182">
        <v>83.78</v>
      </c>
      <c r="AO182" s="32">
        <f t="shared" si="58"/>
        <v>0.14910616061885448</v>
      </c>
      <c r="AP182" s="32">
        <f t="shared" si="59"/>
        <v>0.12963745505838545</v>
      </c>
      <c r="AQ182" s="61"/>
      <c r="AR182" s="61"/>
      <c r="AS182" s="61"/>
      <c r="AT182" s="61"/>
      <c r="AU182" s="61"/>
    </row>
    <row r="183" spans="1:47" x14ac:dyDescent="0.2">
      <c r="A183" s="40">
        <v>43297.848229166666</v>
      </c>
      <c r="B183" s="50">
        <f t="shared" si="42"/>
        <v>11.357499999983702</v>
      </c>
      <c r="C183">
        <v>0</v>
      </c>
      <c r="D183">
        <v>2.76</v>
      </c>
      <c r="E183" s="32">
        <f t="shared" si="43"/>
        <v>0</v>
      </c>
      <c r="F183" s="32">
        <f t="shared" si="44"/>
        <v>3.6976404152990524E-3</v>
      </c>
      <c r="G183" s="61"/>
      <c r="H183" s="40">
        <v>43297.849085648151</v>
      </c>
      <c r="I183" s="50">
        <f t="shared" si="45"/>
        <v>11.378055555629544</v>
      </c>
      <c r="J183">
        <v>62894.06</v>
      </c>
      <c r="K183">
        <v>59244.61</v>
      </c>
      <c r="L183" s="32">
        <f t="shared" si="46"/>
        <v>177.43487364320958</v>
      </c>
      <c r="M183" s="32">
        <f t="shared" si="47"/>
        <v>191.97377253871755</v>
      </c>
      <c r="N183" s="61"/>
      <c r="O183" s="40">
        <v>43297.849942129629</v>
      </c>
      <c r="P183" s="50">
        <f t="shared" si="48"/>
        <v>11.398611111100763</v>
      </c>
      <c r="Q183">
        <v>1112.96</v>
      </c>
      <c r="R183">
        <v>1019.58</v>
      </c>
      <c r="S183" s="32">
        <f t="shared" si="49"/>
        <v>1.0702568933690015</v>
      </c>
      <c r="T183" s="32">
        <f t="shared" si="50"/>
        <v>1.1261428638619997</v>
      </c>
      <c r="U183" s="61"/>
      <c r="V183" s="61"/>
      <c r="W183" s="40">
        <v>43297.856469907405</v>
      </c>
      <c r="X183" s="50">
        <f t="shared" si="51"/>
        <v>11.555277777719311</v>
      </c>
      <c r="Y183">
        <v>0</v>
      </c>
      <c r="Z183">
        <v>0</v>
      </c>
      <c r="AA183" s="32">
        <f t="shared" si="52"/>
        <v>0</v>
      </c>
      <c r="AB183" s="32">
        <f t="shared" si="53"/>
        <v>0</v>
      </c>
      <c r="AC183" s="61"/>
      <c r="AD183" s="40">
        <v>43297.85732638889</v>
      </c>
      <c r="AE183" s="50">
        <f t="shared" si="54"/>
        <v>11.575833333365154</v>
      </c>
      <c r="AF183">
        <v>562.42999999999995</v>
      </c>
      <c r="AG183">
        <v>680.73</v>
      </c>
      <c r="AH183" s="32">
        <f t="shared" si="55"/>
        <v>0.75769586119319043</v>
      </c>
      <c r="AI183" s="32">
        <f t="shared" si="56"/>
        <v>1.0533314010729857</v>
      </c>
      <c r="AJ183" s="61"/>
      <c r="AK183" s="40">
        <v>43297.858182870368</v>
      </c>
      <c r="AL183" s="50">
        <f t="shared" si="57"/>
        <v>11.596388888836373</v>
      </c>
      <c r="AM183">
        <v>78.209999999999994</v>
      </c>
      <c r="AN183">
        <v>101.13</v>
      </c>
      <c r="AO183" s="32">
        <f t="shared" si="58"/>
        <v>0.10536314439827077</v>
      </c>
      <c r="AP183" s="32">
        <f t="shared" si="59"/>
        <v>0.15648407531695538</v>
      </c>
      <c r="AQ183" s="61"/>
      <c r="AR183" s="61"/>
      <c r="AS183" s="61"/>
      <c r="AT183" s="61"/>
      <c r="AU183" s="61"/>
    </row>
    <row r="184" spans="1:47" x14ac:dyDescent="0.2">
      <c r="A184" s="40">
        <v>43297.864722222221</v>
      </c>
      <c r="B184" s="50">
        <f t="shared" si="42"/>
        <v>11.753333333297633</v>
      </c>
      <c r="C184">
        <v>0</v>
      </c>
      <c r="D184">
        <v>12.91</v>
      </c>
      <c r="E184" s="32">
        <f t="shared" si="43"/>
        <v>0</v>
      </c>
      <c r="F184" s="32">
        <f t="shared" si="44"/>
        <v>1.7295847015040135E-2</v>
      </c>
      <c r="G184" s="61"/>
      <c r="H184" s="40">
        <v>43297.865578703706</v>
      </c>
      <c r="I184" s="50">
        <f t="shared" si="45"/>
        <v>11.773888888943475</v>
      </c>
      <c r="J184">
        <v>62772.21</v>
      </c>
      <c r="K184">
        <v>59069.7</v>
      </c>
      <c r="L184" s="32">
        <f t="shared" si="46"/>
        <v>177.09111400432755</v>
      </c>
      <c r="M184" s="32">
        <f t="shared" si="47"/>
        <v>191.40700144249888</v>
      </c>
      <c r="N184" s="61"/>
      <c r="O184" s="40">
        <v>43297.866435185184</v>
      </c>
      <c r="P184" s="50">
        <f t="shared" si="48"/>
        <v>11.794444444414694</v>
      </c>
      <c r="Q184">
        <v>1099.29</v>
      </c>
      <c r="R184">
        <v>982.61</v>
      </c>
      <c r="S184" s="32">
        <f t="shared" si="49"/>
        <v>1.0571113969159804</v>
      </c>
      <c r="T184" s="32">
        <f t="shared" si="50"/>
        <v>1.0853088913664837</v>
      </c>
      <c r="U184" s="61"/>
      <c r="V184" s="61"/>
      <c r="W184" s="40">
        <v>43297.87296296296</v>
      </c>
      <c r="X184" s="50">
        <f t="shared" si="51"/>
        <v>11.951111111033242</v>
      </c>
      <c r="Y184">
        <v>0</v>
      </c>
      <c r="Z184">
        <v>3.05</v>
      </c>
      <c r="AA184" s="32">
        <f t="shared" si="52"/>
        <v>0</v>
      </c>
      <c r="AB184" s="32">
        <f t="shared" si="53"/>
        <v>4.7194346852241064E-3</v>
      </c>
      <c r="AC184" s="61"/>
      <c r="AD184" s="40">
        <v>43297.873819444445</v>
      </c>
      <c r="AE184" s="50">
        <f t="shared" si="54"/>
        <v>11.971666666679084</v>
      </c>
      <c r="AF184">
        <v>601.97</v>
      </c>
      <c r="AG184">
        <v>659.89</v>
      </c>
      <c r="AH184" s="32">
        <f t="shared" si="55"/>
        <v>0.81096345778579537</v>
      </c>
      <c r="AI184" s="32">
        <f t="shared" si="56"/>
        <v>1.0210845096500119</v>
      </c>
      <c r="AJ184" s="61"/>
      <c r="AK184" s="40">
        <v>43297.874675925923</v>
      </c>
      <c r="AL184" s="50">
        <f t="shared" si="57"/>
        <v>11.992222222150303</v>
      </c>
      <c r="AM184">
        <v>89.74</v>
      </c>
      <c r="AN184">
        <v>87.4</v>
      </c>
      <c r="AO184" s="32">
        <f t="shared" si="58"/>
        <v>0.1208961587814962</v>
      </c>
      <c r="AP184" s="32">
        <f t="shared" si="59"/>
        <v>0.13523888245527441</v>
      </c>
      <c r="AQ184" s="61"/>
      <c r="AR184" s="61"/>
      <c r="AS184" s="61"/>
      <c r="AT184" s="61"/>
      <c r="AU184" s="61"/>
    </row>
    <row r="185" spans="1:47" x14ac:dyDescent="0.2">
      <c r="A185" s="40">
        <v>43297.881215277775</v>
      </c>
      <c r="B185" s="50">
        <f t="shared" si="42"/>
        <v>12.149166666611563</v>
      </c>
      <c r="C185">
        <v>0</v>
      </c>
      <c r="D185">
        <v>19.95</v>
      </c>
      <c r="E185" s="32">
        <f t="shared" si="43"/>
        <v>0</v>
      </c>
      <c r="F185" s="32">
        <f t="shared" si="44"/>
        <v>2.6727509523629022E-2</v>
      </c>
      <c r="G185" s="61"/>
      <c r="H185" s="40">
        <v>43297.882071759261</v>
      </c>
      <c r="I185" s="50">
        <f t="shared" si="45"/>
        <v>12.169722222257406</v>
      </c>
      <c r="J185">
        <v>62724.57</v>
      </c>
      <c r="K185">
        <v>59066.02</v>
      </c>
      <c r="L185" s="32">
        <f t="shared" si="46"/>
        <v>176.95671343644622</v>
      </c>
      <c r="M185" s="32">
        <f t="shared" si="47"/>
        <v>191.39507692340857</v>
      </c>
      <c r="N185" s="61"/>
      <c r="O185" s="40">
        <v>43297.882916666669</v>
      </c>
      <c r="P185" s="50">
        <f t="shared" si="48"/>
        <v>12.190000000060536</v>
      </c>
      <c r="Q185">
        <v>1099.43</v>
      </c>
      <c r="R185">
        <v>1026.73</v>
      </c>
      <c r="S185" s="32">
        <f t="shared" si="49"/>
        <v>1.0572460252629756</v>
      </c>
      <c r="T185" s="32">
        <f t="shared" si="50"/>
        <v>1.1340401563516653</v>
      </c>
      <c r="U185" s="61"/>
      <c r="V185" s="61"/>
      <c r="W185" s="40">
        <v>43297.889456018522</v>
      </c>
      <c r="X185" s="50">
        <f t="shared" si="51"/>
        <v>12.346944444521796</v>
      </c>
      <c r="Y185">
        <v>0</v>
      </c>
      <c r="Z185">
        <v>0</v>
      </c>
      <c r="AA185" s="32">
        <f t="shared" si="52"/>
        <v>0</v>
      </c>
      <c r="AB185" s="32">
        <f t="shared" si="53"/>
        <v>0</v>
      </c>
      <c r="AC185" s="61"/>
      <c r="AD185" s="40">
        <v>43297.8903125</v>
      </c>
      <c r="AE185" s="50">
        <f t="shared" si="54"/>
        <v>12.367499999993015</v>
      </c>
      <c r="AF185">
        <v>647.79999999999995</v>
      </c>
      <c r="AG185">
        <v>649.77</v>
      </c>
      <c r="AH185" s="32">
        <f t="shared" si="55"/>
        <v>0.87270483238971741</v>
      </c>
      <c r="AI185" s="32">
        <f t="shared" si="56"/>
        <v>1.0054252706288747</v>
      </c>
      <c r="AJ185" s="61"/>
      <c r="AK185" s="40">
        <v>43297.891168981485</v>
      </c>
      <c r="AL185" s="50">
        <f t="shared" si="57"/>
        <v>12.388055555638857</v>
      </c>
      <c r="AM185">
        <v>74.22</v>
      </c>
      <c r="AN185">
        <v>94.4</v>
      </c>
      <c r="AO185" s="32">
        <f t="shared" si="58"/>
        <v>9.9987886168516255E-2</v>
      </c>
      <c r="AP185" s="32">
        <f t="shared" si="59"/>
        <v>0.14607037189677236</v>
      </c>
      <c r="AQ185" s="61"/>
      <c r="AR185" s="61"/>
      <c r="AS185" s="61"/>
      <c r="AT185" s="61"/>
      <c r="AU185" s="61"/>
    </row>
    <row r="186" spans="1:47" x14ac:dyDescent="0.2">
      <c r="A186" s="40">
        <v>43297.897719907407</v>
      </c>
      <c r="B186" s="50">
        <f t="shared" si="42"/>
        <v>12.545277777768206</v>
      </c>
      <c r="C186">
        <v>6.17</v>
      </c>
      <c r="D186">
        <v>15.17</v>
      </c>
      <c r="E186" s="32">
        <f t="shared" si="43"/>
        <v>7.1967605544812152E-3</v>
      </c>
      <c r="F186" s="32">
        <f t="shared" si="44"/>
        <v>2.0323625036263272E-2</v>
      </c>
      <c r="G186" s="61"/>
      <c r="H186" s="40">
        <v>43297.898576388892</v>
      </c>
      <c r="I186" s="50">
        <f t="shared" si="45"/>
        <v>12.565833333414048</v>
      </c>
      <c r="J186">
        <v>62736.56</v>
      </c>
      <c r="K186">
        <v>58818.15</v>
      </c>
      <c r="L186" s="32">
        <f t="shared" si="46"/>
        <v>176.99053927206538</v>
      </c>
      <c r="M186" s="32">
        <f t="shared" si="47"/>
        <v>190.5918892747909</v>
      </c>
      <c r="N186" s="61"/>
      <c r="O186" s="40">
        <v>43297.89943287037</v>
      </c>
      <c r="P186" s="50">
        <f t="shared" si="48"/>
        <v>12.586388888885267</v>
      </c>
      <c r="Q186">
        <v>1096.25</v>
      </c>
      <c r="R186">
        <v>1094.51</v>
      </c>
      <c r="S186" s="32">
        <f t="shared" si="49"/>
        <v>1.0541880385240869</v>
      </c>
      <c r="T186" s="32">
        <f t="shared" si="50"/>
        <v>1.2089042801208314</v>
      </c>
      <c r="U186" s="61"/>
      <c r="V186" s="61"/>
      <c r="W186" s="40">
        <v>43297.905960648146</v>
      </c>
      <c r="X186" s="50">
        <f t="shared" si="51"/>
        <v>12.743055555503815</v>
      </c>
      <c r="Y186">
        <v>0</v>
      </c>
      <c r="Z186">
        <v>4.6500000000000004</v>
      </c>
      <c r="AA186" s="32">
        <f t="shared" si="52"/>
        <v>0</v>
      </c>
      <c r="AB186" s="32">
        <f t="shared" si="53"/>
        <v>7.1952037004236391E-3</v>
      </c>
      <c r="AC186" s="61"/>
      <c r="AD186" s="40">
        <v>43297.906817129631</v>
      </c>
      <c r="AE186" s="50">
        <f t="shared" si="54"/>
        <v>12.763611111149658</v>
      </c>
      <c r="AF186">
        <v>589.94000000000005</v>
      </c>
      <c r="AG186">
        <v>733.52</v>
      </c>
      <c r="AH186" s="32">
        <f t="shared" si="55"/>
        <v>0.79475685214570846</v>
      </c>
      <c r="AI186" s="32">
        <f t="shared" si="56"/>
        <v>1.1350163050182251</v>
      </c>
      <c r="AJ186" s="61"/>
      <c r="AK186" s="40">
        <v>43297.907673611109</v>
      </c>
      <c r="AL186" s="50">
        <f t="shared" si="57"/>
        <v>12.784166666620877</v>
      </c>
      <c r="AM186">
        <v>69.209999999999994</v>
      </c>
      <c r="AN186">
        <v>112.59</v>
      </c>
      <c r="AO186" s="32">
        <f t="shared" si="58"/>
        <v>9.3238501774764337E-2</v>
      </c>
      <c r="AP186" s="32">
        <f t="shared" si="59"/>
        <v>0.17421677088832202</v>
      </c>
      <c r="AQ186" s="61"/>
      <c r="AR186" s="61"/>
      <c r="AS186" s="61"/>
      <c r="AT186" s="61"/>
      <c r="AU186" s="61"/>
    </row>
    <row r="187" spans="1:47" x14ac:dyDescent="0.2">
      <c r="A187" s="40">
        <v>43297.914212962962</v>
      </c>
      <c r="B187" s="50">
        <f t="shared" si="42"/>
        <v>12.941111111082137</v>
      </c>
      <c r="C187">
        <v>1.17</v>
      </c>
      <c r="D187">
        <v>21.93</v>
      </c>
      <c r="E187" s="32">
        <f t="shared" si="43"/>
        <v>1.3647017583051898E-3</v>
      </c>
      <c r="F187" s="32">
        <f t="shared" si="44"/>
        <v>2.9380164604169649E-2</v>
      </c>
      <c r="G187" s="61"/>
      <c r="H187" s="40">
        <v>43297.915069444447</v>
      </c>
      <c r="I187" s="50">
        <f t="shared" si="45"/>
        <v>12.961666666727979</v>
      </c>
      <c r="J187">
        <v>62351.93</v>
      </c>
      <c r="K187">
        <v>59003.81</v>
      </c>
      <c r="L187" s="32">
        <f t="shared" si="46"/>
        <v>175.90543242017208</v>
      </c>
      <c r="M187" s="32">
        <f t="shared" si="47"/>
        <v>191.19349422433041</v>
      </c>
      <c r="N187" s="61"/>
      <c r="O187" s="40">
        <v>43297.915914351855</v>
      </c>
      <c r="P187" s="50">
        <f t="shared" si="48"/>
        <v>12.981944444531109</v>
      </c>
      <c r="Q187">
        <v>1060.47</v>
      </c>
      <c r="R187">
        <v>1049.93</v>
      </c>
      <c r="S187" s="32">
        <f t="shared" si="49"/>
        <v>1.0197808795563408</v>
      </c>
      <c r="T187" s="32">
        <f t="shared" si="50"/>
        <v>1.1596649375768742</v>
      </c>
      <c r="U187" s="61"/>
      <c r="V187" s="61"/>
      <c r="W187" s="40">
        <v>43297.922453703701</v>
      </c>
      <c r="X187" s="50">
        <f t="shared" si="51"/>
        <v>13.138888888817746</v>
      </c>
      <c r="Y187">
        <v>0</v>
      </c>
      <c r="Z187">
        <v>7.35</v>
      </c>
      <c r="AA187" s="32">
        <f t="shared" si="52"/>
        <v>0</v>
      </c>
      <c r="AB187" s="32">
        <f t="shared" si="53"/>
        <v>1.1373063913572847E-2</v>
      </c>
      <c r="AC187" s="61"/>
      <c r="AD187" s="40">
        <v>43297.923310185186</v>
      </c>
      <c r="AE187" s="50">
        <f t="shared" si="54"/>
        <v>13.159444444463588</v>
      </c>
      <c r="AF187">
        <v>635.30999999999995</v>
      </c>
      <c r="AG187">
        <v>691.52</v>
      </c>
      <c r="AH187" s="32">
        <f t="shared" si="55"/>
        <v>0.85587852279331789</v>
      </c>
      <c r="AI187" s="32">
        <f t="shared" si="56"/>
        <v>1.0700273683692374</v>
      </c>
      <c r="AJ187" s="61"/>
      <c r="AK187" s="40">
        <v>43297.924166666664</v>
      </c>
      <c r="AL187" s="50">
        <f t="shared" si="57"/>
        <v>13.179999999934807</v>
      </c>
      <c r="AM187">
        <v>91.21</v>
      </c>
      <c r="AN187">
        <v>91.56</v>
      </c>
      <c r="AO187" s="32">
        <f t="shared" si="58"/>
        <v>0.12287651707666893</v>
      </c>
      <c r="AP187" s="32">
        <f t="shared" si="59"/>
        <v>0.14167588189479319</v>
      </c>
      <c r="AQ187" s="61"/>
      <c r="AR187" s="61"/>
      <c r="AS187" s="61"/>
      <c r="AT187" s="61"/>
      <c r="AU187" s="61"/>
    </row>
    <row r="188" spans="1:47" x14ac:dyDescent="0.2">
      <c r="A188" s="40">
        <v>43297.930706018517</v>
      </c>
      <c r="B188" s="50">
        <f t="shared" si="42"/>
        <v>13.336944444396067</v>
      </c>
      <c r="C188">
        <v>0</v>
      </c>
      <c r="D188">
        <v>2.76</v>
      </c>
      <c r="E188" s="32">
        <f t="shared" si="43"/>
        <v>0</v>
      </c>
      <c r="F188" s="32">
        <f t="shared" si="44"/>
        <v>3.6976404152990524E-3</v>
      </c>
      <c r="G188" s="61"/>
      <c r="H188" s="40">
        <v>43297.931562500002</v>
      </c>
      <c r="I188" s="50">
        <f t="shared" si="45"/>
        <v>13.35750000004191</v>
      </c>
      <c r="J188">
        <v>62437.19</v>
      </c>
      <c r="K188">
        <v>58797.54</v>
      </c>
      <c r="L188" s="32">
        <f t="shared" si="46"/>
        <v>176.14596542641814</v>
      </c>
      <c r="M188" s="32">
        <f t="shared" si="47"/>
        <v>190.52510548716833</v>
      </c>
      <c r="N188" s="61"/>
      <c r="O188" s="40">
        <v>43297.93240740741</v>
      </c>
      <c r="P188" s="50">
        <f t="shared" si="48"/>
        <v>13.37777777784504</v>
      </c>
      <c r="Q188">
        <v>1108.5899999999999</v>
      </c>
      <c r="R188">
        <v>1018.16</v>
      </c>
      <c r="S188" s="32">
        <f t="shared" si="49"/>
        <v>1.0660545656806546</v>
      </c>
      <c r="T188" s="32">
        <f t="shared" si="50"/>
        <v>1.1245744505283877</v>
      </c>
      <c r="U188" s="61"/>
      <c r="V188" s="61"/>
      <c r="W188" s="40">
        <v>43297.938958333332</v>
      </c>
      <c r="X188" s="50">
        <f t="shared" si="51"/>
        <v>13.534999999974389</v>
      </c>
      <c r="Y188">
        <v>0</v>
      </c>
      <c r="Z188">
        <v>3.3</v>
      </c>
      <c r="AA188" s="32">
        <f t="shared" si="52"/>
        <v>0</v>
      </c>
      <c r="AB188" s="32">
        <f t="shared" si="53"/>
        <v>5.106273593849033E-3</v>
      </c>
      <c r="AC188" s="61"/>
      <c r="AD188" s="40">
        <v>43297.939814814818</v>
      </c>
      <c r="AE188" s="50">
        <f t="shared" si="54"/>
        <v>13.555555555620231</v>
      </c>
      <c r="AF188">
        <v>615.78</v>
      </c>
      <c r="AG188">
        <v>683.98</v>
      </c>
      <c r="AH188" s="32">
        <f t="shared" si="55"/>
        <v>0.82956804830030906</v>
      </c>
      <c r="AI188" s="32">
        <f t="shared" si="56"/>
        <v>1.0583603068851097</v>
      </c>
      <c r="AJ188" s="61"/>
      <c r="AK188" s="40">
        <v>43297.940659722219</v>
      </c>
      <c r="AL188" s="50">
        <f t="shared" si="57"/>
        <v>13.575833333248738</v>
      </c>
      <c r="AM188">
        <v>89.7</v>
      </c>
      <c r="AN188">
        <v>101.38</v>
      </c>
      <c r="AO188" s="32">
        <f t="shared" si="58"/>
        <v>0.1208422714809473</v>
      </c>
      <c r="AP188" s="32">
        <f t="shared" si="59"/>
        <v>0.1568709142255803</v>
      </c>
      <c r="AQ188" s="61"/>
      <c r="AR188" s="61"/>
      <c r="AS188" s="61"/>
      <c r="AT188" s="61"/>
      <c r="AU188" s="61"/>
    </row>
    <row r="189" spans="1:47" x14ac:dyDescent="0.2">
      <c r="A189" s="40">
        <v>43297.947210648148</v>
      </c>
      <c r="B189" s="50">
        <f t="shared" si="42"/>
        <v>13.73305555555271</v>
      </c>
      <c r="C189">
        <v>6.16</v>
      </c>
      <c r="D189">
        <v>15.16</v>
      </c>
      <c r="E189" s="32">
        <f t="shared" si="43"/>
        <v>7.185096436888863E-3</v>
      </c>
      <c r="F189" s="32">
        <f t="shared" si="44"/>
        <v>2.0310227788381752E-2</v>
      </c>
      <c r="G189" s="61"/>
      <c r="H189" s="40">
        <v>43297.948067129626</v>
      </c>
      <c r="I189" s="50">
        <f t="shared" si="45"/>
        <v>13.753611111023929</v>
      </c>
      <c r="J189">
        <v>61739.53</v>
      </c>
      <c r="K189">
        <v>58692.800000000003</v>
      </c>
      <c r="L189" s="32">
        <f t="shared" si="46"/>
        <v>174.17774753833902</v>
      </c>
      <c r="M189" s="32">
        <f t="shared" si="47"/>
        <v>190.18571034327752</v>
      </c>
      <c r="N189" s="61"/>
      <c r="O189" s="40">
        <v>43297.948912037034</v>
      </c>
      <c r="P189" s="50">
        <f t="shared" si="48"/>
        <v>13.773888888827059</v>
      </c>
      <c r="Q189">
        <v>1084.06</v>
      </c>
      <c r="R189">
        <v>1028.8</v>
      </c>
      <c r="S189" s="32">
        <f t="shared" si="49"/>
        <v>1.0424657560250141</v>
      </c>
      <c r="T189" s="32">
        <f t="shared" si="50"/>
        <v>1.136326505366156</v>
      </c>
      <c r="U189" s="61"/>
      <c r="V189" s="61"/>
      <c r="W189" s="40">
        <v>43297.955451388887</v>
      </c>
      <c r="X189" s="50">
        <f t="shared" si="51"/>
        <v>13.930833333288319</v>
      </c>
      <c r="Y189">
        <v>0</v>
      </c>
      <c r="Z189">
        <v>4.6500000000000004</v>
      </c>
      <c r="AA189" s="32">
        <f t="shared" si="52"/>
        <v>0</v>
      </c>
      <c r="AB189" s="32">
        <f t="shared" si="53"/>
        <v>7.1952037004236391E-3</v>
      </c>
      <c r="AC189" s="61"/>
      <c r="AD189" s="40">
        <v>43297.956307870372</v>
      </c>
      <c r="AE189" s="50">
        <f t="shared" si="54"/>
        <v>13.951388888934162</v>
      </c>
      <c r="AF189">
        <v>587.51</v>
      </c>
      <c r="AG189">
        <v>636.53</v>
      </c>
      <c r="AH189" s="32">
        <f t="shared" si="55"/>
        <v>0.79148319863736172</v>
      </c>
      <c r="AI189" s="32">
        <f t="shared" si="56"/>
        <v>0.98493828202809841</v>
      </c>
      <c r="AJ189" s="61"/>
      <c r="AK189" s="40">
        <v>43297.957152777781</v>
      </c>
      <c r="AL189" s="50">
        <f t="shared" si="57"/>
        <v>13.971666666737292</v>
      </c>
      <c r="AM189">
        <v>92.71</v>
      </c>
      <c r="AN189">
        <v>80.41</v>
      </c>
      <c r="AO189" s="32">
        <f t="shared" si="58"/>
        <v>0.12489729084725332</v>
      </c>
      <c r="AP189" s="32">
        <f t="shared" si="59"/>
        <v>0.12442286657012144</v>
      </c>
      <c r="AQ189" s="61"/>
      <c r="AR189" s="61"/>
      <c r="AS189" s="61"/>
      <c r="AT189" s="61"/>
      <c r="AU189" s="61"/>
    </row>
    <row r="190" spans="1:47" x14ac:dyDescent="0.2">
      <c r="A190" s="40">
        <v>43297.96371527778</v>
      </c>
      <c r="B190" s="50">
        <f t="shared" si="42"/>
        <v>14.129166666709352</v>
      </c>
      <c r="C190">
        <v>10.17</v>
      </c>
      <c r="D190">
        <v>7.27</v>
      </c>
      <c r="E190" s="32">
        <f t="shared" si="43"/>
        <v>1.1862407591422035E-2</v>
      </c>
      <c r="F190" s="32">
        <f t="shared" si="44"/>
        <v>9.739799209863809E-3</v>
      </c>
      <c r="G190" s="61"/>
      <c r="H190" s="40">
        <v>43297.964571759258</v>
      </c>
      <c r="I190" s="50">
        <f t="shared" si="45"/>
        <v>14.149722222180571</v>
      </c>
      <c r="J190">
        <v>62107.96</v>
      </c>
      <c r="K190">
        <v>59210.12</v>
      </c>
      <c r="L190" s="32">
        <f t="shared" si="46"/>
        <v>175.21715142634321</v>
      </c>
      <c r="M190" s="32">
        <f t="shared" si="47"/>
        <v>191.86201257583048</v>
      </c>
      <c r="N190" s="61"/>
      <c r="O190" s="40">
        <v>43297.965416666666</v>
      </c>
      <c r="P190" s="50">
        <f t="shared" si="48"/>
        <v>14.169999999983702</v>
      </c>
      <c r="Q190">
        <v>1080.83</v>
      </c>
      <c r="R190">
        <v>1028.77</v>
      </c>
      <c r="S190" s="32">
        <f t="shared" si="49"/>
        <v>1.0393596877336273</v>
      </c>
      <c r="T190" s="32">
        <f t="shared" si="50"/>
        <v>1.1362933698731923</v>
      </c>
      <c r="U190" s="61"/>
      <c r="V190" s="61"/>
      <c r="W190" s="40">
        <v>43297.971944444442</v>
      </c>
      <c r="X190" s="50">
        <f t="shared" si="51"/>
        <v>14.32666666660225</v>
      </c>
      <c r="Y190">
        <v>0</v>
      </c>
      <c r="Z190">
        <v>0</v>
      </c>
      <c r="AA190" s="32">
        <f t="shared" si="52"/>
        <v>0</v>
      </c>
      <c r="AB190" s="32">
        <f t="shared" si="53"/>
        <v>0</v>
      </c>
      <c r="AC190" s="61"/>
      <c r="AD190" s="40">
        <v>43297.972800925927</v>
      </c>
      <c r="AE190" s="50">
        <f t="shared" si="54"/>
        <v>14.347222222248092</v>
      </c>
      <c r="AF190">
        <v>589.5</v>
      </c>
      <c r="AG190">
        <v>705.27</v>
      </c>
      <c r="AH190" s="32">
        <f t="shared" si="55"/>
        <v>0.79416409183967029</v>
      </c>
      <c r="AI190" s="32">
        <f t="shared" si="56"/>
        <v>1.0913035083436085</v>
      </c>
      <c r="AJ190" s="61"/>
      <c r="AK190" s="40">
        <v>43297.973657407405</v>
      </c>
      <c r="AL190" s="50">
        <f t="shared" si="57"/>
        <v>14.367777777719311</v>
      </c>
      <c r="AM190">
        <v>66.7</v>
      </c>
      <c r="AN190">
        <v>102.77</v>
      </c>
      <c r="AO190" s="32">
        <f t="shared" si="58"/>
        <v>8.9857073665319781E-2</v>
      </c>
      <c r="AP190" s="32">
        <f t="shared" si="59"/>
        <v>0.1590217385575349</v>
      </c>
      <c r="AQ190" s="61"/>
      <c r="AR190" s="61"/>
      <c r="AS190" s="61"/>
      <c r="AT190" s="61"/>
      <c r="AU190" s="61"/>
    </row>
    <row r="191" spans="1:47" x14ac:dyDescent="0.2">
      <c r="A191" s="40">
        <v>43297.980196759258</v>
      </c>
      <c r="B191" s="50">
        <f t="shared" si="42"/>
        <v>14.524722222180571</v>
      </c>
      <c r="C191">
        <v>13.69</v>
      </c>
      <c r="D191">
        <v>10.66</v>
      </c>
      <c r="E191" s="32">
        <f t="shared" si="43"/>
        <v>1.5968176983929955E-2</v>
      </c>
      <c r="F191" s="32">
        <f t="shared" si="44"/>
        <v>1.4281466241698515E-2</v>
      </c>
      <c r="G191" s="61"/>
      <c r="H191" s="40">
        <v>43297.981053240743</v>
      </c>
      <c r="I191" s="50">
        <f t="shared" si="45"/>
        <v>14.545277777826414</v>
      </c>
      <c r="J191">
        <v>62042.38</v>
      </c>
      <c r="K191">
        <v>58748.03</v>
      </c>
      <c r="L191" s="32">
        <f t="shared" si="46"/>
        <v>175.03213905771059</v>
      </c>
      <c r="M191" s="32">
        <f t="shared" si="47"/>
        <v>190.36467534038547</v>
      </c>
      <c r="N191" s="61"/>
      <c r="O191" s="40">
        <v>43297.981909722221</v>
      </c>
      <c r="P191" s="50">
        <f t="shared" si="48"/>
        <v>14.565833333297633</v>
      </c>
      <c r="Q191">
        <v>1127.3800000000001</v>
      </c>
      <c r="R191">
        <v>1047.76</v>
      </c>
      <c r="S191" s="32">
        <f t="shared" si="49"/>
        <v>1.0841236131094962</v>
      </c>
      <c r="T191" s="32">
        <f t="shared" si="50"/>
        <v>1.1572681369191713</v>
      </c>
      <c r="U191" s="61"/>
      <c r="V191" s="61"/>
      <c r="W191" s="40">
        <v>43297.988437499997</v>
      </c>
      <c r="X191" s="50">
        <f t="shared" si="51"/>
        <v>14.722499999916181</v>
      </c>
      <c r="Y191">
        <v>0</v>
      </c>
      <c r="Z191">
        <v>3.3</v>
      </c>
      <c r="AA191" s="32">
        <f t="shared" si="52"/>
        <v>0</v>
      </c>
      <c r="AB191" s="32">
        <f t="shared" si="53"/>
        <v>5.106273593849033E-3</v>
      </c>
      <c r="AC191" s="61"/>
      <c r="AD191" s="40">
        <v>43297.989293981482</v>
      </c>
      <c r="AE191" s="50">
        <f t="shared" si="54"/>
        <v>14.743055555562023</v>
      </c>
      <c r="AF191">
        <v>551.97</v>
      </c>
      <c r="AG191">
        <v>694.22</v>
      </c>
      <c r="AH191" s="32">
        <f t="shared" si="55"/>
        <v>0.7436043320996486</v>
      </c>
      <c r="AI191" s="32">
        <f t="shared" si="56"/>
        <v>1.0742052285823867</v>
      </c>
      <c r="AJ191" s="61"/>
      <c r="AK191" s="40">
        <v>43297.99015046296</v>
      </c>
      <c r="AL191" s="50">
        <f t="shared" si="57"/>
        <v>14.763611111033242</v>
      </c>
      <c r="AM191">
        <v>80.22</v>
      </c>
      <c r="AN191">
        <v>87.4</v>
      </c>
      <c r="AO191" s="32">
        <f t="shared" si="58"/>
        <v>0.10807098125085386</v>
      </c>
      <c r="AP191" s="32">
        <f t="shared" si="59"/>
        <v>0.13523888245527441</v>
      </c>
      <c r="AQ191" s="61"/>
      <c r="AR191" s="61"/>
      <c r="AS191" s="61"/>
      <c r="AT191" s="61"/>
      <c r="AU191" s="61"/>
    </row>
    <row r="192" spans="1:47" x14ac:dyDescent="0.2">
      <c r="A192" s="40">
        <v>43297.996678240743</v>
      </c>
      <c r="B192" s="50">
        <f t="shared" si="42"/>
        <v>14.920277777826414</v>
      </c>
      <c r="C192">
        <v>0</v>
      </c>
      <c r="D192">
        <v>10.66</v>
      </c>
      <c r="E192" s="32">
        <f t="shared" si="43"/>
        <v>0</v>
      </c>
      <c r="F192" s="32">
        <f t="shared" si="44"/>
        <v>1.4281466241698515E-2</v>
      </c>
      <c r="G192" s="61"/>
      <c r="H192" s="40">
        <v>43297.997534722221</v>
      </c>
      <c r="I192" s="50">
        <f t="shared" si="45"/>
        <v>14.940833333297633</v>
      </c>
      <c r="J192">
        <v>62053.919999999998</v>
      </c>
      <c r="K192">
        <v>58699.66</v>
      </c>
      <c r="L192" s="32">
        <f t="shared" si="46"/>
        <v>175.06469536655504</v>
      </c>
      <c r="M192" s="32">
        <f t="shared" si="47"/>
        <v>190.20793920223392</v>
      </c>
      <c r="N192" s="61"/>
      <c r="O192" s="40">
        <v>43297.998379629629</v>
      </c>
      <c r="P192" s="50">
        <f t="shared" si="48"/>
        <v>14.961111111100763</v>
      </c>
      <c r="Q192">
        <v>1066.3399999999999</v>
      </c>
      <c r="R192">
        <v>1024.07</v>
      </c>
      <c r="S192" s="32">
        <f t="shared" si="49"/>
        <v>1.0254256538196349</v>
      </c>
      <c r="T192" s="32">
        <f t="shared" si="50"/>
        <v>1.1311021426422232</v>
      </c>
      <c r="U192" s="61"/>
      <c r="V192" s="61"/>
      <c r="W192" s="40">
        <v>43298.005011574074</v>
      </c>
      <c r="X192" s="50">
        <f t="shared" si="51"/>
        <v>15.120277777779847</v>
      </c>
      <c r="Y192">
        <v>0</v>
      </c>
      <c r="Z192">
        <v>1.96</v>
      </c>
      <c r="AA192" s="32">
        <f t="shared" si="52"/>
        <v>0</v>
      </c>
      <c r="AB192" s="32">
        <f t="shared" si="53"/>
        <v>3.0328170436194259E-3</v>
      </c>
      <c r="AC192" s="61"/>
      <c r="AD192" s="40">
        <v>43298.005868055552</v>
      </c>
      <c r="AE192" s="50">
        <f t="shared" si="54"/>
        <v>15.140833333251067</v>
      </c>
      <c r="AF192">
        <v>571.79999999999995</v>
      </c>
      <c r="AG192">
        <v>685.22</v>
      </c>
      <c r="AH192" s="32">
        <f t="shared" si="55"/>
        <v>0.77031896134677436</v>
      </c>
      <c r="AI192" s="32">
        <f t="shared" si="56"/>
        <v>1.0602790278718894</v>
      </c>
      <c r="AJ192" s="61"/>
      <c r="AK192" s="40">
        <v>43298.006712962961</v>
      </c>
      <c r="AL192" s="50">
        <f t="shared" si="57"/>
        <v>15.161111111054197</v>
      </c>
      <c r="AM192">
        <v>77.7</v>
      </c>
      <c r="AN192">
        <v>122.59</v>
      </c>
      <c r="AO192" s="32">
        <f t="shared" si="58"/>
        <v>0.10467608131627207</v>
      </c>
      <c r="AP192" s="32">
        <f t="shared" si="59"/>
        <v>0.18969032723331911</v>
      </c>
      <c r="AQ192" s="61"/>
      <c r="AR192" s="61"/>
      <c r="AS192" s="61"/>
      <c r="AT192" s="61"/>
      <c r="AU192" s="61"/>
    </row>
    <row r="193" spans="1:47" x14ac:dyDescent="0.2">
      <c r="A193" s="40">
        <v>43298.013136574074</v>
      </c>
      <c r="B193" s="50">
        <f t="shared" si="42"/>
        <v>15.315277777786832</v>
      </c>
      <c r="C193">
        <v>0</v>
      </c>
      <c r="D193">
        <v>8.4</v>
      </c>
      <c r="E193" s="32">
        <f t="shared" si="43"/>
        <v>0</v>
      </c>
      <c r="F193" s="32">
        <f t="shared" si="44"/>
        <v>1.1253688220475377E-2</v>
      </c>
      <c r="G193" s="61"/>
      <c r="H193" s="40">
        <v>43298.013981481483</v>
      </c>
      <c r="I193" s="50">
        <f t="shared" si="45"/>
        <v>15.335555555589963</v>
      </c>
      <c r="J193">
        <v>62471.199999999997</v>
      </c>
      <c r="K193">
        <v>58804.47</v>
      </c>
      <c r="L193" s="32">
        <f t="shared" si="46"/>
        <v>176.24191343887918</v>
      </c>
      <c r="M193" s="32">
        <f t="shared" si="47"/>
        <v>190.5475611712161</v>
      </c>
      <c r="N193" s="61"/>
      <c r="O193" s="40">
        <v>43298.014837962961</v>
      </c>
      <c r="P193" s="50">
        <f t="shared" si="48"/>
        <v>15.356111111061182</v>
      </c>
      <c r="Q193">
        <v>1080.05</v>
      </c>
      <c r="R193">
        <v>1012.52</v>
      </c>
      <c r="S193" s="32">
        <f t="shared" si="49"/>
        <v>1.0386096155146545</v>
      </c>
      <c r="T193" s="32">
        <f t="shared" si="50"/>
        <v>1.1183449778512249</v>
      </c>
      <c r="U193" s="61"/>
      <c r="V193" s="61"/>
      <c r="W193" s="40">
        <v>43298.02138888889</v>
      </c>
      <c r="X193" s="50">
        <f t="shared" si="51"/>
        <v>15.513333333365154</v>
      </c>
      <c r="Y193">
        <v>0</v>
      </c>
      <c r="Z193">
        <v>1.95</v>
      </c>
      <c r="AA193" s="32">
        <f t="shared" si="52"/>
        <v>0</v>
      </c>
      <c r="AB193" s="32">
        <f t="shared" si="53"/>
        <v>3.0173434872744287E-3</v>
      </c>
      <c r="AC193" s="61"/>
      <c r="AD193" s="40">
        <v>43298.022245370368</v>
      </c>
      <c r="AE193" s="50">
        <f t="shared" si="54"/>
        <v>15.533888888836373</v>
      </c>
      <c r="AF193">
        <v>573.98</v>
      </c>
      <c r="AG193">
        <v>658.89</v>
      </c>
      <c r="AH193" s="32">
        <f t="shared" si="55"/>
        <v>0.7732558192266904</v>
      </c>
      <c r="AI193" s="32">
        <f t="shared" si="56"/>
        <v>1.019537154015512</v>
      </c>
      <c r="AJ193" s="61"/>
      <c r="AK193" s="40">
        <v>43298.023090277777</v>
      </c>
      <c r="AL193" s="50">
        <f t="shared" si="57"/>
        <v>15.554166666639503</v>
      </c>
      <c r="AM193">
        <v>67.73</v>
      </c>
      <c r="AN193">
        <v>126.62</v>
      </c>
      <c r="AO193" s="32">
        <f t="shared" si="58"/>
        <v>9.1244671654454407E-2</v>
      </c>
      <c r="AP193" s="32">
        <f t="shared" si="59"/>
        <v>0.1959261704403529</v>
      </c>
      <c r="AQ193" s="61"/>
      <c r="AR193" s="61"/>
      <c r="AS193" s="61"/>
      <c r="AT193" s="61"/>
      <c r="AU193" s="61"/>
    </row>
    <row r="194" spans="1:47" x14ac:dyDescent="0.2">
      <c r="A194" s="40">
        <v>43298.029641203706</v>
      </c>
      <c r="B194" s="50">
        <f t="shared" si="42"/>
        <v>15.711388888943475</v>
      </c>
      <c r="C194">
        <v>0</v>
      </c>
      <c r="D194">
        <v>11.78</v>
      </c>
      <c r="E194" s="32">
        <f t="shared" si="43"/>
        <v>0</v>
      </c>
      <c r="F194" s="32">
        <f t="shared" si="44"/>
        <v>1.5781958004428564E-2</v>
      </c>
      <c r="G194" s="61"/>
      <c r="H194" s="40">
        <v>43298.030486111114</v>
      </c>
      <c r="I194" s="50">
        <f t="shared" si="45"/>
        <v>15.731666666746605</v>
      </c>
      <c r="J194">
        <v>61816.83</v>
      </c>
      <c r="K194">
        <v>58812.56</v>
      </c>
      <c r="L194" s="32">
        <f t="shared" si="46"/>
        <v>174.39582402652601</v>
      </c>
      <c r="M194" s="32">
        <f t="shared" si="47"/>
        <v>190.57377567106406</v>
      </c>
      <c r="N194" s="61"/>
      <c r="O194" s="40">
        <v>43298.031342592592</v>
      </c>
      <c r="P194" s="50">
        <f t="shared" si="48"/>
        <v>15.752222222217824</v>
      </c>
      <c r="Q194">
        <v>1116.98</v>
      </c>
      <c r="R194">
        <v>1077.1099999999999</v>
      </c>
      <c r="S194" s="32">
        <f t="shared" si="49"/>
        <v>1.0741226501898606</v>
      </c>
      <c r="T194" s="32">
        <f t="shared" si="50"/>
        <v>1.1896856942019247</v>
      </c>
      <c r="U194" s="61"/>
      <c r="V194" s="61"/>
      <c r="W194" s="40">
        <v>43298.037881944445</v>
      </c>
      <c r="X194" s="50">
        <f t="shared" si="51"/>
        <v>15.909166666679084</v>
      </c>
      <c r="Y194">
        <v>0</v>
      </c>
      <c r="Z194">
        <v>8.44</v>
      </c>
      <c r="AA194" s="32">
        <f t="shared" si="52"/>
        <v>0</v>
      </c>
      <c r="AB194" s="32">
        <f t="shared" si="53"/>
        <v>1.3059681555177527E-2</v>
      </c>
      <c r="AC194" s="61"/>
      <c r="AD194" s="40">
        <v>43298.038738425923</v>
      </c>
      <c r="AE194" s="50">
        <f t="shared" si="54"/>
        <v>15.929722222150303</v>
      </c>
      <c r="AF194">
        <v>578.85</v>
      </c>
      <c r="AG194">
        <v>644.66999999999996</v>
      </c>
      <c r="AH194" s="32">
        <f t="shared" si="55"/>
        <v>0.77981659806852111</v>
      </c>
      <c r="AI194" s="32">
        <f t="shared" si="56"/>
        <v>0.99753375689292612</v>
      </c>
      <c r="AJ194" s="61"/>
      <c r="AK194" s="40">
        <v>43298.039594907408</v>
      </c>
      <c r="AL194" s="50">
        <f t="shared" si="57"/>
        <v>15.950277777796146</v>
      </c>
      <c r="AM194">
        <v>67.72</v>
      </c>
      <c r="AN194">
        <v>97.21</v>
      </c>
      <c r="AO194" s="32">
        <f t="shared" si="58"/>
        <v>9.1231199829317183E-2</v>
      </c>
      <c r="AP194" s="32">
        <f t="shared" si="59"/>
        <v>0.15041844122971651</v>
      </c>
      <c r="AQ194" s="61"/>
      <c r="AR194" s="61"/>
      <c r="AS194" s="61"/>
      <c r="AT194" s="61"/>
      <c r="AU194" s="61"/>
    </row>
    <row r="195" spans="1:47" x14ac:dyDescent="0.2">
      <c r="A195" s="40">
        <v>43298.046134259261</v>
      </c>
      <c r="B195" s="50">
        <f t="shared" si="42"/>
        <v>16.107222222257406</v>
      </c>
      <c r="C195">
        <v>9.18</v>
      </c>
      <c r="D195">
        <v>8.19</v>
      </c>
      <c r="E195" s="32">
        <f t="shared" si="43"/>
        <v>1.0707659949779182E-2</v>
      </c>
      <c r="F195" s="32">
        <f t="shared" si="44"/>
        <v>1.0972346014963493E-2</v>
      </c>
      <c r="G195" s="61"/>
      <c r="H195" s="40">
        <v>43298.046990740739</v>
      </c>
      <c r="I195" s="50">
        <f t="shared" si="45"/>
        <v>16.127777777728625</v>
      </c>
      <c r="J195">
        <v>61559.72</v>
      </c>
      <c r="K195">
        <v>58280.9</v>
      </c>
      <c r="L195" s="32">
        <f t="shared" si="46"/>
        <v>173.67047285087591</v>
      </c>
      <c r="M195" s="32">
        <f t="shared" si="47"/>
        <v>188.85100669836032</v>
      </c>
      <c r="N195" s="61"/>
      <c r="O195" s="40">
        <v>43298.047847222224</v>
      </c>
      <c r="P195" s="50">
        <f t="shared" si="48"/>
        <v>16.148333333374467</v>
      </c>
      <c r="Q195">
        <v>1077.45</v>
      </c>
      <c r="R195">
        <v>1052.31</v>
      </c>
      <c r="S195" s="32">
        <f t="shared" si="49"/>
        <v>1.0361093747847459</v>
      </c>
      <c r="T195" s="32">
        <f t="shared" si="50"/>
        <v>1.1622936866853222</v>
      </c>
      <c r="U195" s="61"/>
      <c r="V195" s="61"/>
      <c r="W195" s="40">
        <v>43298.054375</v>
      </c>
      <c r="X195" s="50">
        <f t="shared" si="51"/>
        <v>16.304999999993015</v>
      </c>
      <c r="Y195">
        <v>0</v>
      </c>
      <c r="Z195">
        <v>0.61</v>
      </c>
      <c r="AA195" s="32">
        <f t="shared" si="52"/>
        <v>0</v>
      </c>
      <c r="AB195" s="32">
        <f t="shared" si="53"/>
        <v>9.438869370448213E-4</v>
      </c>
      <c r="AC195" s="61"/>
      <c r="AD195" s="40">
        <v>43298.055231481485</v>
      </c>
      <c r="AE195" s="50">
        <f t="shared" si="54"/>
        <v>16.325555555638857</v>
      </c>
      <c r="AF195">
        <v>579.41999999999996</v>
      </c>
      <c r="AG195">
        <v>673.86</v>
      </c>
      <c r="AH195" s="32">
        <f t="shared" si="55"/>
        <v>0.78058449210134306</v>
      </c>
      <c r="AI195" s="32">
        <f t="shared" si="56"/>
        <v>1.0427010678639728</v>
      </c>
      <c r="AJ195" s="61"/>
      <c r="AK195" s="40">
        <v>43298.056087962963</v>
      </c>
      <c r="AL195" s="50">
        <f t="shared" si="57"/>
        <v>16.346111111110076</v>
      </c>
      <c r="AM195">
        <v>85.21</v>
      </c>
      <c r="AN195">
        <v>116.79</v>
      </c>
      <c r="AO195" s="32">
        <f t="shared" si="58"/>
        <v>0.11479342199433132</v>
      </c>
      <c r="AP195" s="32">
        <f t="shared" si="59"/>
        <v>0.1807156645532208</v>
      </c>
      <c r="AQ195" s="61"/>
      <c r="AR195" s="61"/>
      <c r="AS195" s="61"/>
      <c r="AT195" s="61"/>
      <c r="AU195" s="61"/>
    </row>
    <row r="196" spans="1:47" x14ac:dyDescent="0.2">
      <c r="A196" s="40">
        <v>43298.062638888892</v>
      </c>
      <c r="B196" s="50">
        <f t="shared" si="42"/>
        <v>16.503333333414048</v>
      </c>
      <c r="C196">
        <v>0.17</v>
      </c>
      <c r="D196">
        <v>18.55</v>
      </c>
      <c r="E196" s="32">
        <f t="shared" si="43"/>
        <v>1.9828999906998488E-4</v>
      </c>
      <c r="F196" s="32">
        <f t="shared" si="44"/>
        <v>2.485189482021646E-2</v>
      </c>
      <c r="G196" s="61"/>
      <c r="H196" s="40">
        <v>43298.06349537037</v>
      </c>
      <c r="I196" s="50">
        <f t="shared" si="45"/>
        <v>16.523888888885267</v>
      </c>
      <c r="J196">
        <v>61539.47</v>
      </c>
      <c r="K196">
        <v>58309</v>
      </c>
      <c r="L196" s="32">
        <f t="shared" si="46"/>
        <v>173.61334414601453</v>
      </c>
      <c r="M196" s="32">
        <f t="shared" si="47"/>
        <v>188.9420607707618</v>
      </c>
      <c r="N196" s="61"/>
      <c r="O196" s="40">
        <v>43298.064351851855</v>
      </c>
      <c r="P196" s="50">
        <f t="shared" si="48"/>
        <v>16.544444444531109</v>
      </c>
      <c r="Q196">
        <v>1087.25</v>
      </c>
      <c r="R196">
        <v>1025.29</v>
      </c>
      <c r="S196" s="32">
        <f t="shared" si="49"/>
        <v>1.0455333590744025</v>
      </c>
      <c r="T196" s="32">
        <f t="shared" si="50"/>
        <v>1.1324496526894108</v>
      </c>
      <c r="U196" s="61"/>
      <c r="V196" s="61"/>
      <c r="W196" s="40">
        <v>43298.070879629631</v>
      </c>
      <c r="X196" s="50">
        <f t="shared" si="51"/>
        <v>16.701111111149658</v>
      </c>
      <c r="Y196">
        <v>0</v>
      </c>
      <c r="Z196">
        <v>0.36</v>
      </c>
      <c r="AA196" s="32">
        <f t="shared" si="52"/>
        <v>0</v>
      </c>
      <c r="AB196" s="32">
        <f t="shared" si="53"/>
        <v>5.5704802841989446E-4</v>
      </c>
      <c r="AC196" s="61"/>
      <c r="AD196" s="40">
        <v>43298.071736111109</v>
      </c>
      <c r="AE196" s="50">
        <f t="shared" si="54"/>
        <v>16.721666666620877</v>
      </c>
      <c r="AF196">
        <v>588.54</v>
      </c>
      <c r="AG196">
        <v>676.78</v>
      </c>
      <c r="AH196" s="32">
        <f t="shared" si="55"/>
        <v>0.79287079662649629</v>
      </c>
      <c r="AI196" s="32">
        <f t="shared" si="56"/>
        <v>1.0472193463167117</v>
      </c>
      <c r="AJ196" s="61"/>
      <c r="AK196" s="40">
        <v>43298.072592592594</v>
      </c>
      <c r="AL196" s="50">
        <f t="shared" si="57"/>
        <v>16.742222222266719</v>
      </c>
      <c r="AM196">
        <v>71.72</v>
      </c>
      <c r="AN196">
        <v>112.61</v>
      </c>
      <c r="AO196" s="32">
        <f t="shared" si="58"/>
        <v>9.6619929884208922E-2</v>
      </c>
      <c r="AP196" s="32">
        <f t="shared" si="59"/>
        <v>0.17424771800101202</v>
      </c>
      <c r="AQ196" s="61"/>
      <c r="AR196" s="61"/>
      <c r="AS196" s="61"/>
      <c r="AT196" s="61"/>
      <c r="AU196" s="61"/>
    </row>
    <row r="197" spans="1:47" x14ac:dyDescent="0.2">
      <c r="A197" s="40">
        <v>43298.079143518517</v>
      </c>
      <c r="B197" s="50">
        <f t="shared" si="42"/>
        <v>16.899444444396067</v>
      </c>
      <c r="C197">
        <v>11.16</v>
      </c>
      <c r="D197">
        <v>8.39</v>
      </c>
      <c r="E197" s="32">
        <f t="shared" si="43"/>
        <v>1.3017155233064889E-2</v>
      </c>
      <c r="F197" s="32">
        <f t="shared" si="44"/>
        <v>1.124029097259386E-2</v>
      </c>
      <c r="G197" s="61"/>
      <c r="H197" s="40">
        <v>43298.080000000002</v>
      </c>
      <c r="I197" s="50">
        <f t="shared" si="45"/>
        <v>16.92000000004191</v>
      </c>
      <c r="J197">
        <v>61728.32</v>
      </c>
      <c r="K197">
        <v>58558.94</v>
      </c>
      <c r="L197" s="32">
        <f t="shared" si="46"/>
        <v>174.146122215796</v>
      </c>
      <c r="M197" s="32">
        <f t="shared" si="47"/>
        <v>189.7519559613678</v>
      </c>
      <c r="N197" s="61"/>
      <c r="O197" s="40">
        <v>43298.08084490741</v>
      </c>
      <c r="P197" s="50">
        <f t="shared" si="48"/>
        <v>16.94027777784504</v>
      </c>
      <c r="Q197">
        <v>1074.24</v>
      </c>
      <c r="R197">
        <v>1010.98</v>
      </c>
      <c r="S197" s="32">
        <f t="shared" si="49"/>
        <v>1.0330225391143584</v>
      </c>
      <c r="T197" s="32">
        <f t="shared" si="50"/>
        <v>1.1166440225457586</v>
      </c>
      <c r="U197" s="61"/>
      <c r="V197" s="61"/>
      <c r="W197" s="40">
        <v>43298.087384259263</v>
      </c>
      <c r="X197" s="50">
        <f t="shared" si="51"/>
        <v>17.0972222223063</v>
      </c>
      <c r="Y197">
        <v>0</v>
      </c>
      <c r="Z197">
        <v>0</v>
      </c>
      <c r="AA197" s="32">
        <f t="shared" si="52"/>
        <v>0</v>
      </c>
      <c r="AB197" s="32">
        <f t="shared" si="53"/>
        <v>0</v>
      </c>
      <c r="AC197" s="61"/>
      <c r="AD197" s="40">
        <v>43298.088240740741</v>
      </c>
      <c r="AE197" s="50">
        <f t="shared" si="54"/>
        <v>17.117777777777519</v>
      </c>
      <c r="AF197">
        <v>616.86</v>
      </c>
      <c r="AG197">
        <v>686.93</v>
      </c>
      <c r="AH197" s="32">
        <f t="shared" si="55"/>
        <v>0.83102300541512986</v>
      </c>
      <c r="AI197" s="32">
        <f t="shared" si="56"/>
        <v>1.0629250060068838</v>
      </c>
      <c r="AJ197" s="61"/>
      <c r="AK197" s="40">
        <v>43298.089097222219</v>
      </c>
      <c r="AL197" s="50">
        <f t="shared" si="57"/>
        <v>17.138333333248738</v>
      </c>
      <c r="AM197">
        <v>83.72</v>
      </c>
      <c r="AN197">
        <v>95.77</v>
      </c>
      <c r="AO197" s="32">
        <f t="shared" si="58"/>
        <v>0.11278612004888415</v>
      </c>
      <c r="AP197" s="32">
        <f t="shared" si="59"/>
        <v>0.14819024911603693</v>
      </c>
      <c r="AQ197" s="61"/>
      <c r="AR197" s="61"/>
      <c r="AS197" s="61"/>
      <c r="AT197" s="61"/>
      <c r="AU197" s="61"/>
    </row>
    <row r="198" spans="1:47" x14ac:dyDescent="0.2">
      <c r="A198" s="40">
        <v>43298.095636574071</v>
      </c>
      <c r="B198" s="50">
        <f t="shared" si="42"/>
        <v>17.295277777709998</v>
      </c>
      <c r="C198">
        <v>2.17</v>
      </c>
      <c r="D198">
        <v>7.27</v>
      </c>
      <c r="E198" s="32">
        <f t="shared" si="43"/>
        <v>2.5311135175403944E-3</v>
      </c>
      <c r="F198" s="32">
        <f t="shared" si="44"/>
        <v>9.739799209863809E-3</v>
      </c>
      <c r="G198" s="61"/>
      <c r="H198" s="40">
        <v>43298.096493055556</v>
      </c>
      <c r="I198" s="50">
        <f t="shared" si="45"/>
        <v>17.31583333335584</v>
      </c>
      <c r="J198">
        <v>61818.14</v>
      </c>
      <c r="K198">
        <v>58115.72</v>
      </c>
      <c r="L198" s="32">
        <f t="shared" si="46"/>
        <v>174.39951976002567</v>
      </c>
      <c r="M198" s="32">
        <f t="shared" si="47"/>
        <v>188.31576428984508</v>
      </c>
      <c r="N198" s="61"/>
      <c r="O198" s="40">
        <v>43298.097337962965</v>
      </c>
      <c r="P198" s="50">
        <f t="shared" si="48"/>
        <v>17.336111111158971</v>
      </c>
      <c r="Q198">
        <v>1081.53</v>
      </c>
      <c r="R198">
        <v>1002.21</v>
      </c>
      <c r="S198" s="32">
        <f t="shared" si="49"/>
        <v>1.0400328294686028</v>
      </c>
      <c r="T198" s="32">
        <f t="shared" si="50"/>
        <v>1.1069574134360567</v>
      </c>
      <c r="U198" s="61"/>
      <c r="V198" s="61"/>
      <c r="W198" s="40">
        <v>43298.103877314818</v>
      </c>
      <c r="X198" s="50">
        <f t="shared" si="51"/>
        <v>17.493055555620231</v>
      </c>
      <c r="Y198">
        <v>0</v>
      </c>
      <c r="Z198">
        <v>0</v>
      </c>
      <c r="AA198" s="32">
        <f t="shared" si="52"/>
        <v>0</v>
      </c>
      <c r="AB198" s="32">
        <f t="shared" si="53"/>
        <v>0</v>
      </c>
      <c r="AC198" s="61"/>
      <c r="AD198" s="40">
        <v>43298.104733796295</v>
      </c>
      <c r="AE198" s="50">
        <f t="shared" si="54"/>
        <v>17.51361111109145</v>
      </c>
      <c r="AF198">
        <v>570.45000000000005</v>
      </c>
      <c r="AG198">
        <v>711.79</v>
      </c>
      <c r="AH198" s="32">
        <f t="shared" si="55"/>
        <v>0.76850026495324841</v>
      </c>
      <c r="AI198" s="32">
        <f t="shared" si="56"/>
        <v>1.1013922670805465</v>
      </c>
      <c r="AJ198" s="61"/>
      <c r="AK198" s="40">
        <v>43298.105578703704</v>
      </c>
      <c r="AL198" s="50">
        <f t="shared" si="57"/>
        <v>17.53388888889458</v>
      </c>
      <c r="AM198">
        <v>78.239999999999995</v>
      </c>
      <c r="AN198">
        <v>80.400000000000006</v>
      </c>
      <c r="AO198" s="32">
        <f t="shared" si="58"/>
        <v>0.10540355987368244</v>
      </c>
      <c r="AP198" s="32">
        <f t="shared" si="59"/>
        <v>0.12440739301377646</v>
      </c>
      <c r="AQ198" s="61"/>
      <c r="AR198" s="61"/>
      <c r="AS198" s="61"/>
      <c r="AT198" s="61"/>
      <c r="AU198" s="61"/>
    </row>
    <row r="199" spans="1:47" x14ac:dyDescent="0.2">
      <c r="A199" s="40">
        <v>43298.112129629626</v>
      </c>
      <c r="B199" s="50">
        <f t="shared" si="42"/>
        <v>17.691111111023929</v>
      </c>
      <c r="C199">
        <v>2.69</v>
      </c>
      <c r="D199">
        <v>11.78</v>
      </c>
      <c r="E199" s="32">
        <f t="shared" si="43"/>
        <v>3.1376476323427016E-3</v>
      </c>
      <c r="F199" s="32">
        <f t="shared" si="44"/>
        <v>1.5781958004428564E-2</v>
      </c>
      <c r="G199" s="61"/>
      <c r="H199" s="40">
        <v>43298.112974537034</v>
      </c>
      <c r="I199" s="50">
        <f t="shared" si="45"/>
        <v>17.711388888827059</v>
      </c>
      <c r="J199">
        <v>61896.99</v>
      </c>
      <c r="K199">
        <v>58774.05</v>
      </c>
      <c r="L199" s="32">
        <f t="shared" si="46"/>
        <v>174.62196906265882</v>
      </c>
      <c r="M199" s="32">
        <f t="shared" si="47"/>
        <v>190.4489894672142</v>
      </c>
      <c r="N199" s="61"/>
      <c r="O199" s="40">
        <v>43298.11383101852</v>
      </c>
      <c r="P199" s="50">
        <f t="shared" si="48"/>
        <v>17.731944444472902</v>
      </c>
      <c r="Q199">
        <v>1105.75</v>
      </c>
      <c r="R199">
        <v>1060.6099999999999</v>
      </c>
      <c r="S199" s="32">
        <f t="shared" si="49"/>
        <v>1.0633235334987541</v>
      </c>
      <c r="T199" s="32">
        <f t="shared" si="50"/>
        <v>1.1714611730719271</v>
      </c>
      <c r="U199" s="61"/>
      <c r="V199" s="61"/>
      <c r="W199" s="40">
        <v>43298.120370370372</v>
      </c>
      <c r="X199" s="50">
        <f t="shared" si="51"/>
        <v>17.888888888934162</v>
      </c>
      <c r="Y199">
        <v>0</v>
      </c>
      <c r="Z199">
        <v>4.4000000000000004</v>
      </c>
      <c r="AA199" s="32">
        <f t="shared" si="52"/>
        <v>0</v>
      </c>
      <c r="AB199" s="32">
        <f t="shared" si="53"/>
        <v>6.8083647917987116E-3</v>
      </c>
      <c r="AC199" s="61"/>
      <c r="AD199" s="40">
        <v>43298.121215277781</v>
      </c>
      <c r="AE199" s="50">
        <f t="shared" si="54"/>
        <v>17.909166666737292</v>
      </c>
      <c r="AF199">
        <v>553.97</v>
      </c>
      <c r="AG199">
        <v>598.24</v>
      </c>
      <c r="AH199" s="32">
        <f t="shared" si="55"/>
        <v>0.74629869712709451</v>
      </c>
      <c r="AI199" s="32">
        <f t="shared" si="56"/>
        <v>0.92569003478310474</v>
      </c>
      <c r="AJ199" s="61"/>
      <c r="AK199" s="40">
        <v>43298.122071759259</v>
      </c>
      <c r="AL199" s="50">
        <f t="shared" si="57"/>
        <v>17.929722222208511</v>
      </c>
      <c r="AM199">
        <v>86.19</v>
      </c>
      <c r="AN199">
        <v>87.37</v>
      </c>
      <c r="AO199" s="32">
        <f t="shared" si="58"/>
        <v>0.1161136608577798</v>
      </c>
      <c r="AP199" s="32">
        <f t="shared" si="59"/>
        <v>0.13519246178623942</v>
      </c>
      <c r="AQ199" s="61"/>
      <c r="AR199" s="61"/>
      <c r="AS199" s="61"/>
      <c r="AT199" s="61"/>
      <c r="AU199" s="61"/>
    </row>
    <row r="200" spans="1:47" x14ac:dyDescent="0.2">
      <c r="A200" s="40">
        <v>43298.128622685188</v>
      </c>
      <c r="B200" s="50">
        <f t="shared" si="42"/>
        <v>18.086944444512483</v>
      </c>
      <c r="C200">
        <v>0</v>
      </c>
      <c r="D200">
        <v>2.76</v>
      </c>
      <c r="E200" s="32">
        <f t="shared" si="43"/>
        <v>0</v>
      </c>
      <c r="F200" s="32">
        <f t="shared" si="44"/>
        <v>3.6976404152990524E-3</v>
      </c>
      <c r="G200" s="61"/>
      <c r="H200" s="40">
        <v>43298.129467592589</v>
      </c>
      <c r="I200" s="50">
        <f t="shared" si="45"/>
        <v>18.10722222214099</v>
      </c>
      <c r="J200">
        <v>61713.03</v>
      </c>
      <c r="K200">
        <v>58235.02</v>
      </c>
      <c r="L200" s="32">
        <f t="shared" si="46"/>
        <v>174.10298651716238</v>
      </c>
      <c r="M200" s="32">
        <f t="shared" si="47"/>
        <v>188.70233905274534</v>
      </c>
      <c r="N200" s="61"/>
      <c r="O200" s="40">
        <v>43298.130324074074</v>
      </c>
      <c r="P200" s="50">
        <f t="shared" si="48"/>
        <v>18.127777777786832</v>
      </c>
      <c r="Q200">
        <v>1058.98</v>
      </c>
      <c r="R200">
        <v>1016.75</v>
      </c>
      <c r="S200" s="32">
        <f t="shared" si="49"/>
        <v>1.018348049291893</v>
      </c>
      <c r="T200" s="32">
        <f t="shared" si="50"/>
        <v>1.123017082359097</v>
      </c>
      <c r="U200" s="61"/>
      <c r="V200" s="61"/>
      <c r="W200" s="40">
        <v>43298.136863425927</v>
      </c>
      <c r="X200" s="50">
        <f t="shared" si="51"/>
        <v>18.284722222248092</v>
      </c>
      <c r="Y200">
        <v>0</v>
      </c>
      <c r="Z200">
        <v>0</v>
      </c>
      <c r="AA200" s="32">
        <f t="shared" si="52"/>
        <v>0</v>
      </c>
      <c r="AB200" s="32">
        <f t="shared" si="53"/>
        <v>0</v>
      </c>
      <c r="AC200" s="61"/>
      <c r="AD200" s="40">
        <v>43298.137719907405</v>
      </c>
      <c r="AE200" s="50">
        <f t="shared" si="54"/>
        <v>18.305277777719311</v>
      </c>
      <c r="AF200">
        <v>569.98</v>
      </c>
      <c r="AG200">
        <v>666.72</v>
      </c>
      <c r="AH200" s="32">
        <f t="shared" si="55"/>
        <v>0.76786708917179869</v>
      </c>
      <c r="AI200" s="32">
        <f t="shared" si="56"/>
        <v>1.0316529486336448</v>
      </c>
      <c r="AJ200" s="61"/>
      <c r="AK200" s="40">
        <v>43298.138564814813</v>
      </c>
      <c r="AL200" s="50">
        <f t="shared" si="57"/>
        <v>18.325555555522442</v>
      </c>
      <c r="AM200">
        <v>79.239999999999995</v>
      </c>
      <c r="AN200">
        <v>92.99</v>
      </c>
      <c r="AO200" s="32">
        <f t="shared" si="58"/>
        <v>0.10675074238740538</v>
      </c>
      <c r="AP200" s="32">
        <f t="shared" si="59"/>
        <v>0.14388860045212776</v>
      </c>
      <c r="AQ200" s="61"/>
      <c r="AR200" s="61"/>
      <c r="AS200" s="61"/>
      <c r="AT200" s="61"/>
      <c r="AU200" s="61"/>
    </row>
    <row r="201" spans="1:47" x14ac:dyDescent="0.2">
      <c r="A201" s="40">
        <v>43298.145127314812</v>
      </c>
      <c r="B201" s="50">
        <f t="shared" si="42"/>
        <v>18.483055555494502</v>
      </c>
      <c r="C201">
        <v>0</v>
      </c>
      <c r="D201">
        <v>9.5299999999999994</v>
      </c>
      <c r="E201" s="32">
        <f t="shared" si="43"/>
        <v>0</v>
      </c>
      <c r="F201" s="32">
        <f t="shared" si="44"/>
        <v>1.2767577231086945E-2</v>
      </c>
      <c r="G201" s="61"/>
      <c r="H201" s="40">
        <v>43298.145972222221</v>
      </c>
      <c r="I201" s="50">
        <f t="shared" si="45"/>
        <v>18.503333333297633</v>
      </c>
      <c r="J201">
        <v>61324.49</v>
      </c>
      <c r="K201">
        <v>58049.87</v>
      </c>
      <c r="L201" s="32">
        <f t="shared" si="46"/>
        <v>173.00684888818228</v>
      </c>
      <c r="M201" s="32">
        <f t="shared" si="47"/>
        <v>188.10238668601457</v>
      </c>
      <c r="N201" s="61"/>
      <c r="O201" s="40">
        <v>43298.146828703706</v>
      </c>
      <c r="P201" s="50">
        <f t="shared" si="48"/>
        <v>18.523888888943475</v>
      </c>
      <c r="Q201">
        <v>1024.8599999999999</v>
      </c>
      <c r="R201">
        <v>1005.99</v>
      </c>
      <c r="S201" s="32">
        <f t="shared" si="49"/>
        <v>0.98553719786708838</v>
      </c>
      <c r="T201" s="32">
        <f t="shared" si="50"/>
        <v>1.1111324855494744</v>
      </c>
      <c r="U201" s="61"/>
      <c r="V201" s="61"/>
      <c r="W201" s="40">
        <v>43298.153368055559</v>
      </c>
      <c r="X201" s="50">
        <f t="shared" si="51"/>
        <v>18.680833333404735</v>
      </c>
      <c r="Y201">
        <v>0</v>
      </c>
      <c r="Z201">
        <v>0</v>
      </c>
      <c r="AA201" s="32">
        <f t="shared" si="52"/>
        <v>0</v>
      </c>
      <c r="AB201" s="32">
        <f t="shared" si="53"/>
        <v>0</v>
      </c>
      <c r="AC201" s="61"/>
      <c r="AD201" s="40">
        <v>43298.154224537036</v>
      </c>
      <c r="AE201" s="50">
        <f t="shared" si="54"/>
        <v>18.701388888875954</v>
      </c>
      <c r="AF201">
        <v>601.86</v>
      </c>
      <c r="AG201">
        <v>653.38</v>
      </c>
      <c r="AH201" s="32">
        <f t="shared" si="55"/>
        <v>0.8108152677092858</v>
      </c>
      <c r="AI201" s="32">
        <f t="shared" si="56"/>
        <v>1.0110112244694187</v>
      </c>
      <c r="AJ201" s="61"/>
      <c r="AK201" s="40">
        <v>43298.155069444445</v>
      </c>
      <c r="AL201" s="50">
        <f t="shared" si="57"/>
        <v>18.721666666679084</v>
      </c>
      <c r="AM201">
        <v>77.209999999999994</v>
      </c>
      <c r="AN201">
        <v>82.91</v>
      </c>
      <c r="AO201" s="32">
        <f t="shared" si="58"/>
        <v>0.10401596188454781</v>
      </c>
      <c r="AP201" s="32">
        <f t="shared" si="59"/>
        <v>0.1282912556563707</v>
      </c>
      <c r="AQ201" s="61"/>
      <c r="AR201" s="61"/>
      <c r="AS201" s="61"/>
      <c r="AT201" s="61"/>
      <c r="AU201" s="61"/>
    </row>
    <row r="202" spans="1:47" x14ac:dyDescent="0.2">
      <c r="A202" s="40">
        <v>43298.161631944444</v>
      </c>
      <c r="B202" s="50">
        <f t="shared" si="42"/>
        <v>18.879166666651145</v>
      </c>
      <c r="C202">
        <v>9.67</v>
      </c>
      <c r="D202">
        <v>7.27</v>
      </c>
      <c r="E202" s="32">
        <f t="shared" si="43"/>
        <v>1.1279201711804432E-2</v>
      </c>
      <c r="F202" s="32">
        <f t="shared" si="44"/>
        <v>9.739799209863809E-3</v>
      </c>
      <c r="G202" s="61"/>
      <c r="H202" s="40">
        <v>43298.162488425929</v>
      </c>
      <c r="I202" s="50">
        <f t="shared" si="45"/>
        <v>18.899722222296987</v>
      </c>
      <c r="J202">
        <v>61090.720000000001</v>
      </c>
      <c r="K202">
        <v>57915.94</v>
      </c>
      <c r="L202" s="32">
        <f t="shared" si="46"/>
        <v>172.34734383457987</v>
      </c>
      <c r="M202" s="32">
        <f t="shared" si="47"/>
        <v>187.66840547901344</v>
      </c>
      <c r="N202" s="61"/>
      <c r="O202" s="40">
        <v>43298.163344907407</v>
      </c>
      <c r="P202" s="50">
        <f t="shared" si="48"/>
        <v>18.920277777768206</v>
      </c>
      <c r="Q202">
        <v>1070.28</v>
      </c>
      <c r="R202">
        <v>1060.3399999999999</v>
      </c>
      <c r="S202" s="32">
        <f t="shared" si="49"/>
        <v>1.0292144801564971</v>
      </c>
      <c r="T202" s="32">
        <f t="shared" si="50"/>
        <v>1.1711629536352544</v>
      </c>
      <c r="U202" s="61"/>
      <c r="V202" s="61"/>
      <c r="W202" s="40">
        <v>43298.169745370367</v>
      </c>
      <c r="X202" s="50">
        <f t="shared" si="51"/>
        <v>19.073888888815418</v>
      </c>
      <c r="Y202">
        <v>0</v>
      </c>
      <c r="Z202">
        <v>0</v>
      </c>
      <c r="AA202" s="32">
        <f t="shared" si="52"/>
        <v>0</v>
      </c>
      <c r="AB202" s="32">
        <f t="shared" si="53"/>
        <v>0</v>
      </c>
      <c r="AC202" s="61"/>
      <c r="AD202" s="40">
        <v>43298.170590277776</v>
      </c>
      <c r="AE202" s="50">
        <f t="shared" si="54"/>
        <v>19.094166666618548</v>
      </c>
      <c r="AF202">
        <v>582.95000000000005</v>
      </c>
      <c r="AG202">
        <v>685.25</v>
      </c>
      <c r="AH202" s="32">
        <f t="shared" si="55"/>
        <v>0.78534004637478516</v>
      </c>
      <c r="AI202" s="32">
        <f t="shared" si="56"/>
        <v>1.0603254485409241</v>
      </c>
      <c r="AJ202" s="61"/>
      <c r="AK202" s="40">
        <v>43298.171446759261</v>
      </c>
      <c r="AL202" s="50">
        <f t="shared" si="57"/>
        <v>19.11472222226439</v>
      </c>
      <c r="AM202">
        <v>59.2</v>
      </c>
      <c r="AN202">
        <v>98.3</v>
      </c>
      <c r="AO202" s="32">
        <f t="shared" si="58"/>
        <v>7.9753204812397768E-2</v>
      </c>
      <c r="AP202" s="32">
        <f t="shared" si="59"/>
        <v>0.1521050588713212</v>
      </c>
      <c r="AQ202" s="61"/>
      <c r="AR202" s="61"/>
      <c r="AS202" s="61"/>
      <c r="AT202" s="61"/>
      <c r="AU202" s="61"/>
    </row>
    <row r="203" spans="1:47" x14ac:dyDescent="0.2">
      <c r="A203" s="40">
        <v>43298.177986111114</v>
      </c>
      <c r="B203" s="50">
        <f t="shared" si="42"/>
        <v>19.27166666672565</v>
      </c>
      <c r="C203">
        <v>0</v>
      </c>
      <c r="D203">
        <v>10.66</v>
      </c>
      <c r="E203" s="32">
        <f t="shared" si="43"/>
        <v>0</v>
      </c>
      <c r="F203" s="32">
        <f t="shared" si="44"/>
        <v>1.4281466241698515E-2</v>
      </c>
      <c r="G203" s="61"/>
      <c r="H203" s="40">
        <v>43298.178842592592</v>
      </c>
      <c r="I203" s="50">
        <f t="shared" si="45"/>
        <v>19.29222222219687</v>
      </c>
      <c r="J203">
        <v>61428.17</v>
      </c>
      <c r="K203">
        <v>58003.25</v>
      </c>
      <c r="L203" s="32">
        <f t="shared" si="46"/>
        <v>173.29934785707263</v>
      </c>
      <c r="M203" s="32">
        <f t="shared" si="47"/>
        <v>187.95132117514771</v>
      </c>
      <c r="N203" s="61"/>
      <c r="O203" s="40">
        <v>43298.179699074077</v>
      </c>
      <c r="P203" s="50">
        <f t="shared" si="48"/>
        <v>19.312777777842712</v>
      </c>
      <c r="Q203">
        <v>1028.31</v>
      </c>
      <c r="R203">
        <v>1012.81</v>
      </c>
      <c r="S203" s="32">
        <f t="shared" si="49"/>
        <v>0.98885482498946764</v>
      </c>
      <c r="T203" s="32">
        <f t="shared" si="50"/>
        <v>1.1186652876165399</v>
      </c>
      <c r="U203" s="61"/>
      <c r="V203" s="61"/>
      <c r="W203" s="40">
        <v>43298.186226851853</v>
      </c>
      <c r="X203" s="50">
        <f t="shared" si="51"/>
        <v>19.46944444446126</v>
      </c>
      <c r="Y203">
        <v>0</v>
      </c>
      <c r="Z203">
        <v>0</v>
      </c>
      <c r="AA203" s="32">
        <f t="shared" si="52"/>
        <v>0</v>
      </c>
      <c r="AB203" s="32">
        <f t="shared" si="53"/>
        <v>0</v>
      </c>
      <c r="AC203" s="61"/>
      <c r="AD203" s="40">
        <v>43298.187083333331</v>
      </c>
      <c r="AE203" s="50">
        <f t="shared" si="54"/>
        <v>19.489999999932479</v>
      </c>
      <c r="AF203">
        <v>578.47</v>
      </c>
      <c r="AG203">
        <v>691.68</v>
      </c>
      <c r="AH203" s="32">
        <f t="shared" si="55"/>
        <v>0.7793046687133065</v>
      </c>
      <c r="AI203" s="32">
        <f t="shared" si="56"/>
        <v>1.0702749452707572</v>
      </c>
      <c r="AJ203" s="61"/>
      <c r="AK203" s="40">
        <v>43298.187939814816</v>
      </c>
      <c r="AL203" s="50">
        <f t="shared" si="57"/>
        <v>19.510555555578321</v>
      </c>
      <c r="AM203">
        <v>94.71</v>
      </c>
      <c r="AN203">
        <v>95.79</v>
      </c>
      <c r="AO203" s="32">
        <f t="shared" si="58"/>
        <v>0.12759165587469917</v>
      </c>
      <c r="AP203" s="32">
        <f t="shared" si="59"/>
        <v>0.14822119622872695</v>
      </c>
      <c r="AQ203" s="61"/>
      <c r="AR203" s="61"/>
      <c r="AS203" s="61"/>
      <c r="AT203" s="61"/>
      <c r="AU203" s="61"/>
    </row>
    <row r="204" spans="1:47" x14ac:dyDescent="0.2">
      <c r="A204" s="40">
        <v>43298.194479166668</v>
      </c>
      <c r="B204" s="50">
        <f t="shared" si="42"/>
        <v>19.667500000039581</v>
      </c>
      <c r="C204">
        <v>0</v>
      </c>
      <c r="D204">
        <v>1.63</v>
      </c>
      <c r="E204" s="32">
        <f t="shared" si="43"/>
        <v>0</v>
      </c>
      <c r="F204" s="32">
        <f t="shared" si="44"/>
        <v>2.1837514046874839E-3</v>
      </c>
      <c r="G204" s="61"/>
      <c r="H204" s="40">
        <v>43298.195335648146</v>
      </c>
      <c r="I204" s="50">
        <f t="shared" si="45"/>
        <v>19.6880555555108</v>
      </c>
      <c r="J204">
        <v>61102.67</v>
      </c>
      <c r="K204">
        <v>58283.74</v>
      </c>
      <c r="L204" s="32">
        <f t="shared" si="46"/>
        <v>172.38105682337459</v>
      </c>
      <c r="M204" s="32">
        <f t="shared" si="47"/>
        <v>188.86020931635389</v>
      </c>
      <c r="N204" s="61"/>
      <c r="O204" s="40">
        <v>43298.196192129632</v>
      </c>
      <c r="P204" s="50">
        <f t="shared" si="48"/>
        <v>19.708611111156642</v>
      </c>
      <c r="Q204">
        <v>1074.79</v>
      </c>
      <c r="R204">
        <v>967.15</v>
      </c>
      <c r="S204" s="32">
        <f t="shared" si="49"/>
        <v>1.033551436191839</v>
      </c>
      <c r="T204" s="32">
        <f t="shared" si="50"/>
        <v>1.068233067325892</v>
      </c>
      <c r="U204" s="61"/>
      <c r="V204" s="61"/>
      <c r="W204" s="40">
        <v>43298.202731481484</v>
      </c>
      <c r="X204" s="50">
        <f t="shared" si="51"/>
        <v>19.865555555617902</v>
      </c>
      <c r="Y204">
        <v>0</v>
      </c>
      <c r="Z204">
        <v>0</v>
      </c>
      <c r="AA204" s="32">
        <f t="shared" si="52"/>
        <v>0</v>
      </c>
      <c r="AB204" s="32">
        <f t="shared" si="53"/>
        <v>0</v>
      </c>
      <c r="AC204" s="61"/>
      <c r="AD204" s="40">
        <v>43298.203587962962</v>
      </c>
      <c r="AE204" s="50">
        <f t="shared" si="54"/>
        <v>19.886111111089122</v>
      </c>
      <c r="AF204">
        <v>555</v>
      </c>
      <c r="AG204">
        <v>680.87</v>
      </c>
      <c r="AH204" s="32">
        <f t="shared" si="55"/>
        <v>0.74768629511622908</v>
      </c>
      <c r="AI204" s="32">
        <f t="shared" si="56"/>
        <v>1.0535480308618157</v>
      </c>
      <c r="AJ204" s="61"/>
      <c r="AK204" s="40">
        <v>43298.204444444447</v>
      </c>
      <c r="AL204" s="50">
        <f t="shared" si="57"/>
        <v>19.906666666734964</v>
      </c>
      <c r="AM204">
        <v>82.68</v>
      </c>
      <c r="AN204">
        <v>113.98</v>
      </c>
      <c r="AO204" s="32">
        <f t="shared" si="58"/>
        <v>0.1113850502346123</v>
      </c>
      <c r="AP204" s="32">
        <f t="shared" si="59"/>
        <v>0.17636759522027662</v>
      </c>
      <c r="AQ204" s="61"/>
      <c r="AR204" s="61"/>
      <c r="AS204" s="61"/>
      <c r="AT204" s="61"/>
      <c r="AU204" s="61"/>
    </row>
    <row r="205" spans="1:47" x14ac:dyDescent="0.2">
      <c r="A205" s="40">
        <v>43298.2109837963</v>
      </c>
      <c r="B205" s="50">
        <f t="shared" si="42"/>
        <v>20.063611111196224</v>
      </c>
      <c r="C205">
        <v>4.6900000000000004</v>
      </c>
      <c r="D205">
        <v>2.76</v>
      </c>
      <c r="E205" s="32">
        <f t="shared" si="43"/>
        <v>5.4704711508131113E-3</v>
      </c>
      <c r="F205" s="32">
        <f t="shared" si="44"/>
        <v>3.6976404152990524E-3</v>
      </c>
      <c r="G205" s="61"/>
      <c r="H205" s="40">
        <v>43298.211840277778</v>
      </c>
      <c r="I205" s="50">
        <f t="shared" si="45"/>
        <v>20.084166666667443</v>
      </c>
      <c r="J205">
        <v>61056.4</v>
      </c>
      <c r="K205">
        <v>57684.75</v>
      </c>
      <c r="L205" s="32">
        <f t="shared" si="46"/>
        <v>172.2505212592296</v>
      </c>
      <c r="M205" s="32">
        <f t="shared" si="47"/>
        <v>186.91926700931592</v>
      </c>
      <c r="N205" s="61"/>
      <c r="O205" s="40">
        <v>43298.212696759256</v>
      </c>
      <c r="P205" s="50">
        <f t="shared" si="48"/>
        <v>20.104722222138662</v>
      </c>
      <c r="Q205">
        <v>1101.71</v>
      </c>
      <c r="R205">
        <v>974.41</v>
      </c>
      <c r="S205" s="32">
        <f t="shared" si="49"/>
        <v>1.0594385440568959</v>
      </c>
      <c r="T205" s="32">
        <f t="shared" si="50"/>
        <v>1.076251856623091</v>
      </c>
      <c r="U205" s="61"/>
      <c r="V205" s="61"/>
      <c r="W205" s="40">
        <v>43298.219224537039</v>
      </c>
      <c r="X205" s="50">
        <f t="shared" si="51"/>
        <v>20.261388888931833</v>
      </c>
      <c r="Y205">
        <v>0</v>
      </c>
      <c r="Z205">
        <v>0</v>
      </c>
      <c r="AA205" s="32">
        <f t="shared" si="52"/>
        <v>0</v>
      </c>
      <c r="AB205" s="32">
        <f t="shared" si="53"/>
        <v>0</v>
      </c>
      <c r="AC205" s="61"/>
      <c r="AD205" s="40">
        <v>43298.220081018517</v>
      </c>
      <c r="AE205" s="50">
        <f t="shared" si="54"/>
        <v>20.281944444403052</v>
      </c>
      <c r="AF205">
        <v>568.46</v>
      </c>
      <c r="AG205">
        <v>662.34</v>
      </c>
      <c r="AH205" s="32">
        <f t="shared" si="55"/>
        <v>0.76581937175093984</v>
      </c>
      <c r="AI205" s="32">
        <f t="shared" si="56"/>
        <v>1.0248755309545361</v>
      </c>
      <c r="AJ205" s="61"/>
      <c r="AK205" s="40">
        <v>43298.220937500002</v>
      </c>
      <c r="AL205" s="50">
        <f t="shared" si="57"/>
        <v>20.302500000048894</v>
      </c>
      <c r="AM205">
        <v>85.73</v>
      </c>
      <c r="AN205">
        <v>106.99</v>
      </c>
      <c r="AO205" s="32">
        <f t="shared" si="58"/>
        <v>0.11549395690146726</v>
      </c>
      <c r="AP205" s="32">
        <f t="shared" si="59"/>
        <v>0.16555157933512366</v>
      </c>
      <c r="AQ205" s="61"/>
      <c r="AR205" s="61"/>
      <c r="AS205" s="61"/>
      <c r="AT205" s="61"/>
      <c r="AU205" s="61"/>
    </row>
    <row r="206" spans="1:47" x14ac:dyDescent="0.2">
      <c r="A206" s="40">
        <v>43298.227488425924</v>
      </c>
      <c r="B206" s="50">
        <f t="shared" si="42"/>
        <v>20.459722222178243</v>
      </c>
      <c r="C206">
        <v>0</v>
      </c>
      <c r="D206">
        <v>7.97</v>
      </c>
      <c r="E206" s="32">
        <f t="shared" si="43"/>
        <v>0</v>
      </c>
      <c r="F206" s="32">
        <f t="shared" si="44"/>
        <v>1.067760656157009E-2</v>
      </c>
      <c r="G206" s="61"/>
      <c r="H206" s="40">
        <v>43298.228344907409</v>
      </c>
      <c r="I206" s="50">
        <f t="shared" si="45"/>
        <v>20.480277777824085</v>
      </c>
      <c r="J206">
        <v>60902.15</v>
      </c>
      <c r="K206">
        <v>57908.480000000003</v>
      </c>
      <c r="L206" s="32">
        <f t="shared" si="46"/>
        <v>171.81535569256934</v>
      </c>
      <c r="M206" s="32">
        <f t="shared" si="47"/>
        <v>187.64423240498797</v>
      </c>
      <c r="N206" s="61"/>
      <c r="O206" s="40">
        <v>43298.229201388887</v>
      </c>
      <c r="P206" s="50">
        <f t="shared" si="48"/>
        <v>20.500833333295304</v>
      </c>
      <c r="Q206">
        <v>1068.23</v>
      </c>
      <c r="R206">
        <v>1004.61</v>
      </c>
      <c r="S206" s="32">
        <f t="shared" si="49"/>
        <v>1.0272431365040688</v>
      </c>
      <c r="T206" s="32">
        <f t="shared" si="50"/>
        <v>1.1096082528731472</v>
      </c>
      <c r="U206" s="61"/>
      <c r="V206" s="61"/>
      <c r="W206" s="40">
        <v>43298.235821759263</v>
      </c>
      <c r="X206" s="50">
        <f t="shared" si="51"/>
        <v>20.6597222223063</v>
      </c>
      <c r="Y206">
        <v>0</v>
      </c>
      <c r="Z206">
        <v>1.96</v>
      </c>
      <c r="AA206" s="32">
        <f t="shared" si="52"/>
        <v>0</v>
      </c>
      <c r="AB206" s="32">
        <f t="shared" si="53"/>
        <v>3.0328170436194259E-3</v>
      </c>
      <c r="AC206" s="61"/>
      <c r="AD206" s="40">
        <v>43298.236678240741</v>
      </c>
      <c r="AE206" s="50">
        <f t="shared" si="54"/>
        <v>20.680277777777519</v>
      </c>
      <c r="AF206">
        <v>608.99</v>
      </c>
      <c r="AG206">
        <v>654.54</v>
      </c>
      <c r="AH206" s="32">
        <f t="shared" si="55"/>
        <v>0.82042067903213034</v>
      </c>
      <c r="AI206" s="32">
        <f t="shared" si="56"/>
        <v>1.0128061570054383</v>
      </c>
      <c r="AJ206" s="61"/>
      <c r="AK206" s="40">
        <v>43298.237534722219</v>
      </c>
      <c r="AL206" s="50">
        <f t="shared" si="57"/>
        <v>20.700833333248738</v>
      </c>
      <c r="AM206">
        <v>100.21</v>
      </c>
      <c r="AN206">
        <v>74.930000000000007</v>
      </c>
      <c r="AO206" s="32">
        <f t="shared" si="58"/>
        <v>0.13500115970017532</v>
      </c>
      <c r="AP206" s="32">
        <f t="shared" si="59"/>
        <v>0.11594335769306308</v>
      </c>
      <c r="AQ206" s="61"/>
      <c r="AR206" s="61"/>
      <c r="AS206" s="61"/>
      <c r="AT206" s="61"/>
      <c r="AU206" s="61"/>
    </row>
    <row r="207" spans="1:47" x14ac:dyDescent="0.2">
      <c r="A207" s="40">
        <v>43298.243946759256</v>
      </c>
      <c r="B207" s="50">
        <f t="shared" si="42"/>
        <v>20.854722222138662</v>
      </c>
      <c r="C207">
        <v>5.17</v>
      </c>
      <c r="D207">
        <v>8.4</v>
      </c>
      <c r="E207" s="32">
        <f t="shared" si="43"/>
        <v>6.0303487952460093E-3</v>
      </c>
      <c r="F207" s="32">
        <f t="shared" si="44"/>
        <v>1.1253688220475377E-2</v>
      </c>
      <c r="G207" s="61"/>
      <c r="H207" s="40">
        <v>43298.244803240741</v>
      </c>
      <c r="I207" s="50">
        <f t="shared" si="45"/>
        <v>20.875277777784504</v>
      </c>
      <c r="J207">
        <v>61116.86</v>
      </c>
      <c r="K207">
        <v>57270.92</v>
      </c>
      <c r="L207" s="32">
        <f t="shared" si="46"/>
        <v>172.42108923433676</v>
      </c>
      <c r="M207" s="32">
        <f t="shared" si="47"/>
        <v>185.57830947259322</v>
      </c>
      <c r="N207" s="61"/>
      <c r="O207" s="40">
        <v>43298.245659722219</v>
      </c>
      <c r="P207" s="50">
        <f t="shared" si="48"/>
        <v>20.895833333255723</v>
      </c>
      <c r="Q207">
        <v>1002.29</v>
      </c>
      <c r="R207">
        <v>1064.77</v>
      </c>
      <c r="S207" s="32">
        <f t="shared" si="49"/>
        <v>0.96383318506937932</v>
      </c>
      <c r="T207" s="32">
        <f t="shared" si="50"/>
        <v>1.1760559614295507</v>
      </c>
      <c r="U207" s="61"/>
      <c r="V207" s="61"/>
      <c r="W207" s="40">
        <v>43298.252199074072</v>
      </c>
      <c r="X207" s="50">
        <f t="shared" si="51"/>
        <v>21.052777777716983</v>
      </c>
      <c r="Y207">
        <v>0</v>
      </c>
      <c r="Z207">
        <v>0</v>
      </c>
      <c r="AA207" s="32">
        <f t="shared" si="52"/>
        <v>0</v>
      </c>
      <c r="AB207" s="32">
        <f t="shared" si="53"/>
        <v>0</v>
      </c>
      <c r="AC207" s="61"/>
      <c r="AD207" s="40">
        <v>43298.25304398148</v>
      </c>
      <c r="AE207" s="50">
        <f t="shared" si="54"/>
        <v>21.073055555520114</v>
      </c>
      <c r="AF207">
        <v>571.99</v>
      </c>
      <c r="AG207">
        <v>622.49</v>
      </c>
      <c r="AH207" s="32">
        <f t="shared" si="55"/>
        <v>0.77057492602438182</v>
      </c>
      <c r="AI207" s="32">
        <f t="shared" si="56"/>
        <v>0.96321340891972274</v>
      </c>
      <c r="AJ207" s="61"/>
      <c r="AK207" s="40">
        <v>43298.253900462965</v>
      </c>
      <c r="AL207" s="50">
        <f t="shared" si="57"/>
        <v>21.093611111165956</v>
      </c>
      <c r="AM207">
        <v>74.2</v>
      </c>
      <c r="AN207">
        <v>99.99</v>
      </c>
      <c r="AO207" s="32">
        <f t="shared" si="58"/>
        <v>9.9960942518241808E-2</v>
      </c>
      <c r="AP207" s="32">
        <f t="shared" si="59"/>
        <v>0.15472008989362571</v>
      </c>
      <c r="AQ207" s="61"/>
      <c r="AR207" s="61"/>
      <c r="AS207" s="61"/>
      <c r="AT207" s="61"/>
      <c r="AU207" s="61"/>
    </row>
    <row r="208" spans="1:47" x14ac:dyDescent="0.2">
      <c r="A208" s="40">
        <v>43298.260451388887</v>
      </c>
      <c r="B208" s="50">
        <f t="shared" si="42"/>
        <v>21.250833333295304</v>
      </c>
      <c r="C208">
        <v>1.69</v>
      </c>
      <c r="D208">
        <v>9.5299999999999994</v>
      </c>
      <c r="E208" s="32">
        <f t="shared" si="43"/>
        <v>1.9712358731074965E-3</v>
      </c>
      <c r="F208" s="32">
        <f t="shared" si="44"/>
        <v>1.2767577231086945E-2</v>
      </c>
      <c r="G208" s="61"/>
      <c r="H208" s="40">
        <v>43298.261296296296</v>
      </c>
      <c r="I208" s="50">
        <f t="shared" si="45"/>
        <v>21.271111111098435</v>
      </c>
      <c r="J208">
        <v>61160.1</v>
      </c>
      <c r="K208">
        <v>57764.34</v>
      </c>
      <c r="L208" s="32">
        <f t="shared" si="46"/>
        <v>172.54307665153215</v>
      </c>
      <c r="M208" s="32">
        <f t="shared" si="47"/>
        <v>187.17716713822816</v>
      </c>
      <c r="N208" s="61"/>
      <c r="O208" s="40">
        <v>43298.262152777781</v>
      </c>
      <c r="P208" s="50">
        <f t="shared" si="48"/>
        <v>21.291666666744277</v>
      </c>
      <c r="Q208">
        <v>1065.79</v>
      </c>
      <c r="R208">
        <v>959.2</v>
      </c>
      <c r="S208" s="32">
        <f t="shared" si="49"/>
        <v>1.0248967567421543</v>
      </c>
      <c r="T208" s="32">
        <f t="shared" si="50"/>
        <v>1.0594521616905297</v>
      </c>
      <c r="U208" s="61"/>
      <c r="V208" s="61"/>
      <c r="W208" s="40">
        <v>43298.268692129626</v>
      </c>
      <c r="X208" s="50">
        <f t="shared" si="51"/>
        <v>21.448611111030914</v>
      </c>
      <c r="Y208">
        <v>0</v>
      </c>
      <c r="Z208">
        <v>0</v>
      </c>
      <c r="AA208" s="32">
        <f t="shared" si="52"/>
        <v>0</v>
      </c>
      <c r="AB208" s="32">
        <f t="shared" si="53"/>
        <v>0</v>
      </c>
      <c r="AC208" s="61"/>
      <c r="AD208" s="40">
        <v>43298.269548611112</v>
      </c>
      <c r="AE208" s="50">
        <f t="shared" si="54"/>
        <v>21.469166666676756</v>
      </c>
      <c r="AF208">
        <v>559</v>
      </c>
      <c r="AG208">
        <v>587.33000000000004</v>
      </c>
      <c r="AH208" s="32">
        <f t="shared" si="55"/>
        <v>0.7530750251711209</v>
      </c>
      <c r="AI208" s="32">
        <f t="shared" si="56"/>
        <v>0.90880838481071291</v>
      </c>
      <c r="AJ208" s="61"/>
      <c r="AK208" s="40">
        <v>43298.270405092589</v>
      </c>
      <c r="AL208" s="50">
        <f t="shared" si="57"/>
        <v>21.489722222147975</v>
      </c>
      <c r="AM208">
        <v>84.73</v>
      </c>
      <c r="AN208">
        <v>90.2</v>
      </c>
      <c r="AO208" s="32">
        <f t="shared" si="58"/>
        <v>0.1141467743877443</v>
      </c>
      <c r="AP208" s="32">
        <f t="shared" si="59"/>
        <v>0.1395714782318736</v>
      </c>
      <c r="AQ208" s="61"/>
      <c r="AR208" s="61"/>
      <c r="AS208" s="61"/>
      <c r="AT208" s="61"/>
      <c r="AU208" s="61"/>
    </row>
    <row r="209" spans="1:47" x14ac:dyDescent="0.2">
      <c r="A209" s="40">
        <v>43298.276956018519</v>
      </c>
      <c r="B209" s="50">
        <f t="shared" si="42"/>
        <v>21.646944444451947</v>
      </c>
      <c r="C209">
        <v>4.16</v>
      </c>
      <c r="D209">
        <v>18.54</v>
      </c>
      <c r="E209" s="32">
        <f t="shared" si="43"/>
        <v>4.8522729184184528E-3</v>
      </c>
      <c r="F209" s="32">
        <f t="shared" si="44"/>
        <v>2.4838497572334937E-2</v>
      </c>
      <c r="G209" s="61"/>
      <c r="H209" s="40">
        <v>43298.277812499997</v>
      </c>
      <c r="I209" s="50">
        <f t="shared" si="45"/>
        <v>21.667499999923166</v>
      </c>
      <c r="J209">
        <v>60903.78</v>
      </c>
      <c r="K209">
        <v>57140.02</v>
      </c>
      <c r="L209" s="32">
        <f t="shared" si="46"/>
        <v>171.81995420066434</v>
      </c>
      <c r="M209" s="32">
        <f t="shared" si="47"/>
        <v>185.15414655169087</v>
      </c>
      <c r="N209" s="61"/>
      <c r="O209" s="40">
        <v>43298.278657407405</v>
      </c>
      <c r="P209" s="50">
        <f t="shared" si="48"/>
        <v>21.687777777726296</v>
      </c>
      <c r="Q209">
        <v>1006.72</v>
      </c>
      <c r="R209">
        <v>949.79</v>
      </c>
      <c r="S209" s="32">
        <f t="shared" si="49"/>
        <v>0.96809321062072418</v>
      </c>
      <c r="T209" s="32">
        <f t="shared" si="50"/>
        <v>1.0490586620642703</v>
      </c>
      <c r="U209" s="61"/>
      <c r="V209" s="61"/>
      <c r="W209" s="40">
        <v>43298.285196759258</v>
      </c>
      <c r="X209" s="50">
        <f t="shared" si="51"/>
        <v>21.844722222187556</v>
      </c>
      <c r="Y209">
        <v>0</v>
      </c>
      <c r="Z209">
        <v>1.95</v>
      </c>
      <c r="AA209" s="32">
        <f t="shared" si="52"/>
        <v>0</v>
      </c>
      <c r="AB209" s="32">
        <f t="shared" si="53"/>
        <v>3.0173434872744287E-3</v>
      </c>
      <c r="AC209" s="61"/>
      <c r="AD209" s="40">
        <v>43298.286053240743</v>
      </c>
      <c r="AE209" s="50">
        <f t="shared" si="54"/>
        <v>21.865277777833398</v>
      </c>
      <c r="AF209">
        <v>583.97</v>
      </c>
      <c r="AG209">
        <v>677.66</v>
      </c>
      <c r="AH209" s="32">
        <f t="shared" si="55"/>
        <v>0.78671417253878262</v>
      </c>
      <c r="AI209" s="32">
        <f t="shared" si="56"/>
        <v>1.0485810192750713</v>
      </c>
      <c r="AJ209" s="61"/>
      <c r="AK209" s="40">
        <v>43298.286898148152</v>
      </c>
      <c r="AL209" s="50">
        <f t="shared" si="57"/>
        <v>21.885555555636529</v>
      </c>
      <c r="AM209">
        <v>91.75</v>
      </c>
      <c r="AN209">
        <v>80.400000000000006</v>
      </c>
      <c r="AO209" s="32">
        <f t="shared" si="58"/>
        <v>0.12360399563407932</v>
      </c>
      <c r="AP209" s="32">
        <f t="shared" si="59"/>
        <v>0.12440739301377646</v>
      </c>
      <c r="AQ209" s="61"/>
      <c r="AR209" s="61"/>
      <c r="AS209" s="61"/>
      <c r="AT209" s="61"/>
      <c r="AU209" s="61"/>
    </row>
    <row r="210" spans="1:47" x14ac:dyDescent="0.2">
      <c r="A210" s="40">
        <v>43298.293449074074</v>
      </c>
      <c r="B210" s="50">
        <f t="shared" si="42"/>
        <v>22.042777777765878</v>
      </c>
      <c r="C210">
        <v>7.69</v>
      </c>
      <c r="D210">
        <v>11.35</v>
      </c>
      <c r="E210" s="32">
        <f t="shared" si="43"/>
        <v>8.9697064285187266E-3</v>
      </c>
      <c r="F210" s="32">
        <f t="shared" si="44"/>
        <v>1.5205876345523279E-2</v>
      </c>
      <c r="G210" s="61"/>
      <c r="H210" s="40">
        <v>43298.294293981482</v>
      </c>
      <c r="I210" s="50">
        <f t="shared" si="45"/>
        <v>22.063055555569008</v>
      </c>
      <c r="J210">
        <v>61038.5</v>
      </c>
      <c r="K210">
        <v>57296.86</v>
      </c>
      <c r="L210" s="32">
        <f t="shared" si="46"/>
        <v>172.20002230530272</v>
      </c>
      <c r="M210" s="32">
        <f t="shared" si="47"/>
        <v>185.66236437074605</v>
      </c>
      <c r="N210" s="61"/>
      <c r="O210" s="40">
        <v>43298.29515046296</v>
      </c>
      <c r="P210" s="50">
        <f t="shared" si="48"/>
        <v>22.083611111040227</v>
      </c>
      <c r="Q210">
        <v>1055.24</v>
      </c>
      <c r="R210">
        <v>984.27</v>
      </c>
      <c r="S210" s="32">
        <f t="shared" si="49"/>
        <v>1.0147515491650241</v>
      </c>
      <c r="T210" s="32">
        <f t="shared" si="50"/>
        <v>1.0871423886438047</v>
      </c>
      <c r="U210" s="61"/>
      <c r="V210" s="61"/>
      <c r="W210" s="40">
        <v>43298.301689814813</v>
      </c>
      <c r="X210" s="50">
        <f t="shared" si="51"/>
        <v>22.240555555501487</v>
      </c>
      <c r="Y210">
        <v>0</v>
      </c>
      <c r="Z210">
        <v>3.3</v>
      </c>
      <c r="AA210" s="32">
        <f t="shared" si="52"/>
        <v>0</v>
      </c>
      <c r="AB210" s="32">
        <f t="shared" si="53"/>
        <v>5.106273593849033E-3</v>
      </c>
      <c r="AC210" s="61"/>
      <c r="AD210" s="40">
        <v>43298.302534722221</v>
      </c>
      <c r="AE210" s="50">
        <f t="shared" si="54"/>
        <v>22.260833333304618</v>
      </c>
      <c r="AF210">
        <v>589.99</v>
      </c>
      <c r="AG210">
        <v>647.74</v>
      </c>
      <c r="AH210" s="32">
        <f t="shared" si="55"/>
        <v>0.79482421127139469</v>
      </c>
      <c r="AI210" s="32">
        <f t="shared" si="56"/>
        <v>1.0022841386908403</v>
      </c>
      <c r="AJ210" s="61"/>
      <c r="AK210" s="40">
        <v>43298.303391203706</v>
      </c>
      <c r="AL210" s="50">
        <f t="shared" si="57"/>
        <v>22.28138888895046</v>
      </c>
      <c r="AM210">
        <v>74.209999999999994</v>
      </c>
      <c r="AN210">
        <v>88.8</v>
      </c>
      <c r="AO210" s="32">
        <f t="shared" si="58"/>
        <v>9.9974414343379017E-2</v>
      </c>
      <c r="AP210" s="32">
        <f t="shared" si="59"/>
        <v>0.13740518034357396</v>
      </c>
      <c r="AQ210" s="61"/>
      <c r="AR210" s="61"/>
      <c r="AS210" s="61"/>
      <c r="AT210" s="61"/>
      <c r="AU210" s="61"/>
    </row>
    <row r="211" spans="1:47" x14ac:dyDescent="0.2">
      <c r="A211" s="40">
        <v>43298.309942129628</v>
      </c>
      <c r="B211" s="50">
        <f t="shared" si="42"/>
        <v>22.438611111079808</v>
      </c>
      <c r="C211">
        <v>0</v>
      </c>
      <c r="D211">
        <v>10.66</v>
      </c>
      <c r="E211" s="32">
        <f t="shared" si="43"/>
        <v>0</v>
      </c>
      <c r="F211" s="32">
        <f t="shared" si="44"/>
        <v>1.4281466241698515E-2</v>
      </c>
      <c r="G211" s="61"/>
      <c r="H211" s="40">
        <v>43298.310787037037</v>
      </c>
      <c r="I211" s="50">
        <f t="shared" si="45"/>
        <v>22.458888888882939</v>
      </c>
      <c r="J211">
        <v>60683.64</v>
      </c>
      <c r="K211">
        <v>56747.35</v>
      </c>
      <c r="L211" s="32">
        <f t="shared" si="46"/>
        <v>171.19890170248223</v>
      </c>
      <c r="M211" s="32">
        <f t="shared" si="47"/>
        <v>183.88175499973741</v>
      </c>
      <c r="N211" s="61"/>
      <c r="O211" s="40">
        <v>43298.311643518522</v>
      </c>
      <c r="P211" s="50">
        <f t="shared" si="48"/>
        <v>22.479444444528781</v>
      </c>
      <c r="Q211">
        <v>1097.28</v>
      </c>
      <c r="R211">
        <v>1009.52</v>
      </c>
      <c r="S211" s="32">
        <f t="shared" si="49"/>
        <v>1.0551785185055509</v>
      </c>
      <c r="T211" s="32">
        <f t="shared" si="50"/>
        <v>1.1150314285548617</v>
      </c>
      <c r="U211" s="61"/>
      <c r="V211" s="61"/>
      <c r="W211" s="40">
        <v>43298.318182870367</v>
      </c>
      <c r="X211" s="50">
        <f t="shared" si="51"/>
        <v>22.636388888815418</v>
      </c>
      <c r="Y211">
        <v>0</v>
      </c>
      <c r="Z211">
        <v>0</v>
      </c>
      <c r="AA211" s="32">
        <f t="shared" ref="AA211:AA215" si="60">(Y211/$B$5)/$C$18</f>
        <v>0</v>
      </c>
      <c r="AB211" s="32">
        <f t="shared" ref="AB211:AB215" si="61">(Z211/$C$5)/$C$18</f>
        <v>0</v>
      </c>
      <c r="AC211" s="61"/>
      <c r="AD211" s="40">
        <v>43298.319027777776</v>
      </c>
      <c r="AE211" s="50">
        <f t="shared" si="54"/>
        <v>22.656666666618548</v>
      </c>
      <c r="AF211">
        <v>599.28</v>
      </c>
      <c r="AG211">
        <v>681.89</v>
      </c>
      <c r="AH211" s="32">
        <f t="shared" si="55"/>
        <v>0.8073395368238806</v>
      </c>
      <c r="AI211" s="32">
        <f t="shared" si="56"/>
        <v>1.0551263336090053</v>
      </c>
      <c r="AJ211" s="61"/>
      <c r="AK211" s="40">
        <v>43298.319884259261</v>
      </c>
      <c r="AL211" s="50">
        <f t="shared" si="57"/>
        <v>22.67722222226439</v>
      </c>
      <c r="AM211">
        <v>82.67</v>
      </c>
      <c r="AN211">
        <v>90.17</v>
      </c>
      <c r="AO211" s="32">
        <f t="shared" si="58"/>
        <v>0.11137157840947505</v>
      </c>
      <c r="AP211" s="32">
        <f t="shared" si="59"/>
        <v>0.13952505756283859</v>
      </c>
      <c r="AQ211" s="61"/>
      <c r="AR211" s="61"/>
      <c r="AS211" s="61"/>
      <c r="AT211" s="61"/>
      <c r="AU211" s="61"/>
    </row>
    <row r="212" spans="1:47" x14ac:dyDescent="0.2">
      <c r="A212" s="40">
        <v>43298.326423611114</v>
      </c>
      <c r="B212" s="50">
        <f t="shared" si="42"/>
        <v>22.83416666672565</v>
      </c>
      <c r="C212">
        <v>2.69</v>
      </c>
      <c r="D212">
        <v>5.0199999999999996</v>
      </c>
      <c r="E212" s="32">
        <f t="shared" si="43"/>
        <v>3.1376476323427016E-3</v>
      </c>
      <c r="F212" s="32">
        <f t="shared" si="44"/>
        <v>6.7254184365221903E-3</v>
      </c>
      <c r="G212" s="61"/>
      <c r="H212" s="40">
        <v>43298.327280092592</v>
      </c>
      <c r="I212" s="50">
        <f t="shared" si="45"/>
        <v>22.85472222219687</v>
      </c>
      <c r="J212">
        <v>60475.67</v>
      </c>
      <c r="K212">
        <v>57347.74</v>
      </c>
      <c r="L212" s="32">
        <f t="shared" si="46"/>
        <v>170.61218285062913</v>
      </c>
      <c r="M212" s="32">
        <f t="shared" si="47"/>
        <v>185.82723380860327</v>
      </c>
      <c r="N212" s="61"/>
      <c r="O212" s="40">
        <v>43298.328136574077</v>
      </c>
      <c r="P212" s="50">
        <f t="shared" si="48"/>
        <v>22.875277777842712</v>
      </c>
      <c r="Q212">
        <v>1084.53</v>
      </c>
      <c r="R212">
        <v>985.43</v>
      </c>
      <c r="S212" s="32">
        <f t="shared" si="49"/>
        <v>1.0429177226184976</v>
      </c>
      <c r="T212" s="32">
        <f t="shared" si="50"/>
        <v>1.0884236277050652</v>
      </c>
      <c r="U212" s="61"/>
      <c r="V212" s="61"/>
      <c r="W212" s="40">
        <v>43298.334675925929</v>
      </c>
      <c r="X212" s="50">
        <f t="shared" si="51"/>
        <v>23.032222222303972</v>
      </c>
      <c r="Y212">
        <v>0</v>
      </c>
      <c r="Z212">
        <v>4.6500000000000004</v>
      </c>
      <c r="AA212" s="32">
        <f t="shared" si="60"/>
        <v>0</v>
      </c>
      <c r="AB212" s="32">
        <f t="shared" si="61"/>
        <v>7.1952037004236391E-3</v>
      </c>
      <c r="AC212" s="61"/>
      <c r="AD212" s="40">
        <v>43298.335520833331</v>
      </c>
      <c r="AE212" s="50">
        <f t="shared" si="54"/>
        <v>23.052499999932479</v>
      </c>
      <c r="AF212">
        <v>567.51</v>
      </c>
      <c r="AG212">
        <v>657.38</v>
      </c>
      <c r="AH212" s="32">
        <f t="shared" si="55"/>
        <v>0.76453954836290294</v>
      </c>
      <c r="AI212" s="32">
        <f t="shared" si="56"/>
        <v>1.0172006470074175</v>
      </c>
      <c r="AJ212" s="61"/>
      <c r="AK212" s="40">
        <v>43298.336377314816</v>
      </c>
      <c r="AL212" s="50">
        <f t="shared" si="57"/>
        <v>23.073055555578321</v>
      </c>
      <c r="AM212">
        <v>69.2</v>
      </c>
      <c r="AN212">
        <v>91.6</v>
      </c>
      <c r="AO212" s="32">
        <f t="shared" si="58"/>
        <v>9.3225029949627128E-2</v>
      </c>
      <c r="AP212" s="32">
        <f t="shared" si="59"/>
        <v>0.14173777612017316</v>
      </c>
      <c r="AQ212" s="61"/>
      <c r="AR212" s="61"/>
      <c r="AS212" s="61"/>
      <c r="AT212" s="61"/>
      <c r="AU212" s="61"/>
    </row>
    <row r="213" spans="1:47" x14ac:dyDescent="0.2">
      <c r="A213" s="40">
        <v>43298.343032407407</v>
      </c>
      <c r="B213" s="50">
        <f t="shared" si="42"/>
        <v>23.232777777768206</v>
      </c>
      <c r="C213">
        <v>12.17</v>
      </c>
      <c r="D213">
        <v>11.78</v>
      </c>
      <c r="E213" s="32">
        <f t="shared" si="43"/>
        <v>1.4195231109892445E-2</v>
      </c>
      <c r="F213" s="32">
        <f t="shared" si="44"/>
        <v>1.5781958004428564E-2</v>
      </c>
      <c r="G213" s="61"/>
      <c r="H213" s="40">
        <v>43298.343888888892</v>
      </c>
      <c r="I213" s="50">
        <f t="shared" si="45"/>
        <v>23.253333333414048</v>
      </c>
      <c r="J213">
        <v>60600.53</v>
      </c>
      <c r="K213">
        <v>57448.480000000003</v>
      </c>
      <c r="L213" s="32">
        <f t="shared" si="46"/>
        <v>170.96443421304861</v>
      </c>
      <c r="M213" s="32">
        <f t="shared" si="47"/>
        <v>186.15366751870027</v>
      </c>
      <c r="N213" s="61"/>
      <c r="O213" s="40">
        <v>43298.34474537037</v>
      </c>
      <c r="P213" s="50">
        <f t="shared" si="48"/>
        <v>23.273888888885267</v>
      </c>
      <c r="Q213">
        <v>1045.27</v>
      </c>
      <c r="R213">
        <v>978.67</v>
      </c>
      <c r="S213" s="32">
        <f t="shared" si="49"/>
        <v>1.0051640875968733</v>
      </c>
      <c r="T213" s="32">
        <f t="shared" si="50"/>
        <v>1.0809570966239266</v>
      </c>
      <c r="U213" s="61"/>
      <c r="V213" s="61"/>
      <c r="W213" s="40">
        <v>43298.351145833331</v>
      </c>
      <c r="X213" s="50">
        <f t="shared" si="51"/>
        <v>23.427499999932479</v>
      </c>
      <c r="Y213">
        <v>0</v>
      </c>
      <c r="Z213">
        <v>1.95</v>
      </c>
      <c r="AA213" s="32">
        <f t="shared" si="60"/>
        <v>0</v>
      </c>
      <c r="AB213" s="32">
        <f t="shared" si="61"/>
        <v>3.0173434872744287E-3</v>
      </c>
      <c r="AC213" s="61"/>
      <c r="AD213" s="40">
        <v>43298.351990740739</v>
      </c>
      <c r="AE213" s="50">
        <f t="shared" si="54"/>
        <v>23.44777777773561</v>
      </c>
      <c r="AF213">
        <v>583.46</v>
      </c>
      <c r="AG213">
        <v>608.54999999999995</v>
      </c>
      <c r="AH213" s="32">
        <f t="shared" si="55"/>
        <v>0.78602710945678378</v>
      </c>
      <c r="AI213" s="32">
        <f t="shared" si="56"/>
        <v>0.94164327137479664</v>
      </c>
      <c r="AJ213" s="61"/>
      <c r="AK213" s="40">
        <v>43298.352847222224</v>
      </c>
      <c r="AL213" s="50">
        <f t="shared" si="57"/>
        <v>23.468333333381452</v>
      </c>
      <c r="AM213">
        <v>82.73</v>
      </c>
      <c r="AN213">
        <v>103.88</v>
      </c>
      <c r="AO213" s="32">
        <f t="shared" si="58"/>
        <v>0.11145240936029845</v>
      </c>
      <c r="AP213" s="32">
        <f t="shared" si="59"/>
        <v>0.16073930331182956</v>
      </c>
      <c r="AQ213" s="61"/>
      <c r="AR213" s="61"/>
      <c r="AS213" s="61"/>
      <c r="AT213" s="61"/>
      <c r="AU213" s="61"/>
    </row>
    <row r="214" spans="1:47" x14ac:dyDescent="0.2">
      <c r="A214" s="40">
        <v>43298.359398148146</v>
      </c>
      <c r="B214" s="50">
        <f t="shared" si="42"/>
        <v>23.6255555555108</v>
      </c>
      <c r="C214">
        <v>6.66</v>
      </c>
      <c r="D214">
        <v>17.899999999999999</v>
      </c>
      <c r="E214" s="32">
        <f t="shared" si="43"/>
        <v>7.7683023165064664E-3</v>
      </c>
      <c r="F214" s="32">
        <f t="shared" si="44"/>
        <v>2.3981073707917768E-2</v>
      </c>
      <c r="G214" s="61"/>
      <c r="H214" s="40">
        <v>43298.360243055555</v>
      </c>
      <c r="I214" s="50">
        <f t="shared" si="45"/>
        <v>23.645833333313931</v>
      </c>
      <c r="J214">
        <v>60525.57</v>
      </c>
      <c r="K214">
        <v>57029.61</v>
      </c>
      <c r="L214" s="32">
        <f t="shared" si="46"/>
        <v>170.75295926409007</v>
      </c>
      <c r="M214" s="32">
        <f t="shared" si="47"/>
        <v>184.79637857539737</v>
      </c>
      <c r="N214" s="61"/>
      <c r="O214" s="40">
        <v>43298.36109953704</v>
      </c>
      <c r="P214" s="50">
        <f t="shared" si="48"/>
        <v>23.666388888959773</v>
      </c>
      <c r="Q214">
        <v>1078.28</v>
      </c>
      <c r="R214">
        <v>957.57</v>
      </c>
      <c r="S214" s="32">
        <f t="shared" si="49"/>
        <v>1.0369075285562168</v>
      </c>
      <c r="T214" s="32">
        <f t="shared" si="50"/>
        <v>1.0576517999061721</v>
      </c>
      <c r="U214" s="61"/>
      <c r="V214" s="61"/>
      <c r="W214" s="40">
        <v>43298.367638888885</v>
      </c>
      <c r="X214" s="50">
        <f t="shared" si="51"/>
        <v>23.82333333324641</v>
      </c>
      <c r="Y214">
        <v>0</v>
      </c>
      <c r="Z214">
        <v>0</v>
      </c>
      <c r="AA214" s="32">
        <f t="shared" si="60"/>
        <v>0</v>
      </c>
      <c r="AB214" s="32">
        <f t="shared" si="61"/>
        <v>0</v>
      </c>
      <c r="AC214" s="61"/>
      <c r="AD214" s="40">
        <v>43298.368483796294</v>
      </c>
      <c r="AE214" s="50">
        <f t="shared" si="54"/>
        <v>23.84361111104954</v>
      </c>
      <c r="AF214">
        <v>555.29</v>
      </c>
      <c r="AG214">
        <v>670.64</v>
      </c>
      <c r="AH214" s="32">
        <f t="shared" si="55"/>
        <v>0.74807697804520867</v>
      </c>
      <c r="AI214" s="32">
        <f t="shared" si="56"/>
        <v>1.0377185827208835</v>
      </c>
      <c r="AJ214" s="61"/>
      <c r="AK214" s="40">
        <v>43298.369340277779</v>
      </c>
      <c r="AL214" s="50">
        <f t="shared" si="57"/>
        <v>23.864166666695382</v>
      </c>
      <c r="AM214">
        <v>91.24</v>
      </c>
      <c r="AN214">
        <v>88.8</v>
      </c>
      <c r="AO214" s="32">
        <f t="shared" si="58"/>
        <v>0.12291693255208061</v>
      </c>
      <c r="AP214" s="32">
        <f t="shared" si="59"/>
        <v>0.13740518034357396</v>
      </c>
      <c r="AQ214" s="61"/>
      <c r="AR214" s="61"/>
      <c r="AS214" s="61"/>
      <c r="AT214" s="61"/>
      <c r="AU214" s="61"/>
    </row>
    <row r="215" spans="1:47" x14ac:dyDescent="0.2">
      <c r="A215" s="40">
        <v>43298.375891203701</v>
      </c>
      <c r="B215" s="50">
        <f t="shared" si="42"/>
        <v>24.021388888824731</v>
      </c>
      <c r="C215">
        <v>0</v>
      </c>
      <c r="D215">
        <v>10.65</v>
      </c>
      <c r="E215" s="32">
        <f t="shared" si="43"/>
        <v>0</v>
      </c>
      <c r="F215" s="32">
        <f t="shared" si="44"/>
        <v>1.4268068993816996E-2</v>
      </c>
      <c r="G215" s="61"/>
      <c r="H215" s="40">
        <v>43298.376747685186</v>
      </c>
      <c r="I215" s="50">
        <f t="shared" si="45"/>
        <v>24.041944444470573</v>
      </c>
      <c r="J215">
        <v>60203.13</v>
      </c>
      <c r="K215">
        <v>57273.74</v>
      </c>
      <c r="L215" s="32">
        <f t="shared" si="46"/>
        <v>169.84330101245999</v>
      </c>
      <c r="M215" s="32">
        <f t="shared" si="47"/>
        <v>185.58744728341782</v>
      </c>
      <c r="N215" s="61"/>
      <c r="O215" s="40">
        <v>43298.377592592595</v>
      </c>
      <c r="P215" s="50">
        <f t="shared" si="48"/>
        <v>24.062222222273704</v>
      </c>
      <c r="Q215">
        <v>1024.72</v>
      </c>
      <c r="R215">
        <v>969.29</v>
      </c>
      <c r="S215" s="32">
        <f t="shared" si="49"/>
        <v>0.98540256952009353</v>
      </c>
      <c r="T215" s="32">
        <f t="shared" si="50"/>
        <v>1.0705967324906311</v>
      </c>
      <c r="U215" s="61"/>
      <c r="V215" s="61"/>
      <c r="W215" s="40">
        <v>43298.38385416667</v>
      </c>
      <c r="X215" s="50">
        <f t="shared" si="51"/>
        <v>24.212500000081491</v>
      </c>
      <c r="Y215">
        <v>0</v>
      </c>
      <c r="Z215">
        <v>3.28</v>
      </c>
      <c r="AA215" s="32">
        <f t="shared" si="60"/>
        <v>0</v>
      </c>
      <c r="AB215" s="32">
        <f t="shared" si="61"/>
        <v>5.0753264811590395E-3</v>
      </c>
      <c r="AC215" s="61"/>
      <c r="AD215" s="40">
        <v>43298.384710648148</v>
      </c>
      <c r="AE215" s="50">
        <f t="shared" si="54"/>
        <v>24.23305555555271</v>
      </c>
      <c r="AF215">
        <v>584.29999999999995</v>
      </c>
      <c r="AG215">
        <v>636.65</v>
      </c>
      <c r="AH215" s="32">
        <f t="shared" si="55"/>
        <v>0.78715874276831099</v>
      </c>
      <c r="AI215" s="32">
        <f t="shared" si="56"/>
        <v>0.98512396470423846</v>
      </c>
      <c r="AJ215" s="61"/>
      <c r="AK215" s="40">
        <v>43298.385555555556</v>
      </c>
      <c r="AL215" s="50">
        <f t="shared" si="57"/>
        <v>24.25333333335584</v>
      </c>
      <c r="AM215">
        <v>74.209999999999994</v>
      </c>
      <c r="AN215">
        <v>107.75</v>
      </c>
      <c r="AO215" s="32">
        <f t="shared" si="58"/>
        <v>9.9974414343379017E-2</v>
      </c>
      <c r="AP215" s="32">
        <f t="shared" si="59"/>
        <v>0.16672756961734345</v>
      </c>
      <c r="AQ215" s="61"/>
      <c r="AR215" s="61"/>
      <c r="AS215" s="61"/>
      <c r="AT215" s="61"/>
      <c r="AU215" s="61"/>
    </row>
    <row r="216" spans="1:47" x14ac:dyDescent="0.2">
      <c r="A216" s="61"/>
      <c r="B216" s="61"/>
      <c r="C216" s="61"/>
      <c r="D216" s="61"/>
      <c r="E216" s="61"/>
      <c r="F216" s="61"/>
      <c r="G216" s="61"/>
      <c r="H216" s="61"/>
      <c r="I216" s="61"/>
      <c r="J216" s="61"/>
      <c r="K216" s="61"/>
      <c r="L216" s="61"/>
      <c r="M216" s="61"/>
      <c r="N216" s="61"/>
      <c r="O216" s="61"/>
      <c r="P216" s="61"/>
      <c r="Q216" s="61"/>
      <c r="R216" s="61"/>
      <c r="S216" s="61"/>
      <c r="T216" s="61"/>
      <c r="U216" s="61"/>
      <c r="V216" s="61"/>
      <c r="W216" s="61"/>
      <c r="X216" s="61"/>
      <c r="Y216" s="61"/>
      <c r="Z216" s="61"/>
      <c r="AA216" s="61"/>
      <c r="AB216" s="61"/>
      <c r="AC216" s="61"/>
      <c r="AD216" s="61"/>
      <c r="AE216" s="61"/>
      <c r="AF216" s="61"/>
      <c r="AG216" s="61"/>
      <c r="AH216" s="61"/>
      <c r="AI216" s="61"/>
      <c r="AJ216" s="61"/>
      <c r="AK216" s="61"/>
      <c r="AL216" s="61"/>
      <c r="AM216" s="61"/>
      <c r="AN216" s="61"/>
      <c r="AO216" s="61"/>
      <c r="AP216" s="61"/>
      <c r="AQ216" s="61"/>
      <c r="AR216" s="61"/>
      <c r="AS216" s="61"/>
      <c r="AT216" s="61"/>
      <c r="AU216" s="61"/>
    </row>
    <row r="217" spans="1:47" x14ac:dyDescent="0.2">
      <c r="A217" s="61"/>
      <c r="B217" s="61"/>
      <c r="C217" s="61"/>
      <c r="D217" s="61"/>
      <c r="E217" s="61"/>
      <c r="F217" s="61"/>
      <c r="G217" s="61"/>
      <c r="H217" s="61"/>
      <c r="I217" s="61"/>
      <c r="J217" s="61"/>
      <c r="K217" s="61"/>
      <c r="L217" s="61"/>
      <c r="M217" s="61"/>
      <c r="N217" s="61"/>
      <c r="O217" s="61"/>
      <c r="P217" s="61"/>
      <c r="Q217" s="61"/>
      <c r="R217" s="61"/>
      <c r="S217" s="61"/>
      <c r="T217" s="61"/>
      <c r="U217" s="61"/>
      <c r="V217" s="61"/>
      <c r="W217" s="61"/>
      <c r="X217" s="61"/>
      <c r="Y217" s="61"/>
      <c r="Z217" s="61"/>
      <c r="AA217" s="61"/>
      <c r="AB217" s="61"/>
      <c r="AC217" s="61"/>
      <c r="AD217" s="61"/>
      <c r="AE217" s="61"/>
      <c r="AF217" s="61"/>
      <c r="AG217" s="61"/>
      <c r="AH217" s="61"/>
      <c r="AI217" s="61"/>
      <c r="AJ217" s="61"/>
      <c r="AK217" s="61"/>
      <c r="AL217" s="61"/>
      <c r="AM217" s="61"/>
      <c r="AN217" s="61"/>
      <c r="AO217" s="61"/>
      <c r="AP217" s="61"/>
      <c r="AQ217" s="61"/>
      <c r="AR217" s="61"/>
      <c r="AS217" s="61"/>
      <c r="AT217" s="61"/>
      <c r="AU217" s="61"/>
    </row>
    <row r="218" spans="1:47" x14ac:dyDescent="0.2">
      <c r="A218" s="61"/>
      <c r="B218" s="61"/>
      <c r="C218" s="61"/>
      <c r="D218" s="61"/>
      <c r="E218" s="61"/>
      <c r="F218" s="61"/>
      <c r="G218" s="61"/>
      <c r="H218" s="61"/>
      <c r="I218" s="61"/>
      <c r="J218" s="61"/>
      <c r="K218" s="61"/>
      <c r="L218" s="61"/>
      <c r="M218" s="61"/>
      <c r="N218" s="61"/>
      <c r="O218" s="61"/>
      <c r="P218" s="61"/>
      <c r="Q218" s="61"/>
      <c r="R218" s="61"/>
      <c r="S218" s="61"/>
      <c r="T218" s="61"/>
      <c r="U218" s="61"/>
      <c r="V218" s="61"/>
      <c r="W218" s="61"/>
      <c r="X218" s="61"/>
      <c r="Y218" s="61"/>
      <c r="Z218" s="61"/>
      <c r="AA218" s="61"/>
      <c r="AB218" s="61"/>
      <c r="AC218" s="61"/>
      <c r="AD218" s="61"/>
      <c r="AE218" s="61"/>
      <c r="AF218" s="61"/>
      <c r="AG218" s="61"/>
      <c r="AH218" s="61"/>
      <c r="AI218" s="61"/>
      <c r="AJ218" s="61"/>
      <c r="AK218" s="61"/>
      <c r="AL218" s="61"/>
      <c r="AM218" s="61"/>
      <c r="AN218" s="61"/>
      <c r="AO218" s="61"/>
      <c r="AP218" s="61"/>
      <c r="AQ218" s="61"/>
      <c r="AR218" s="61"/>
      <c r="AS218" s="61"/>
      <c r="AT218" s="61"/>
      <c r="AU218" s="61"/>
    </row>
    <row r="219" spans="1:47" x14ac:dyDescent="0.2">
      <c r="A219" s="61"/>
      <c r="B219" s="61"/>
      <c r="C219" s="61"/>
      <c r="D219" s="61"/>
      <c r="E219" s="61"/>
      <c r="F219" s="61"/>
      <c r="G219" s="61"/>
      <c r="H219" s="61"/>
      <c r="I219" s="61"/>
      <c r="J219" s="61"/>
      <c r="K219" s="61"/>
      <c r="L219" s="61"/>
      <c r="M219" s="61"/>
      <c r="N219" s="61"/>
      <c r="O219" s="61"/>
      <c r="P219" s="61"/>
      <c r="Q219" s="61"/>
      <c r="R219" s="61"/>
      <c r="S219" s="61"/>
      <c r="T219" s="61"/>
      <c r="U219" s="61"/>
      <c r="V219" s="61"/>
      <c r="W219" s="61"/>
      <c r="X219" s="61"/>
      <c r="Y219" s="61"/>
      <c r="Z219" s="61"/>
      <c r="AA219" s="61"/>
      <c r="AB219" s="61"/>
      <c r="AC219" s="61"/>
      <c r="AD219" s="61"/>
      <c r="AE219" s="61"/>
      <c r="AF219" s="61"/>
      <c r="AG219" s="61"/>
      <c r="AH219" s="61"/>
      <c r="AI219" s="61"/>
      <c r="AJ219" s="61"/>
      <c r="AK219" s="61"/>
      <c r="AL219" s="61"/>
      <c r="AM219" s="61"/>
      <c r="AN219" s="61"/>
      <c r="AO219" s="61"/>
      <c r="AP219" s="61"/>
      <c r="AQ219" s="61"/>
      <c r="AR219" s="61"/>
      <c r="AS219" s="61"/>
      <c r="AT219" s="61"/>
      <c r="AU219" s="61"/>
    </row>
    <row r="220" spans="1:47" x14ac:dyDescent="0.2">
      <c r="A220" s="61"/>
      <c r="B220" s="61"/>
      <c r="C220" s="61"/>
      <c r="D220" s="61"/>
      <c r="E220" s="61"/>
      <c r="F220" s="61"/>
      <c r="G220" s="61"/>
      <c r="H220" s="61"/>
      <c r="I220" s="61"/>
      <c r="J220" s="61"/>
      <c r="K220" s="61"/>
      <c r="L220" s="61"/>
      <c r="M220" s="61"/>
      <c r="N220" s="61"/>
      <c r="O220" s="61"/>
      <c r="P220" s="61"/>
      <c r="Q220" s="61"/>
      <c r="R220" s="61"/>
      <c r="S220" s="61"/>
      <c r="T220" s="61"/>
      <c r="U220" s="61"/>
      <c r="V220" s="61"/>
      <c r="W220" s="61"/>
      <c r="X220" s="61"/>
      <c r="Y220" s="61"/>
      <c r="Z220" s="61"/>
      <c r="AA220" s="61"/>
      <c r="AB220" s="61"/>
      <c r="AC220" s="61"/>
      <c r="AD220" s="61"/>
      <c r="AE220" s="61"/>
      <c r="AF220" s="61"/>
      <c r="AG220" s="61"/>
      <c r="AH220" s="61"/>
      <c r="AI220" s="61"/>
      <c r="AJ220" s="61"/>
      <c r="AK220" s="61"/>
      <c r="AL220" s="61"/>
      <c r="AM220" s="61"/>
      <c r="AN220" s="61"/>
      <c r="AO220" s="61"/>
      <c r="AP220" s="61"/>
      <c r="AQ220" s="61"/>
      <c r="AR220" s="61"/>
      <c r="AS220" s="61"/>
      <c r="AT220" s="61"/>
      <c r="AU220" s="61"/>
    </row>
    <row r="221" spans="1:47" x14ac:dyDescent="0.2">
      <c r="A221" s="61"/>
      <c r="B221" s="61"/>
      <c r="C221" s="61"/>
      <c r="D221" s="61"/>
      <c r="E221" s="61"/>
      <c r="F221" s="61"/>
      <c r="G221" s="61"/>
      <c r="H221" s="61"/>
      <c r="I221" s="61"/>
      <c r="J221" s="61"/>
      <c r="K221" s="61"/>
      <c r="L221" s="61"/>
      <c r="M221" s="61"/>
      <c r="N221" s="61"/>
      <c r="O221" s="61"/>
      <c r="P221" s="61"/>
      <c r="Q221" s="61"/>
      <c r="R221" s="61"/>
      <c r="S221" s="61"/>
      <c r="T221" s="61"/>
      <c r="U221" s="61"/>
      <c r="V221" s="61"/>
      <c r="W221" s="61"/>
      <c r="X221" s="61"/>
      <c r="Y221" s="61"/>
      <c r="Z221" s="61"/>
      <c r="AA221" s="61"/>
      <c r="AB221" s="61"/>
      <c r="AC221" s="61"/>
      <c r="AD221" s="61"/>
      <c r="AE221" s="61"/>
      <c r="AF221" s="61"/>
      <c r="AG221" s="61"/>
      <c r="AH221" s="61"/>
      <c r="AI221" s="61"/>
      <c r="AJ221" s="61"/>
      <c r="AK221" s="61"/>
      <c r="AL221" s="61"/>
      <c r="AM221" s="61"/>
      <c r="AN221" s="61"/>
      <c r="AO221" s="61"/>
      <c r="AP221" s="61"/>
      <c r="AQ221" s="61"/>
      <c r="AR221" s="61"/>
      <c r="AS221" s="61"/>
      <c r="AT221" s="61"/>
      <c r="AU221" s="61"/>
    </row>
    <row r="222" spans="1:47" x14ac:dyDescent="0.2">
      <c r="A222" s="61"/>
      <c r="B222" s="61"/>
      <c r="C222" s="61"/>
      <c r="D222" s="61"/>
      <c r="E222" s="61"/>
      <c r="F222" s="61"/>
      <c r="G222" s="61"/>
      <c r="H222" s="61"/>
      <c r="I222" s="61"/>
      <c r="J222" s="61"/>
      <c r="K222" s="61"/>
      <c r="L222" s="61"/>
      <c r="M222" s="61"/>
      <c r="N222" s="61"/>
      <c r="O222" s="61"/>
      <c r="P222" s="61"/>
      <c r="Q222" s="61"/>
      <c r="R222" s="61"/>
      <c r="S222" s="61"/>
      <c r="T222" s="61"/>
      <c r="U222" s="61"/>
      <c r="V222" s="61"/>
      <c r="W222" s="61"/>
      <c r="X222" s="61"/>
      <c r="Y222" s="61"/>
      <c r="Z222" s="61"/>
      <c r="AA222" s="61"/>
      <c r="AB222" s="61"/>
      <c r="AC222" s="61"/>
      <c r="AD222" s="61"/>
      <c r="AE222" s="61"/>
      <c r="AF222" s="61"/>
      <c r="AG222" s="61"/>
      <c r="AH222" s="61"/>
      <c r="AI222" s="61"/>
      <c r="AJ222" s="61"/>
      <c r="AK222" s="61"/>
      <c r="AL222" s="61"/>
      <c r="AM222" s="61"/>
      <c r="AN222" s="61"/>
      <c r="AO222" s="61"/>
      <c r="AP222" s="61"/>
      <c r="AQ222" s="61"/>
      <c r="AR222" s="61"/>
      <c r="AS222" s="61"/>
      <c r="AT222" s="61"/>
      <c r="AU222" s="61"/>
    </row>
    <row r="223" spans="1:47" x14ac:dyDescent="0.2">
      <c r="A223" s="61"/>
      <c r="B223" s="61"/>
      <c r="C223" s="61"/>
      <c r="D223" s="61"/>
      <c r="E223" s="61"/>
      <c r="F223" s="61"/>
      <c r="G223" s="61"/>
      <c r="H223" s="61"/>
      <c r="I223" s="61"/>
      <c r="J223" s="61"/>
      <c r="K223" s="61"/>
      <c r="L223" s="61"/>
      <c r="M223" s="61"/>
      <c r="N223" s="61"/>
      <c r="O223" s="61"/>
      <c r="P223" s="61"/>
      <c r="Q223" s="61"/>
      <c r="R223" s="61"/>
      <c r="S223" s="61"/>
      <c r="T223" s="61"/>
      <c r="U223" s="61"/>
      <c r="V223" s="61"/>
      <c r="W223" s="61"/>
      <c r="X223" s="61"/>
      <c r="Y223" s="61"/>
      <c r="Z223" s="61"/>
      <c r="AA223" s="61"/>
      <c r="AB223" s="61"/>
      <c r="AC223" s="61"/>
      <c r="AD223" s="61"/>
      <c r="AE223" s="61"/>
      <c r="AF223" s="61"/>
      <c r="AG223" s="61"/>
      <c r="AH223" s="61"/>
      <c r="AI223" s="61"/>
      <c r="AJ223" s="61"/>
      <c r="AK223" s="61"/>
      <c r="AL223" s="61"/>
      <c r="AM223" s="61"/>
      <c r="AN223" s="61"/>
      <c r="AO223" s="61"/>
      <c r="AP223" s="61"/>
      <c r="AQ223" s="61"/>
      <c r="AR223" s="61"/>
      <c r="AS223" s="61"/>
      <c r="AT223" s="61"/>
      <c r="AU223" s="61"/>
    </row>
    <row r="224" spans="1:47" x14ac:dyDescent="0.2">
      <c r="A224" s="61"/>
      <c r="B224" s="61"/>
      <c r="C224" s="61"/>
      <c r="D224" s="61"/>
      <c r="E224" s="61"/>
      <c r="F224" s="61"/>
      <c r="G224" s="61"/>
      <c r="H224" s="61"/>
      <c r="I224" s="61"/>
      <c r="J224" s="61"/>
      <c r="K224" s="61"/>
      <c r="L224" s="61"/>
      <c r="M224" s="61"/>
      <c r="N224" s="61"/>
      <c r="O224" s="61"/>
      <c r="P224" s="61"/>
      <c r="Q224" s="61"/>
      <c r="R224" s="61"/>
      <c r="S224" s="61"/>
      <c r="T224" s="61"/>
      <c r="U224" s="61"/>
      <c r="V224" s="61"/>
      <c r="W224" s="61"/>
      <c r="X224" s="61"/>
      <c r="Y224" s="61"/>
      <c r="Z224" s="61"/>
      <c r="AA224" s="61"/>
      <c r="AB224" s="61"/>
      <c r="AC224" s="61"/>
      <c r="AD224" s="61"/>
      <c r="AE224" s="61"/>
      <c r="AF224" s="61"/>
      <c r="AG224" s="61"/>
      <c r="AH224" s="61"/>
      <c r="AI224" s="61"/>
      <c r="AJ224" s="61"/>
      <c r="AK224" s="61"/>
      <c r="AL224" s="61"/>
      <c r="AM224" s="61"/>
      <c r="AN224" s="61"/>
      <c r="AO224" s="61"/>
      <c r="AP224" s="61"/>
      <c r="AQ224" s="61"/>
      <c r="AR224" s="61"/>
      <c r="AS224" s="61"/>
      <c r="AT224" s="61"/>
      <c r="AU224" s="61"/>
    </row>
    <row r="225" spans="1:47" x14ac:dyDescent="0.2">
      <c r="A225" s="61"/>
      <c r="B225" s="61"/>
      <c r="C225" s="61"/>
      <c r="D225" s="61"/>
      <c r="E225" s="61"/>
      <c r="F225" s="61"/>
      <c r="G225" s="61"/>
      <c r="H225" s="61"/>
      <c r="I225" s="61"/>
      <c r="J225" s="61"/>
      <c r="K225" s="61"/>
      <c r="L225" s="61"/>
      <c r="M225" s="61"/>
      <c r="N225" s="61"/>
      <c r="O225" s="61"/>
      <c r="P225" s="61"/>
      <c r="Q225" s="61"/>
      <c r="R225" s="61"/>
      <c r="S225" s="61"/>
      <c r="T225" s="61"/>
      <c r="U225" s="61"/>
      <c r="V225" s="61"/>
      <c r="W225" s="61"/>
      <c r="X225" s="61"/>
      <c r="Y225" s="61"/>
      <c r="Z225" s="61"/>
      <c r="AA225" s="61"/>
      <c r="AB225" s="61"/>
      <c r="AC225" s="61"/>
      <c r="AD225" s="61"/>
      <c r="AE225" s="61"/>
      <c r="AF225" s="61"/>
      <c r="AG225" s="61"/>
      <c r="AH225" s="61"/>
      <c r="AI225" s="61"/>
      <c r="AJ225" s="61"/>
      <c r="AK225" s="61"/>
      <c r="AL225" s="61"/>
      <c r="AM225" s="61"/>
      <c r="AN225" s="61"/>
      <c r="AO225" s="61"/>
      <c r="AP225" s="61"/>
      <c r="AQ225" s="61"/>
      <c r="AR225" s="61"/>
      <c r="AS225" s="61"/>
      <c r="AT225" s="61"/>
      <c r="AU225" s="61"/>
    </row>
    <row r="226" spans="1:47" x14ac:dyDescent="0.2">
      <c r="A226" s="61"/>
      <c r="B226" s="61"/>
      <c r="C226" s="61"/>
      <c r="D226" s="61"/>
      <c r="E226" s="61"/>
      <c r="F226" s="61"/>
      <c r="G226" s="61"/>
      <c r="H226" s="61"/>
      <c r="I226" s="61"/>
      <c r="J226" s="61"/>
      <c r="K226" s="61"/>
      <c r="L226" s="61"/>
      <c r="M226" s="61"/>
      <c r="N226" s="61"/>
      <c r="O226" s="61"/>
      <c r="P226" s="61"/>
      <c r="Q226" s="61"/>
      <c r="R226" s="61"/>
      <c r="S226" s="61"/>
      <c r="T226" s="61"/>
      <c r="U226" s="61"/>
      <c r="V226" s="61"/>
      <c r="W226" s="61"/>
      <c r="X226" s="61"/>
      <c r="Y226" s="61"/>
      <c r="Z226" s="61"/>
      <c r="AA226" s="61"/>
      <c r="AB226" s="61"/>
      <c r="AC226" s="61"/>
      <c r="AD226" s="61"/>
      <c r="AE226" s="61"/>
      <c r="AF226" s="61"/>
      <c r="AG226" s="61"/>
      <c r="AH226" s="61"/>
      <c r="AI226" s="61"/>
      <c r="AJ226" s="61"/>
      <c r="AK226" s="61"/>
      <c r="AL226" s="61"/>
      <c r="AM226" s="61"/>
      <c r="AN226" s="61"/>
      <c r="AO226" s="61"/>
      <c r="AP226" s="61"/>
      <c r="AQ226" s="61"/>
      <c r="AR226" s="61"/>
      <c r="AS226" s="61"/>
      <c r="AT226" s="61"/>
      <c r="AU226" s="61"/>
    </row>
    <row r="227" spans="1:47" x14ac:dyDescent="0.2">
      <c r="A227" s="61"/>
      <c r="B227" s="61"/>
      <c r="C227" s="61"/>
      <c r="D227" s="61"/>
      <c r="E227" s="61"/>
      <c r="F227" s="61"/>
      <c r="G227" s="61"/>
      <c r="H227" s="61"/>
      <c r="I227" s="61"/>
      <c r="J227" s="61"/>
      <c r="K227" s="61"/>
      <c r="L227" s="61"/>
      <c r="M227" s="61"/>
      <c r="N227" s="61"/>
      <c r="O227" s="61"/>
      <c r="P227" s="61"/>
      <c r="Q227" s="61"/>
      <c r="R227" s="61"/>
      <c r="S227" s="61"/>
      <c r="T227" s="61"/>
      <c r="U227" s="61"/>
      <c r="V227" s="61"/>
      <c r="W227" s="61"/>
      <c r="X227" s="61"/>
      <c r="Y227" s="61"/>
      <c r="Z227" s="61"/>
      <c r="AA227" s="61"/>
      <c r="AB227" s="61"/>
      <c r="AC227" s="61"/>
      <c r="AD227" s="61"/>
      <c r="AE227" s="61"/>
      <c r="AF227" s="61"/>
      <c r="AG227" s="61"/>
      <c r="AH227" s="61"/>
      <c r="AI227" s="61"/>
      <c r="AJ227" s="61"/>
      <c r="AK227" s="61"/>
      <c r="AL227" s="61"/>
      <c r="AM227" s="61"/>
      <c r="AN227" s="61"/>
      <c r="AO227" s="61"/>
      <c r="AP227" s="61"/>
      <c r="AQ227" s="61"/>
      <c r="AR227" s="61"/>
      <c r="AS227" s="61"/>
      <c r="AT227" s="61"/>
      <c r="AU227" s="61"/>
    </row>
    <row r="228" spans="1:47" x14ac:dyDescent="0.2">
      <c r="A228" s="61"/>
      <c r="B228" s="61"/>
      <c r="C228" s="61"/>
      <c r="D228" s="61"/>
      <c r="E228" s="61"/>
      <c r="F228" s="61"/>
      <c r="G228" s="61"/>
      <c r="H228" s="61"/>
      <c r="I228" s="61"/>
      <c r="J228" s="61"/>
      <c r="K228" s="61"/>
      <c r="L228" s="61"/>
      <c r="M228" s="61"/>
      <c r="N228" s="61"/>
      <c r="O228" s="61"/>
      <c r="P228" s="61"/>
      <c r="Q228" s="61"/>
      <c r="R228" s="61"/>
      <c r="S228" s="61"/>
      <c r="T228" s="61"/>
      <c r="U228" s="61"/>
      <c r="V228" s="61"/>
      <c r="W228" s="61"/>
      <c r="X228" s="61"/>
      <c r="Y228" s="61"/>
      <c r="Z228" s="61"/>
      <c r="AA228" s="61"/>
      <c r="AB228" s="61"/>
      <c r="AC228" s="61"/>
      <c r="AD228" s="61"/>
      <c r="AE228" s="61"/>
      <c r="AF228" s="61"/>
      <c r="AG228" s="61"/>
      <c r="AH228" s="61"/>
      <c r="AI228" s="61"/>
      <c r="AJ228" s="61"/>
      <c r="AK228" s="61"/>
      <c r="AL228" s="61"/>
      <c r="AM228" s="61"/>
      <c r="AN228" s="61"/>
      <c r="AO228" s="61"/>
      <c r="AP228" s="61"/>
      <c r="AQ228" s="61"/>
      <c r="AR228" s="61"/>
      <c r="AS228" s="61"/>
      <c r="AT228" s="61"/>
      <c r="AU228" s="61"/>
    </row>
    <row r="229" spans="1:47" x14ac:dyDescent="0.2">
      <c r="A229" s="61"/>
      <c r="B229" s="61"/>
      <c r="C229" s="61"/>
      <c r="D229" s="61"/>
      <c r="E229" s="61"/>
      <c r="F229" s="61"/>
      <c r="G229" s="61"/>
      <c r="H229" s="61"/>
      <c r="I229" s="61"/>
      <c r="J229" s="61"/>
      <c r="K229" s="61"/>
      <c r="L229" s="61"/>
      <c r="M229" s="61"/>
      <c r="N229" s="61"/>
      <c r="O229" s="61"/>
      <c r="P229" s="61"/>
      <c r="Q229" s="61"/>
      <c r="R229" s="61"/>
      <c r="S229" s="61"/>
      <c r="T229" s="61"/>
      <c r="U229" s="61"/>
      <c r="V229" s="61"/>
      <c r="W229" s="61"/>
      <c r="X229" s="61"/>
      <c r="Y229" s="61"/>
      <c r="Z229" s="61"/>
      <c r="AA229" s="61"/>
      <c r="AB229" s="61"/>
      <c r="AC229" s="61"/>
      <c r="AD229" s="61"/>
      <c r="AE229" s="61"/>
      <c r="AF229" s="61"/>
      <c r="AG229" s="61"/>
      <c r="AH229" s="61"/>
      <c r="AI229" s="61"/>
      <c r="AJ229" s="61"/>
      <c r="AK229" s="61"/>
      <c r="AL229" s="61"/>
      <c r="AM229" s="61"/>
      <c r="AN229" s="61"/>
      <c r="AO229" s="61"/>
      <c r="AP229" s="61"/>
      <c r="AQ229" s="61"/>
      <c r="AR229" s="61"/>
      <c r="AS229" s="61"/>
      <c r="AT229" s="61"/>
      <c r="AU229" s="61"/>
    </row>
    <row r="230" spans="1:47" x14ac:dyDescent="0.2">
      <c r="A230" s="61"/>
      <c r="B230" s="61"/>
      <c r="C230" s="61"/>
      <c r="D230" s="61"/>
      <c r="E230" s="61"/>
      <c r="F230" s="61"/>
      <c r="G230" s="61"/>
      <c r="H230" s="61"/>
      <c r="I230" s="61"/>
      <c r="J230" s="61"/>
      <c r="K230" s="61"/>
      <c r="L230" s="61"/>
      <c r="M230" s="61"/>
      <c r="N230" s="61"/>
      <c r="O230" s="61"/>
      <c r="P230" s="61"/>
      <c r="Q230" s="61"/>
      <c r="R230" s="61"/>
      <c r="S230" s="61"/>
      <c r="T230" s="61"/>
      <c r="U230" s="61"/>
      <c r="V230" s="61"/>
      <c r="W230" s="61"/>
      <c r="X230" s="61"/>
      <c r="Y230" s="61"/>
      <c r="Z230" s="61"/>
      <c r="AA230" s="61"/>
      <c r="AB230" s="61"/>
      <c r="AC230" s="61"/>
      <c r="AD230" s="61"/>
      <c r="AE230" s="61"/>
      <c r="AF230" s="61"/>
      <c r="AG230" s="61"/>
      <c r="AH230" s="61"/>
      <c r="AI230" s="61"/>
      <c r="AJ230" s="61"/>
      <c r="AK230" s="61"/>
      <c r="AL230" s="61"/>
      <c r="AM230" s="61"/>
      <c r="AN230" s="61"/>
      <c r="AO230" s="61"/>
      <c r="AP230" s="61"/>
      <c r="AQ230" s="61"/>
      <c r="AR230" s="61"/>
      <c r="AS230" s="61"/>
      <c r="AT230" s="61"/>
      <c r="AU230" s="61"/>
    </row>
    <row r="231" spans="1:47" x14ac:dyDescent="0.2">
      <c r="A231" s="61"/>
      <c r="B231" s="61"/>
      <c r="C231" s="61"/>
      <c r="D231" s="61"/>
      <c r="E231" s="61"/>
      <c r="F231" s="61"/>
      <c r="G231" s="61"/>
      <c r="H231" s="61"/>
      <c r="I231" s="61"/>
      <c r="J231" s="61"/>
      <c r="K231" s="61"/>
      <c r="L231" s="61"/>
      <c r="M231" s="61"/>
      <c r="N231" s="61"/>
      <c r="O231" s="61"/>
      <c r="P231" s="61"/>
      <c r="Q231" s="61"/>
      <c r="R231" s="61"/>
      <c r="S231" s="61"/>
      <c r="T231" s="61"/>
      <c r="U231" s="61"/>
      <c r="V231" s="61"/>
      <c r="W231" s="61"/>
      <c r="X231" s="61"/>
      <c r="Y231" s="61"/>
      <c r="Z231" s="61"/>
      <c r="AA231" s="61"/>
      <c r="AB231" s="61"/>
      <c r="AC231" s="61"/>
      <c r="AD231" s="61"/>
      <c r="AE231" s="61"/>
      <c r="AF231" s="61"/>
      <c r="AG231" s="61"/>
      <c r="AH231" s="61"/>
      <c r="AI231" s="61"/>
      <c r="AJ231" s="61"/>
      <c r="AK231" s="61"/>
      <c r="AL231" s="61"/>
      <c r="AM231" s="61"/>
      <c r="AN231" s="61"/>
      <c r="AO231" s="61"/>
      <c r="AP231" s="61"/>
      <c r="AQ231" s="61"/>
      <c r="AR231" s="61"/>
      <c r="AS231" s="61"/>
      <c r="AT231" s="61"/>
      <c r="AU231" s="61"/>
    </row>
    <row r="232" spans="1:47" x14ac:dyDescent="0.2">
      <c r="A232" s="61"/>
      <c r="B232" s="61"/>
      <c r="C232" s="61"/>
      <c r="D232" s="61"/>
      <c r="E232" s="61"/>
      <c r="F232" s="61"/>
      <c r="G232" s="61"/>
      <c r="H232" s="61"/>
      <c r="I232" s="61"/>
      <c r="J232" s="61"/>
      <c r="K232" s="61"/>
      <c r="L232" s="61"/>
      <c r="M232" s="61"/>
      <c r="N232" s="61"/>
      <c r="O232" s="61"/>
      <c r="P232" s="61"/>
      <c r="Q232" s="61"/>
      <c r="R232" s="61"/>
      <c r="S232" s="61"/>
      <c r="T232" s="61"/>
      <c r="U232" s="61"/>
      <c r="V232" s="61"/>
      <c r="W232" s="61"/>
      <c r="X232" s="61"/>
      <c r="Y232" s="61"/>
      <c r="Z232" s="61"/>
      <c r="AA232" s="61"/>
      <c r="AB232" s="61"/>
      <c r="AC232" s="61"/>
      <c r="AD232" s="61"/>
      <c r="AE232" s="61"/>
      <c r="AF232" s="61"/>
      <c r="AG232" s="61"/>
      <c r="AH232" s="61"/>
      <c r="AI232" s="61"/>
      <c r="AJ232" s="61"/>
      <c r="AK232" s="61"/>
      <c r="AL232" s="61"/>
      <c r="AM232" s="61"/>
      <c r="AN232" s="61"/>
      <c r="AO232" s="61"/>
      <c r="AP232" s="61"/>
      <c r="AQ232" s="61"/>
      <c r="AR232" s="61"/>
      <c r="AS232" s="61"/>
      <c r="AT232" s="61"/>
      <c r="AU232" s="61"/>
    </row>
    <row r="233" spans="1:47" x14ac:dyDescent="0.2">
      <c r="A233" s="61"/>
      <c r="B233" s="61"/>
      <c r="C233" s="61"/>
      <c r="D233" s="61"/>
      <c r="E233" s="61"/>
      <c r="F233" s="61"/>
      <c r="G233" s="61"/>
      <c r="H233" s="61"/>
      <c r="I233" s="61"/>
      <c r="J233" s="61"/>
      <c r="K233" s="61"/>
      <c r="L233" s="61"/>
      <c r="M233" s="61"/>
      <c r="N233" s="61"/>
      <c r="O233" s="61"/>
      <c r="P233" s="61"/>
      <c r="Q233" s="61"/>
      <c r="R233" s="61"/>
      <c r="S233" s="61"/>
      <c r="T233" s="61"/>
      <c r="U233" s="61"/>
      <c r="V233" s="61"/>
      <c r="W233" s="61"/>
      <c r="X233" s="61"/>
      <c r="Y233" s="61"/>
      <c r="Z233" s="61"/>
      <c r="AA233" s="61"/>
      <c r="AB233" s="61"/>
      <c r="AC233" s="61"/>
      <c r="AD233" s="61"/>
      <c r="AE233" s="61"/>
      <c r="AF233" s="61"/>
      <c r="AG233" s="61"/>
      <c r="AH233" s="61"/>
      <c r="AI233" s="61"/>
      <c r="AJ233" s="61"/>
      <c r="AK233" s="61"/>
      <c r="AL233" s="61"/>
      <c r="AM233" s="61"/>
      <c r="AN233" s="61"/>
      <c r="AO233" s="61"/>
      <c r="AP233" s="61"/>
      <c r="AQ233" s="61"/>
      <c r="AR233" s="61"/>
      <c r="AS233" s="61"/>
      <c r="AT233" s="61"/>
      <c r="AU233" s="61"/>
    </row>
    <row r="234" spans="1:47" x14ac:dyDescent="0.2">
      <c r="A234" s="61"/>
      <c r="B234" s="61"/>
      <c r="C234" s="61"/>
      <c r="D234" s="61"/>
      <c r="E234" s="61"/>
      <c r="F234" s="61"/>
      <c r="G234" s="61"/>
      <c r="H234" s="61"/>
      <c r="I234" s="61"/>
      <c r="J234" s="61"/>
      <c r="K234" s="61"/>
      <c r="L234" s="61"/>
      <c r="M234" s="61"/>
      <c r="N234" s="61"/>
      <c r="O234" s="61"/>
      <c r="P234" s="61"/>
      <c r="Q234" s="61"/>
      <c r="R234" s="61"/>
      <c r="S234" s="61"/>
      <c r="T234" s="61"/>
      <c r="U234" s="61"/>
      <c r="V234" s="61"/>
      <c r="W234" s="61"/>
      <c r="X234" s="61"/>
      <c r="Y234" s="61"/>
      <c r="Z234" s="61"/>
      <c r="AA234" s="61"/>
      <c r="AB234" s="61"/>
      <c r="AC234" s="61"/>
      <c r="AD234" s="61"/>
      <c r="AE234" s="61"/>
      <c r="AF234" s="61"/>
      <c r="AG234" s="61"/>
      <c r="AH234" s="61"/>
      <c r="AI234" s="61"/>
      <c r="AJ234" s="61"/>
      <c r="AK234" s="61"/>
      <c r="AL234" s="61"/>
      <c r="AM234" s="61"/>
      <c r="AN234" s="61"/>
      <c r="AO234" s="61"/>
      <c r="AP234" s="61"/>
      <c r="AQ234" s="61"/>
      <c r="AR234" s="61"/>
      <c r="AS234" s="61"/>
      <c r="AT234" s="61"/>
      <c r="AU234" s="61"/>
    </row>
    <row r="235" spans="1:47" x14ac:dyDescent="0.2">
      <c r="A235" s="61"/>
      <c r="B235" s="61"/>
      <c r="C235" s="61"/>
      <c r="D235" s="61"/>
      <c r="E235" s="61"/>
      <c r="F235" s="61"/>
      <c r="G235" s="61"/>
      <c r="H235" s="61"/>
      <c r="I235" s="61"/>
      <c r="J235" s="61"/>
      <c r="K235" s="61"/>
      <c r="L235" s="61"/>
      <c r="M235" s="61"/>
      <c r="N235" s="61"/>
      <c r="O235" s="61"/>
      <c r="P235" s="61"/>
      <c r="Q235" s="61"/>
      <c r="R235" s="61"/>
      <c r="S235" s="61"/>
      <c r="T235" s="61"/>
      <c r="U235" s="61"/>
      <c r="V235" s="61"/>
      <c r="W235" s="61"/>
      <c r="X235" s="61"/>
      <c r="Y235" s="61"/>
      <c r="Z235" s="61"/>
      <c r="AA235" s="61"/>
      <c r="AB235" s="61"/>
      <c r="AC235" s="61"/>
      <c r="AD235" s="61"/>
      <c r="AE235" s="61"/>
      <c r="AF235" s="61"/>
      <c r="AG235" s="61"/>
      <c r="AH235" s="61"/>
      <c r="AI235" s="61"/>
      <c r="AJ235" s="61"/>
      <c r="AK235" s="61"/>
      <c r="AL235" s="61"/>
      <c r="AM235" s="61"/>
      <c r="AN235" s="61"/>
      <c r="AO235" s="61"/>
      <c r="AP235" s="61"/>
      <c r="AQ235" s="61"/>
      <c r="AR235" s="61"/>
      <c r="AS235" s="61"/>
      <c r="AT235" s="61"/>
      <c r="AU235" s="61"/>
    </row>
    <row r="236" spans="1:47" x14ac:dyDescent="0.2">
      <c r="A236" s="61"/>
      <c r="B236" s="61"/>
      <c r="C236" s="61"/>
      <c r="D236" s="61"/>
      <c r="E236" s="61"/>
      <c r="F236" s="61"/>
      <c r="G236" s="61"/>
      <c r="H236" s="61"/>
      <c r="I236" s="61"/>
      <c r="J236" s="61"/>
      <c r="K236" s="61"/>
      <c r="L236" s="61"/>
      <c r="M236" s="61"/>
      <c r="N236" s="61"/>
      <c r="O236" s="61"/>
      <c r="P236" s="61"/>
      <c r="Q236" s="61"/>
      <c r="R236" s="61"/>
      <c r="S236" s="61"/>
      <c r="T236" s="61"/>
      <c r="U236" s="61"/>
      <c r="V236" s="61"/>
      <c r="W236" s="61"/>
      <c r="X236" s="61"/>
      <c r="Y236" s="61"/>
      <c r="Z236" s="61"/>
      <c r="AA236" s="61"/>
      <c r="AB236" s="61"/>
      <c r="AC236" s="61"/>
      <c r="AD236" s="61"/>
      <c r="AE236" s="61"/>
      <c r="AF236" s="61"/>
      <c r="AG236" s="61"/>
      <c r="AH236" s="61"/>
      <c r="AI236" s="61"/>
      <c r="AJ236" s="61"/>
      <c r="AK236" s="61"/>
      <c r="AL236" s="61"/>
      <c r="AM236" s="61"/>
      <c r="AN236" s="61"/>
      <c r="AO236" s="61"/>
      <c r="AP236" s="61"/>
      <c r="AQ236" s="61"/>
      <c r="AR236" s="61"/>
      <c r="AS236" s="61"/>
      <c r="AT236" s="61"/>
      <c r="AU236" s="61"/>
    </row>
    <row r="237" spans="1:47" x14ac:dyDescent="0.2">
      <c r="A237" s="61"/>
      <c r="B237" s="61"/>
      <c r="C237" s="61"/>
      <c r="D237" s="61"/>
      <c r="E237" s="61"/>
      <c r="F237" s="61"/>
      <c r="G237" s="61"/>
      <c r="H237" s="61"/>
      <c r="I237" s="61"/>
      <c r="J237" s="61"/>
      <c r="K237" s="61"/>
      <c r="L237" s="61"/>
      <c r="M237" s="61"/>
      <c r="N237" s="61"/>
      <c r="O237" s="61"/>
      <c r="P237" s="61"/>
      <c r="Q237" s="61"/>
      <c r="R237" s="61"/>
      <c r="S237" s="61"/>
      <c r="T237" s="61"/>
      <c r="U237" s="61"/>
      <c r="V237" s="61"/>
      <c r="W237" s="61"/>
      <c r="X237" s="61"/>
      <c r="Y237" s="61"/>
      <c r="Z237" s="61"/>
      <c r="AA237" s="61"/>
      <c r="AB237" s="61"/>
      <c r="AC237" s="61"/>
      <c r="AD237" s="61"/>
      <c r="AE237" s="61"/>
      <c r="AF237" s="61"/>
      <c r="AG237" s="61"/>
      <c r="AH237" s="61"/>
      <c r="AI237" s="61"/>
      <c r="AJ237" s="61"/>
      <c r="AK237" s="61"/>
      <c r="AL237" s="61"/>
      <c r="AM237" s="61"/>
      <c r="AN237" s="61"/>
      <c r="AO237" s="61"/>
      <c r="AP237" s="61"/>
      <c r="AQ237" s="61"/>
      <c r="AR237" s="61"/>
      <c r="AS237" s="61"/>
      <c r="AT237" s="61"/>
      <c r="AU237" s="61"/>
    </row>
    <row r="238" spans="1:47" x14ac:dyDescent="0.2">
      <c r="A238" s="61"/>
      <c r="B238" s="61"/>
      <c r="C238" s="61"/>
      <c r="D238" s="61"/>
      <c r="E238" s="61"/>
      <c r="F238" s="61"/>
      <c r="G238" s="61"/>
      <c r="H238" s="61"/>
      <c r="I238" s="61"/>
      <c r="J238" s="61"/>
      <c r="K238" s="61"/>
      <c r="L238" s="61"/>
      <c r="M238" s="61"/>
      <c r="N238" s="61"/>
      <c r="O238" s="61"/>
      <c r="P238" s="61"/>
      <c r="Q238" s="61"/>
      <c r="R238" s="61"/>
      <c r="S238" s="61"/>
      <c r="T238" s="61"/>
      <c r="U238" s="61"/>
      <c r="V238" s="61"/>
      <c r="W238" s="61"/>
      <c r="X238" s="61"/>
      <c r="Y238" s="61"/>
      <c r="Z238" s="61"/>
      <c r="AA238" s="61"/>
      <c r="AB238" s="61"/>
      <c r="AC238" s="61"/>
      <c r="AD238" s="61"/>
      <c r="AE238" s="61"/>
      <c r="AF238" s="61"/>
      <c r="AG238" s="61"/>
      <c r="AH238" s="61"/>
      <c r="AI238" s="61"/>
      <c r="AJ238" s="61"/>
      <c r="AK238" s="61"/>
      <c r="AL238" s="61"/>
      <c r="AM238" s="61"/>
      <c r="AN238" s="61"/>
      <c r="AO238" s="61"/>
      <c r="AP238" s="61"/>
      <c r="AQ238" s="61"/>
      <c r="AR238" s="61"/>
      <c r="AS238" s="61"/>
      <c r="AT238" s="61"/>
      <c r="AU238" s="61"/>
    </row>
    <row r="239" spans="1:47" x14ac:dyDescent="0.2">
      <c r="A239" s="61"/>
      <c r="B239" s="61"/>
      <c r="C239" s="61"/>
      <c r="D239" s="61"/>
      <c r="E239" s="61"/>
      <c r="F239" s="61"/>
      <c r="G239" s="61"/>
      <c r="H239" s="61"/>
      <c r="I239" s="61"/>
      <c r="J239" s="61"/>
      <c r="K239" s="61"/>
      <c r="L239" s="61"/>
      <c r="M239" s="61"/>
      <c r="N239" s="61"/>
      <c r="O239" s="61"/>
      <c r="P239" s="61"/>
      <c r="Q239" s="61"/>
      <c r="R239" s="61"/>
      <c r="S239" s="61"/>
      <c r="T239" s="61"/>
      <c r="U239" s="61"/>
      <c r="V239" s="61"/>
      <c r="W239" s="61"/>
      <c r="X239" s="61"/>
      <c r="Y239" s="61"/>
      <c r="Z239" s="61"/>
      <c r="AA239" s="61"/>
      <c r="AB239" s="61"/>
      <c r="AC239" s="61"/>
      <c r="AD239" s="61"/>
      <c r="AE239" s="61"/>
      <c r="AF239" s="61"/>
      <c r="AG239" s="61"/>
      <c r="AH239" s="61"/>
      <c r="AI239" s="61"/>
      <c r="AJ239" s="61"/>
      <c r="AK239" s="61"/>
      <c r="AL239" s="61"/>
      <c r="AM239" s="61"/>
      <c r="AN239" s="61"/>
      <c r="AO239" s="61"/>
      <c r="AP239" s="61"/>
      <c r="AQ239" s="61"/>
      <c r="AR239" s="61"/>
      <c r="AS239" s="61"/>
      <c r="AT239" s="61"/>
      <c r="AU239" s="61"/>
    </row>
    <row r="240" spans="1:47" x14ac:dyDescent="0.2">
      <c r="A240" s="61"/>
      <c r="B240" s="61"/>
      <c r="C240" s="61"/>
      <c r="D240" s="61"/>
      <c r="E240" s="61"/>
      <c r="F240" s="61"/>
      <c r="G240" s="61"/>
      <c r="H240" s="61"/>
      <c r="I240" s="61"/>
      <c r="J240" s="61"/>
      <c r="K240" s="61"/>
      <c r="L240" s="61"/>
      <c r="M240" s="61"/>
      <c r="N240" s="61"/>
      <c r="O240" s="61"/>
      <c r="P240" s="61"/>
      <c r="Q240" s="61"/>
      <c r="R240" s="61"/>
      <c r="S240" s="61"/>
      <c r="T240" s="61"/>
      <c r="U240" s="61"/>
      <c r="V240" s="61"/>
      <c r="W240" s="61"/>
      <c r="X240" s="61"/>
      <c r="Y240" s="61"/>
      <c r="Z240" s="61"/>
      <c r="AA240" s="61"/>
      <c r="AB240" s="61"/>
      <c r="AC240" s="61"/>
      <c r="AD240" s="61"/>
      <c r="AE240" s="61"/>
      <c r="AF240" s="61"/>
      <c r="AG240" s="61"/>
      <c r="AH240" s="61"/>
      <c r="AI240" s="61"/>
      <c r="AJ240" s="61"/>
      <c r="AK240" s="61"/>
      <c r="AL240" s="61"/>
      <c r="AM240" s="61"/>
      <c r="AN240" s="61"/>
      <c r="AO240" s="61"/>
      <c r="AP240" s="61"/>
      <c r="AQ240" s="61"/>
      <c r="AR240" s="61"/>
      <c r="AS240" s="61"/>
      <c r="AT240" s="61"/>
      <c r="AU240" s="61"/>
    </row>
    <row r="241" spans="1:47" x14ac:dyDescent="0.2">
      <c r="A241" s="61"/>
      <c r="B241" s="61"/>
      <c r="C241" s="61"/>
      <c r="D241" s="61"/>
      <c r="E241" s="61"/>
      <c r="F241" s="61"/>
      <c r="G241" s="61"/>
      <c r="H241" s="61"/>
      <c r="I241" s="61"/>
      <c r="J241" s="61"/>
      <c r="K241" s="61"/>
      <c r="L241" s="61"/>
      <c r="M241" s="61"/>
      <c r="N241" s="61"/>
      <c r="O241" s="61"/>
      <c r="P241" s="61"/>
      <c r="Q241" s="61"/>
      <c r="R241" s="61"/>
      <c r="S241" s="61"/>
      <c r="T241" s="61"/>
      <c r="U241" s="61"/>
      <c r="V241" s="61"/>
      <c r="W241" s="61"/>
      <c r="X241" s="61"/>
      <c r="Y241" s="61"/>
      <c r="Z241" s="61"/>
      <c r="AA241" s="61"/>
      <c r="AB241" s="61"/>
      <c r="AC241" s="61"/>
      <c r="AD241" s="61"/>
      <c r="AE241" s="61"/>
      <c r="AF241" s="61"/>
      <c r="AG241" s="61"/>
      <c r="AH241" s="61"/>
      <c r="AI241" s="61"/>
      <c r="AJ241" s="61"/>
      <c r="AK241" s="61"/>
      <c r="AL241" s="61"/>
      <c r="AM241" s="61"/>
      <c r="AN241" s="61"/>
      <c r="AO241" s="61"/>
      <c r="AP241" s="61"/>
      <c r="AQ241" s="61"/>
      <c r="AR241" s="61"/>
      <c r="AS241" s="61"/>
      <c r="AT241" s="61"/>
      <c r="AU241" s="61"/>
    </row>
    <row r="242" spans="1:47" x14ac:dyDescent="0.2">
      <c r="A242" s="61"/>
      <c r="B242" s="61"/>
      <c r="C242" s="61"/>
      <c r="D242" s="61"/>
      <c r="E242" s="61"/>
      <c r="F242" s="61"/>
      <c r="G242" s="61"/>
      <c r="H242" s="61"/>
      <c r="I242" s="61"/>
      <c r="J242" s="61"/>
      <c r="K242" s="61"/>
      <c r="L242" s="61"/>
      <c r="M242" s="61"/>
      <c r="N242" s="61"/>
      <c r="O242" s="61"/>
      <c r="P242" s="61"/>
      <c r="Q242" s="61"/>
      <c r="R242" s="61"/>
      <c r="S242" s="61"/>
      <c r="T242" s="61"/>
      <c r="U242" s="61"/>
      <c r="V242" s="61"/>
      <c r="W242" s="61"/>
      <c r="X242" s="61"/>
      <c r="Y242" s="61"/>
      <c r="Z242" s="61"/>
      <c r="AA242" s="61"/>
      <c r="AB242" s="61"/>
      <c r="AC242" s="61"/>
      <c r="AD242" s="61"/>
      <c r="AE242" s="61"/>
      <c r="AF242" s="61"/>
      <c r="AG242" s="61"/>
      <c r="AH242" s="61"/>
      <c r="AI242" s="61"/>
      <c r="AJ242" s="61"/>
      <c r="AK242" s="61"/>
      <c r="AL242" s="61"/>
      <c r="AM242" s="61"/>
      <c r="AN242" s="61"/>
      <c r="AO242" s="61"/>
      <c r="AP242" s="61"/>
      <c r="AQ242" s="61"/>
      <c r="AR242" s="61"/>
      <c r="AS242" s="61"/>
      <c r="AT242" s="61"/>
      <c r="AU242" s="61"/>
    </row>
    <row r="243" spans="1:47" x14ac:dyDescent="0.2">
      <c r="A243" s="61"/>
      <c r="B243" s="61"/>
      <c r="C243" s="61"/>
      <c r="D243" s="61"/>
      <c r="E243" s="61"/>
      <c r="F243" s="61"/>
      <c r="G243" s="61"/>
      <c r="H243" s="61"/>
      <c r="I243" s="61"/>
      <c r="J243" s="61"/>
      <c r="K243" s="61"/>
      <c r="L243" s="61"/>
      <c r="M243" s="61"/>
      <c r="N243" s="61"/>
      <c r="O243" s="61"/>
      <c r="P243" s="61"/>
      <c r="Q243" s="61"/>
      <c r="R243" s="61"/>
      <c r="S243" s="61"/>
      <c r="T243" s="61"/>
      <c r="U243" s="61"/>
      <c r="V243" s="61"/>
      <c r="W243" s="61"/>
      <c r="X243" s="61"/>
      <c r="Y243" s="61"/>
      <c r="Z243" s="61"/>
      <c r="AA243" s="61"/>
      <c r="AB243" s="61"/>
      <c r="AC243" s="61"/>
      <c r="AD243" s="61"/>
      <c r="AE243" s="61"/>
      <c r="AF243" s="61"/>
      <c r="AG243" s="61"/>
      <c r="AH243" s="61"/>
      <c r="AI243" s="61"/>
      <c r="AJ243" s="61"/>
      <c r="AK243" s="61"/>
      <c r="AL243" s="61"/>
      <c r="AM243" s="61"/>
      <c r="AN243" s="61"/>
      <c r="AO243" s="61"/>
      <c r="AP243" s="61"/>
      <c r="AQ243" s="61"/>
      <c r="AR243" s="61"/>
      <c r="AS243" s="61"/>
      <c r="AT243" s="61"/>
      <c r="AU243" s="61"/>
    </row>
    <row r="244" spans="1:47" x14ac:dyDescent="0.2">
      <c r="A244" s="61"/>
      <c r="B244" s="61"/>
      <c r="C244" s="61"/>
      <c r="D244" s="61"/>
      <c r="E244" s="61"/>
      <c r="F244" s="61"/>
      <c r="G244" s="61"/>
      <c r="H244" s="61"/>
      <c r="I244" s="61"/>
      <c r="J244" s="61"/>
      <c r="K244" s="61"/>
      <c r="L244" s="61"/>
      <c r="M244" s="61"/>
      <c r="N244" s="61"/>
      <c r="O244" s="61"/>
      <c r="P244" s="61"/>
      <c r="Q244" s="61"/>
      <c r="R244" s="61"/>
      <c r="S244" s="61"/>
      <c r="T244" s="61"/>
      <c r="U244" s="61"/>
      <c r="V244" s="61"/>
      <c r="W244" s="61"/>
      <c r="X244" s="61"/>
      <c r="Y244" s="61"/>
      <c r="Z244" s="61"/>
      <c r="AA244" s="61"/>
      <c r="AB244" s="61"/>
      <c r="AC244" s="61"/>
      <c r="AD244" s="61"/>
      <c r="AE244" s="61"/>
      <c r="AF244" s="61"/>
      <c r="AG244" s="61"/>
      <c r="AH244" s="61"/>
      <c r="AI244" s="61"/>
      <c r="AJ244" s="61"/>
      <c r="AK244" s="61"/>
      <c r="AL244" s="61"/>
      <c r="AM244" s="61"/>
      <c r="AN244" s="61"/>
      <c r="AO244" s="61"/>
      <c r="AP244" s="61"/>
      <c r="AQ244" s="61"/>
      <c r="AR244" s="61"/>
      <c r="AS244" s="61"/>
      <c r="AT244" s="61"/>
      <c r="AU244" s="61"/>
    </row>
    <row r="245" spans="1:47" x14ac:dyDescent="0.2">
      <c r="A245" s="61"/>
      <c r="B245" s="61"/>
      <c r="C245" s="61"/>
      <c r="D245" s="61"/>
      <c r="E245" s="61"/>
      <c r="F245" s="61"/>
      <c r="G245" s="61"/>
      <c r="H245" s="61"/>
      <c r="I245" s="61"/>
      <c r="J245" s="61"/>
      <c r="K245" s="61"/>
      <c r="L245" s="61"/>
      <c r="M245" s="61"/>
      <c r="N245" s="61"/>
      <c r="O245" s="61"/>
      <c r="P245" s="61"/>
      <c r="Q245" s="61"/>
      <c r="R245" s="61"/>
      <c r="S245" s="61"/>
      <c r="T245" s="61"/>
      <c r="U245" s="61"/>
      <c r="V245" s="61"/>
      <c r="W245" s="61"/>
      <c r="X245" s="61"/>
      <c r="Y245" s="61"/>
      <c r="Z245" s="61"/>
      <c r="AA245" s="61"/>
      <c r="AB245" s="61"/>
      <c r="AC245" s="61"/>
      <c r="AD245" s="61"/>
      <c r="AE245" s="61"/>
      <c r="AF245" s="61"/>
      <c r="AG245" s="61"/>
      <c r="AH245" s="61"/>
      <c r="AI245" s="61"/>
      <c r="AJ245" s="61"/>
      <c r="AK245" s="61"/>
      <c r="AL245" s="61"/>
      <c r="AM245" s="61"/>
      <c r="AN245" s="61"/>
      <c r="AO245" s="61"/>
      <c r="AP245" s="61"/>
      <c r="AQ245" s="61"/>
      <c r="AR245" s="61"/>
      <c r="AS245" s="61"/>
      <c r="AT245" s="61"/>
      <c r="AU245" s="61"/>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BioD</vt:lpstr>
      <vt:lpstr>Sheet1</vt:lpstr>
      <vt:lpstr>Day 1 - retention</vt:lpstr>
      <vt:lpstr>Day 7 - retention</vt:lpstr>
    </vt:vector>
  </TitlesOfParts>
  <Company>UMC St Radboud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z331146</dc:creator>
  <cp:lastModifiedBy>Robin de Kruyff</cp:lastModifiedBy>
  <dcterms:created xsi:type="dcterms:W3CDTF">2016-07-04T09:25:35Z</dcterms:created>
  <dcterms:modified xsi:type="dcterms:W3CDTF">2019-07-04T17:58:55Z</dcterms:modified>
</cp:coreProperties>
</file>