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026"/>
  <workbookPr defaultThemeVersion="166925"/>
  <mc:AlternateContent xmlns:mc="http://schemas.openxmlformats.org/markup-compatibility/2006">
    <mc:Choice Requires="x15">
      <x15ac:absPath xmlns:x15ac="http://schemas.microsoft.com/office/spreadsheetml/2010/11/ac" url="D:\Master\course\S2\Thesis\research content\report\excel appendices\"/>
    </mc:Choice>
  </mc:AlternateContent>
  <xr:revisionPtr revIDLastSave="0" documentId="13_ncr:1_{A9BAEF51-F9F4-418B-9506-248B1A53253D}" xr6:coauthVersionLast="47" xr6:coauthVersionMax="47" xr10:uidLastSave="{00000000-0000-0000-0000-000000000000}"/>
  <bookViews>
    <workbookView xWindow="-98" yWindow="-98" windowWidth="20715" windowHeight="13155" firstSheet="2" activeTab="4" xr2:uid="{BBD88357-8057-42CC-A877-E2FFE371F7A4}"/>
  </bookViews>
  <sheets>
    <sheet name="File introduction" sheetId="21" r:id="rId1"/>
    <sheet name="1_Leiden raw data" sheetId="12" r:id="rId2"/>
    <sheet name="2_D_Surface area conversion" sheetId="13" r:id="rId3"/>
    <sheet name="3_D_material calculation" sheetId="15" r:id="rId4"/>
    <sheet name="4_C_R surface area calculation" sheetId="19" r:id="rId5"/>
    <sheet name="5_C_R material calcualtion" sheetId="17" r:id="rId6"/>
    <sheet name="6_C_U surface area calculation" sheetId="20" r:id="rId7"/>
    <sheet name="7_C_U material calculation" sheetId="16" r:id="rId8"/>
    <sheet name="8_C_total material_calculation" sheetId="18" r:id="rId9"/>
    <sheet name="9_MI" sheetId="9" r:id="rId10"/>
  </sheets>
  <externalReferences>
    <externalReference r:id="rId11"/>
    <externalReference r:id="rId12"/>
    <externalReference r:id="rId13"/>
    <externalReference r:id="rId14"/>
  </externalReferenc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35" i="20" l="1"/>
  <c r="C35" i="20"/>
  <c r="D35" i="20"/>
  <c r="E35" i="20"/>
  <c r="B36" i="20"/>
  <c r="C36" i="20"/>
  <c r="D36" i="20"/>
  <c r="E36" i="20"/>
  <c r="C5" i="20" l="1"/>
  <c r="A40" i="19" l="1"/>
  <c r="B40" i="19"/>
  <c r="C40" i="19"/>
  <c r="D40" i="19"/>
  <c r="A41" i="19"/>
  <c r="B41" i="19"/>
  <c r="C41" i="19"/>
  <c r="D41" i="19"/>
  <c r="F37" i="15" l="1"/>
  <c r="B8" i="15"/>
  <c r="E29" i="20" l="1"/>
  <c r="D29" i="20"/>
  <c r="C29" i="20"/>
  <c r="E28" i="20"/>
  <c r="D28" i="20"/>
  <c r="C28" i="20"/>
  <c r="E27" i="20"/>
  <c r="D27" i="20"/>
  <c r="C27" i="20"/>
  <c r="E26" i="20"/>
  <c r="D26" i="20"/>
  <c r="C26" i="20"/>
  <c r="E25" i="20"/>
  <c r="D25" i="20"/>
  <c r="C25" i="20"/>
  <c r="E24" i="20"/>
  <c r="D24" i="20"/>
  <c r="C24" i="20"/>
  <c r="E23" i="20"/>
  <c r="D23" i="20"/>
  <c r="C23" i="20"/>
  <c r="E22" i="20"/>
  <c r="D22" i="20"/>
  <c r="C22" i="20"/>
  <c r="E21" i="20"/>
  <c r="D21" i="20"/>
  <c r="C21" i="20"/>
  <c r="E20" i="20"/>
  <c r="D20" i="20"/>
  <c r="C20" i="20"/>
  <c r="E19" i="20"/>
  <c r="D19" i="20"/>
  <c r="C19" i="20"/>
  <c r="E18" i="20"/>
  <c r="D18" i="20"/>
  <c r="C18" i="20"/>
  <c r="E17" i="20"/>
  <c r="D17" i="20"/>
  <c r="C17" i="20"/>
  <c r="E16" i="20"/>
  <c r="D16" i="20"/>
  <c r="C16" i="20"/>
  <c r="E15" i="20"/>
  <c r="D15" i="20"/>
  <c r="C15" i="20"/>
  <c r="E14" i="20"/>
  <c r="D14" i="20"/>
  <c r="C14" i="20"/>
  <c r="E13" i="20"/>
  <c r="D13" i="20"/>
  <c r="C13" i="20"/>
  <c r="E12" i="20"/>
  <c r="D12" i="20"/>
  <c r="C12" i="20"/>
  <c r="E11" i="20"/>
  <c r="D11" i="20"/>
  <c r="C11" i="20"/>
  <c r="E10" i="20"/>
  <c r="D10" i="20"/>
  <c r="C10" i="20"/>
  <c r="B38" i="20" s="1"/>
  <c r="E9" i="20"/>
  <c r="D9" i="20"/>
  <c r="C9" i="20"/>
  <c r="E8" i="20"/>
  <c r="D8" i="20"/>
  <c r="C8" i="20"/>
  <c r="E7" i="20"/>
  <c r="D7" i="20"/>
  <c r="C37" i="20" s="1"/>
  <c r="C7" i="20"/>
  <c r="B37" i="20" s="1"/>
  <c r="E6" i="20"/>
  <c r="D6" i="20"/>
  <c r="C6" i="20"/>
  <c r="E5" i="20"/>
  <c r="D5" i="20"/>
  <c r="C38" i="20" l="1"/>
  <c r="B40" i="20"/>
  <c r="D42" i="20"/>
  <c r="B42" i="20"/>
  <c r="D43" i="20"/>
  <c r="C44" i="20"/>
  <c r="D41" i="20"/>
  <c r="B44" i="20"/>
  <c r="C42" i="20"/>
  <c r="D44" i="20"/>
  <c r="D37" i="20"/>
  <c r="D40" i="20"/>
  <c r="B43" i="20"/>
  <c r="B39" i="20"/>
  <c r="D38" i="20"/>
  <c r="C39" i="20"/>
  <c r="C40" i="20"/>
  <c r="D39" i="20"/>
  <c r="B41" i="20"/>
  <c r="C41" i="20"/>
  <c r="C43" i="20"/>
  <c r="E44" i="20" l="1"/>
  <c r="E42" i="20"/>
  <c r="E43" i="20"/>
  <c r="E37" i="20"/>
  <c r="E38" i="20"/>
  <c r="E40" i="20"/>
  <c r="E39" i="20"/>
  <c r="E41" i="20"/>
  <c r="C44" i="19" l="1"/>
  <c r="M33" i="19"/>
  <c r="N33" i="19" s="1"/>
  <c r="K33" i="19"/>
  <c r="L33" i="19" s="1"/>
  <c r="I33" i="19"/>
  <c r="J33" i="19" s="1"/>
  <c r="G33" i="19"/>
  <c r="H33" i="19" s="1"/>
  <c r="E33" i="19"/>
  <c r="F33" i="19" s="1"/>
  <c r="C33" i="19"/>
  <c r="D33" i="19" s="1"/>
  <c r="M32" i="19"/>
  <c r="N32" i="19" s="1"/>
  <c r="K32" i="19"/>
  <c r="L32" i="19" s="1"/>
  <c r="I32" i="19"/>
  <c r="J32" i="19" s="1"/>
  <c r="G32" i="19"/>
  <c r="H32" i="19" s="1"/>
  <c r="E32" i="19"/>
  <c r="F32" i="19" s="1"/>
  <c r="C32" i="19"/>
  <c r="D32" i="19" s="1"/>
  <c r="M31" i="19"/>
  <c r="N31" i="19" s="1"/>
  <c r="K31" i="19"/>
  <c r="L31" i="19" s="1"/>
  <c r="I31" i="19"/>
  <c r="J31" i="19" s="1"/>
  <c r="G31" i="19"/>
  <c r="H31" i="19" s="1"/>
  <c r="E31" i="19"/>
  <c r="F31" i="19" s="1"/>
  <c r="C31" i="19"/>
  <c r="D31" i="19" s="1"/>
  <c r="M30" i="19"/>
  <c r="N30" i="19" s="1"/>
  <c r="K30" i="19"/>
  <c r="L30" i="19" s="1"/>
  <c r="I30" i="19"/>
  <c r="J30" i="19" s="1"/>
  <c r="G30" i="19"/>
  <c r="H30" i="19" s="1"/>
  <c r="E30" i="19"/>
  <c r="F30" i="19" s="1"/>
  <c r="C30" i="19"/>
  <c r="D30" i="19" s="1"/>
  <c r="M29" i="19"/>
  <c r="N29" i="19" s="1"/>
  <c r="K29" i="19"/>
  <c r="L29" i="19" s="1"/>
  <c r="I29" i="19"/>
  <c r="J29" i="19" s="1"/>
  <c r="G29" i="19"/>
  <c r="H29" i="19" s="1"/>
  <c r="E29" i="19"/>
  <c r="F29" i="19" s="1"/>
  <c r="C29" i="19"/>
  <c r="D29" i="19" s="1"/>
  <c r="M28" i="19"/>
  <c r="N28" i="19" s="1"/>
  <c r="K28" i="19"/>
  <c r="L28" i="19" s="1"/>
  <c r="I28" i="19"/>
  <c r="J28" i="19" s="1"/>
  <c r="G28" i="19"/>
  <c r="H28" i="19" s="1"/>
  <c r="E28" i="19"/>
  <c r="F28" i="19" s="1"/>
  <c r="C28" i="19"/>
  <c r="D28" i="19" s="1"/>
  <c r="M27" i="19"/>
  <c r="N27" i="19" s="1"/>
  <c r="K27" i="19"/>
  <c r="L27" i="19" s="1"/>
  <c r="I27" i="19"/>
  <c r="J27" i="19" s="1"/>
  <c r="G27" i="19"/>
  <c r="H27" i="19" s="1"/>
  <c r="E27" i="19"/>
  <c r="F27" i="19" s="1"/>
  <c r="C27" i="19"/>
  <c r="D27" i="19" s="1"/>
  <c r="M26" i="19"/>
  <c r="N26" i="19" s="1"/>
  <c r="K26" i="19"/>
  <c r="L26" i="19" s="1"/>
  <c r="I26" i="19"/>
  <c r="J26" i="19" s="1"/>
  <c r="G26" i="19"/>
  <c r="H26" i="19" s="1"/>
  <c r="E26" i="19"/>
  <c r="F26" i="19" s="1"/>
  <c r="C26" i="19"/>
  <c r="D26" i="19" s="1"/>
  <c r="M25" i="19"/>
  <c r="N25" i="19" s="1"/>
  <c r="K25" i="19"/>
  <c r="L25" i="19" s="1"/>
  <c r="I25" i="19"/>
  <c r="J25" i="19" s="1"/>
  <c r="G25" i="19"/>
  <c r="H25" i="19" s="1"/>
  <c r="E25" i="19"/>
  <c r="F25" i="19" s="1"/>
  <c r="C25" i="19"/>
  <c r="D25" i="19" s="1"/>
  <c r="M24" i="19"/>
  <c r="N24" i="19" s="1"/>
  <c r="K24" i="19"/>
  <c r="L24" i="19" s="1"/>
  <c r="I24" i="19"/>
  <c r="J24" i="19" s="1"/>
  <c r="G24" i="19"/>
  <c r="H24" i="19" s="1"/>
  <c r="E24" i="19"/>
  <c r="F24" i="19" s="1"/>
  <c r="C24" i="19"/>
  <c r="D24" i="19" s="1"/>
  <c r="M23" i="19"/>
  <c r="N23" i="19" s="1"/>
  <c r="K23" i="19"/>
  <c r="L23" i="19" s="1"/>
  <c r="I23" i="19"/>
  <c r="J23" i="19" s="1"/>
  <c r="G23" i="19"/>
  <c r="H23" i="19" s="1"/>
  <c r="E23" i="19"/>
  <c r="F23" i="19" s="1"/>
  <c r="C23" i="19"/>
  <c r="D23" i="19" s="1"/>
  <c r="M22" i="19"/>
  <c r="N22" i="19" s="1"/>
  <c r="K22" i="19"/>
  <c r="L22" i="19" s="1"/>
  <c r="I22" i="19"/>
  <c r="J22" i="19" s="1"/>
  <c r="G22" i="19"/>
  <c r="H22" i="19" s="1"/>
  <c r="E22" i="19"/>
  <c r="F22" i="19" s="1"/>
  <c r="C22" i="19"/>
  <c r="D22" i="19" s="1"/>
  <c r="M21" i="19"/>
  <c r="N21" i="19" s="1"/>
  <c r="K21" i="19"/>
  <c r="L21" i="19" s="1"/>
  <c r="I21" i="19"/>
  <c r="J21" i="19" s="1"/>
  <c r="G21" i="19"/>
  <c r="H21" i="19" s="1"/>
  <c r="E21" i="19"/>
  <c r="F21" i="19" s="1"/>
  <c r="C21" i="19"/>
  <c r="D21" i="19" s="1"/>
  <c r="M20" i="19"/>
  <c r="N20" i="19" s="1"/>
  <c r="K20" i="19"/>
  <c r="L20" i="19" s="1"/>
  <c r="I20" i="19"/>
  <c r="J20" i="19" s="1"/>
  <c r="G20" i="19"/>
  <c r="H20" i="19" s="1"/>
  <c r="E20" i="19"/>
  <c r="F20" i="19" s="1"/>
  <c r="C20" i="19"/>
  <c r="D20" i="19" s="1"/>
  <c r="M19" i="19"/>
  <c r="N19" i="19" s="1"/>
  <c r="K19" i="19"/>
  <c r="L19" i="19" s="1"/>
  <c r="I19" i="19"/>
  <c r="J19" i="19" s="1"/>
  <c r="G19" i="19"/>
  <c r="H19" i="19" s="1"/>
  <c r="E19" i="19"/>
  <c r="F19" i="19" s="1"/>
  <c r="C19" i="19"/>
  <c r="D19" i="19" s="1"/>
  <c r="M18" i="19"/>
  <c r="N18" i="19" s="1"/>
  <c r="K18" i="19"/>
  <c r="L18" i="19" s="1"/>
  <c r="I18" i="19"/>
  <c r="J18" i="19" s="1"/>
  <c r="G18" i="19"/>
  <c r="H18" i="19" s="1"/>
  <c r="E18" i="19"/>
  <c r="F18" i="19" s="1"/>
  <c r="C18" i="19"/>
  <c r="D18" i="19" s="1"/>
  <c r="M17" i="19"/>
  <c r="N17" i="19" s="1"/>
  <c r="K17" i="19"/>
  <c r="L17" i="19" s="1"/>
  <c r="I17" i="19"/>
  <c r="J17" i="19" s="1"/>
  <c r="G17" i="19"/>
  <c r="H17" i="19" s="1"/>
  <c r="E17" i="19"/>
  <c r="F17" i="19" s="1"/>
  <c r="C17" i="19"/>
  <c r="D17" i="19" s="1"/>
  <c r="M16" i="19"/>
  <c r="N16" i="19" s="1"/>
  <c r="K16" i="19"/>
  <c r="L16" i="19" s="1"/>
  <c r="I16" i="19"/>
  <c r="J16" i="19" s="1"/>
  <c r="G16" i="19"/>
  <c r="H16" i="19" s="1"/>
  <c r="E16" i="19"/>
  <c r="F16" i="19" s="1"/>
  <c r="C16" i="19"/>
  <c r="D16" i="19" s="1"/>
  <c r="M15" i="19"/>
  <c r="N15" i="19" s="1"/>
  <c r="K15" i="19"/>
  <c r="L15" i="19" s="1"/>
  <c r="I15" i="19"/>
  <c r="J15" i="19" s="1"/>
  <c r="G15" i="19"/>
  <c r="H15" i="19" s="1"/>
  <c r="E15" i="19"/>
  <c r="F15" i="19" s="1"/>
  <c r="C15" i="19"/>
  <c r="D15" i="19" s="1"/>
  <c r="M14" i="19"/>
  <c r="N14" i="19" s="1"/>
  <c r="K14" i="19"/>
  <c r="L14" i="19" s="1"/>
  <c r="I14" i="19"/>
  <c r="J14" i="19" s="1"/>
  <c r="G14" i="19"/>
  <c r="H14" i="19" s="1"/>
  <c r="E14" i="19"/>
  <c r="F14" i="19" s="1"/>
  <c r="C14" i="19"/>
  <c r="D14" i="19" s="1"/>
  <c r="M13" i="19"/>
  <c r="N13" i="19" s="1"/>
  <c r="K13" i="19"/>
  <c r="L13" i="19" s="1"/>
  <c r="I13" i="19"/>
  <c r="J13" i="19" s="1"/>
  <c r="G13" i="19"/>
  <c r="H13" i="19" s="1"/>
  <c r="E13" i="19"/>
  <c r="F13" i="19" s="1"/>
  <c r="C13" i="19"/>
  <c r="D13" i="19" s="1"/>
  <c r="M12" i="19"/>
  <c r="N12" i="19" s="1"/>
  <c r="K12" i="19"/>
  <c r="L12" i="19" s="1"/>
  <c r="I12" i="19"/>
  <c r="J12" i="19" s="1"/>
  <c r="G12" i="19"/>
  <c r="H12" i="19" s="1"/>
  <c r="E12" i="19"/>
  <c r="F12" i="19" s="1"/>
  <c r="C12" i="19"/>
  <c r="D12" i="19" s="1"/>
  <c r="M11" i="19"/>
  <c r="N11" i="19" s="1"/>
  <c r="K11" i="19"/>
  <c r="L11" i="19" s="1"/>
  <c r="I11" i="19"/>
  <c r="J11" i="19" s="1"/>
  <c r="G11" i="19"/>
  <c r="H11" i="19" s="1"/>
  <c r="E11" i="19"/>
  <c r="F11" i="19" s="1"/>
  <c r="C11" i="19"/>
  <c r="D11" i="19" s="1"/>
  <c r="M10" i="19"/>
  <c r="N10" i="19" s="1"/>
  <c r="K10" i="19"/>
  <c r="L10" i="19" s="1"/>
  <c r="I10" i="19"/>
  <c r="J10" i="19" s="1"/>
  <c r="G10" i="19"/>
  <c r="H10" i="19" s="1"/>
  <c r="E10" i="19"/>
  <c r="F10" i="19" s="1"/>
  <c r="C10" i="19"/>
  <c r="D10" i="19" s="1"/>
  <c r="O21" i="19" l="1"/>
  <c r="C56" i="19" s="1"/>
  <c r="O25" i="19"/>
  <c r="C60" i="19" s="1"/>
  <c r="O32" i="19"/>
  <c r="C67" i="19" s="1"/>
  <c r="O10" i="19"/>
  <c r="C45" i="19" s="1"/>
  <c r="O30" i="19"/>
  <c r="C65" i="19" s="1"/>
  <c r="O18" i="19"/>
  <c r="C53" i="19" s="1"/>
  <c r="O16" i="19"/>
  <c r="C51" i="19" s="1"/>
  <c r="O13" i="19"/>
  <c r="C48" i="19" s="1"/>
  <c r="O17" i="19"/>
  <c r="C52" i="19" s="1"/>
  <c r="O33" i="19"/>
  <c r="C68" i="19" s="1"/>
  <c r="O26" i="19"/>
  <c r="C61" i="19" s="1"/>
  <c r="O23" i="19"/>
  <c r="C58" i="19" s="1"/>
  <c r="O31" i="19"/>
  <c r="C66" i="19" s="1"/>
  <c r="O15" i="19"/>
  <c r="C50" i="19" s="1"/>
  <c r="O28" i="19"/>
  <c r="C63" i="19" s="1"/>
  <c r="O19" i="19"/>
  <c r="C54" i="19" s="1"/>
  <c r="O12" i="19"/>
  <c r="C47" i="19" s="1"/>
  <c r="O14" i="19"/>
  <c r="C49" i="19" s="1"/>
  <c r="O27" i="19"/>
  <c r="C62" i="19" s="1"/>
  <c r="O20" i="19"/>
  <c r="C55" i="19" s="1"/>
  <c r="O11" i="19"/>
  <c r="C46" i="19" s="1"/>
  <c r="O22" i="19"/>
  <c r="C57" i="19" s="1"/>
  <c r="O24" i="19"/>
  <c r="C59" i="19" s="1"/>
  <c r="O29" i="19"/>
  <c r="C64" i="19" s="1"/>
  <c r="F52" i="19" l="1"/>
  <c r="E52" i="19"/>
  <c r="G52" i="19"/>
  <c r="D52" i="19"/>
  <c r="G56" i="19"/>
  <c r="D56" i="19"/>
  <c r="B79" i="19" s="1"/>
  <c r="E56" i="19"/>
  <c r="C79" i="19" s="1"/>
  <c r="F56" i="19"/>
  <c r="G63" i="19"/>
  <c r="D63" i="19"/>
  <c r="E63" i="19"/>
  <c r="F63" i="19"/>
  <c r="E51" i="19"/>
  <c r="G51" i="19"/>
  <c r="F51" i="19"/>
  <c r="D51" i="19"/>
  <c r="F60" i="19"/>
  <c r="E60" i="19"/>
  <c r="D60" i="19"/>
  <c r="G60" i="19"/>
  <c r="D46" i="19"/>
  <c r="F46" i="19"/>
  <c r="E46" i="19"/>
  <c r="G46" i="19"/>
  <c r="E74" i="19" s="1"/>
  <c r="G55" i="19"/>
  <c r="D55" i="19"/>
  <c r="F55" i="19"/>
  <c r="E55" i="19"/>
  <c r="E50" i="19"/>
  <c r="G50" i="19"/>
  <c r="D50" i="19"/>
  <c r="F50" i="19"/>
  <c r="E49" i="19"/>
  <c r="G49" i="19"/>
  <c r="D49" i="19"/>
  <c r="F49" i="19"/>
  <c r="E59" i="19"/>
  <c r="F59" i="19"/>
  <c r="G59" i="19"/>
  <c r="D59" i="19"/>
  <c r="E57" i="19"/>
  <c r="G57" i="19"/>
  <c r="D57" i="19"/>
  <c r="F57" i="19"/>
  <c r="D62" i="19"/>
  <c r="F62" i="19"/>
  <c r="G62" i="19"/>
  <c r="E62" i="19"/>
  <c r="F53" i="19"/>
  <c r="D53" i="19"/>
  <c r="E53" i="19"/>
  <c r="G53" i="19"/>
  <c r="G47" i="19"/>
  <c r="D47" i="19"/>
  <c r="F47" i="19"/>
  <c r="E47" i="19"/>
  <c r="F61" i="19"/>
  <c r="G61" i="19"/>
  <c r="E61" i="19"/>
  <c r="D61" i="19"/>
  <c r="G45" i="19"/>
  <c r="D45" i="19"/>
  <c r="F45" i="19"/>
  <c r="E45" i="19"/>
  <c r="G48" i="19"/>
  <c r="D48" i="19"/>
  <c r="F48" i="19"/>
  <c r="E48" i="19"/>
  <c r="E66" i="19"/>
  <c r="F66" i="19"/>
  <c r="G66" i="19"/>
  <c r="D66" i="19"/>
  <c r="E58" i="19"/>
  <c r="G58" i="19"/>
  <c r="F58" i="19"/>
  <c r="D58" i="19"/>
  <c r="E65" i="19"/>
  <c r="G65" i="19"/>
  <c r="D65" i="19"/>
  <c r="F65" i="19"/>
  <c r="G64" i="19"/>
  <c r="D64" i="19"/>
  <c r="F64" i="19"/>
  <c r="E64" i="19"/>
  <c r="D54" i="19"/>
  <c r="F54" i="19"/>
  <c r="G54" i="19"/>
  <c r="E54" i="19"/>
  <c r="F68" i="19"/>
  <c r="D68" i="19"/>
  <c r="E68" i="19"/>
  <c r="G68" i="19"/>
  <c r="E67" i="19"/>
  <c r="G67" i="19"/>
  <c r="D67" i="19"/>
  <c r="F67" i="19"/>
  <c r="C78" i="19"/>
  <c r="C82" i="19" l="1"/>
  <c r="D82" i="19"/>
  <c r="B83" i="19"/>
  <c r="B82" i="19"/>
  <c r="D83" i="19"/>
  <c r="C74" i="19"/>
  <c r="F82" i="19"/>
  <c r="B78" i="19"/>
  <c r="B76" i="19"/>
  <c r="B74" i="19"/>
  <c r="D75" i="19"/>
  <c r="D74" i="19"/>
  <c r="E83" i="19"/>
  <c r="B75" i="19"/>
  <c r="E75" i="19"/>
  <c r="C75" i="19"/>
  <c r="E79" i="19"/>
  <c r="D79" i="19"/>
  <c r="F79" i="19" s="1"/>
  <c r="E78" i="19"/>
  <c r="C83" i="19"/>
  <c r="D78" i="19"/>
  <c r="E82" i="19"/>
  <c r="D80" i="19"/>
  <c r="E77" i="19"/>
  <c r="C80" i="19"/>
  <c r="E80" i="19"/>
  <c r="C77" i="19"/>
  <c r="D77" i="19"/>
  <c r="B80" i="19"/>
  <c r="C76" i="19"/>
  <c r="E76" i="19"/>
  <c r="B81" i="19"/>
  <c r="B77" i="19"/>
  <c r="D81" i="19"/>
  <c r="C81" i="19"/>
  <c r="D76" i="19"/>
  <c r="E81" i="19"/>
  <c r="F83" i="19" l="1"/>
  <c r="F74" i="19"/>
  <c r="F76" i="19"/>
  <c r="F75" i="19"/>
  <c r="F80" i="19"/>
  <c r="F77" i="19"/>
  <c r="F81" i="19"/>
  <c r="F78" i="19"/>
  <c r="E14" i="18"/>
  <c r="D14" i="18"/>
  <c r="C14" i="18"/>
  <c r="B14" i="18"/>
  <c r="E13" i="18"/>
  <c r="D13" i="18"/>
  <c r="C13" i="18"/>
  <c r="B13" i="18"/>
  <c r="E12" i="18"/>
  <c r="D12" i="18"/>
  <c r="C12" i="18"/>
  <c r="B12" i="18"/>
  <c r="E11" i="18"/>
  <c r="D11" i="18"/>
  <c r="C11" i="18"/>
  <c r="B11" i="18"/>
  <c r="E10" i="18"/>
  <c r="D10" i="18"/>
  <c r="C10" i="18"/>
  <c r="B10" i="18"/>
  <c r="E9" i="18"/>
  <c r="D9" i="18"/>
  <c r="C9" i="18"/>
  <c r="B9" i="18"/>
  <c r="E8" i="18"/>
  <c r="D8" i="18"/>
  <c r="C8" i="18"/>
  <c r="B8" i="18"/>
  <c r="E7" i="18"/>
  <c r="D7" i="18"/>
  <c r="C7" i="18"/>
  <c r="B7" i="18"/>
  <c r="E6" i="18"/>
  <c r="D6" i="18"/>
  <c r="C6" i="18"/>
  <c r="B6" i="18"/>
  <c r="E5" i="18"/>
  <c r="D5" i="18"/>
  <c r="C5" i="18"/>
  <c r="B5" i="18"/>
  <c r="N17" i="17"/>
  <c r="Q17" i="17" s="1"/>
  <c r="J17" i="17"/>
  <c r="M17" i="17" s="1"/>
  <c r="F17" i="17"/>
  <c r="B17" i="17"/>
  <c r="A17" i="17"/>
  <c r="N16" i="17"/>
  <c r="Q16" i="17" s="1"/>
  <c r="J16" i="17"/>
  <c r="F16" i="17"/>
  <c r="I16" i="17" s="1"/>
  <c r="B16" i="17"/>
  <c r="D16" i="17" s="1"/>
  <c r="A16" i="17"/>
  <c r="N15" i="17"/>
  <c r="J15" i="17"/>
  <c r="M15" i="17" s="1"/>
  <c r="F15" i="17"/>
  <c r="H15" i="17" s="1"/>
  <c r="B15" i="17"/>
  <c r="A15" i="17"/>
  <c r="N14" i="17"/>
  <c r="Q14" i="17" s="1"/>
  <c r="J14" i="17"/>
  <c r="L14" i="17" s="1"/>
  <c r="F14" i="17"/>
  <c r="I14" i="17" s="1"/>
  <c r="B14" i="17"/>
  <c r="A14" i="17"/>
  <c r="N13" i="17"/>
  <c r="P13" i="17" s="1"/>
  <c r="J13" i="17"/>
  <c r="L13" i="17" s="1"/>
  <c r="F13" i="17"/>
  <c r="I13" i="17" s="1"/>
  <c r="B13" i="17"/>
  <c r="C13" i="17" s="1"/>
  <c r="A13" i="17"/>
  <c r="N12" i="17"/>
  <c r="O12" i="17" s="1"/>
  <c r="J12" i="17"/>
  <c r="M12" i="17" s="1"/>
  <c r="F12" i="17"/>
  <c r="B12" i="17"/>
  <c r="E12" i="17" s="1"/>
  <c r="A12" i="17"/>
  <c r="N11" i="17"/>
  <c r="Q11" i="17" s="1"/>
  <c r="J11" i="17"/>
  <c r="F11" i="17"/>
  <c r="I11" i="17" s="1"/>
  <c r="B11" i="17"/>
  <c r="E11" i="17" s="1"/>
  <c r="A11" i="17"/>
  <c r="N10" i="17"/>
  <c r="P10" i="17" s="1"/>
  <c r="J10" i="17"/>
  <c r="M10" i="17" s="1"/>
  <c r="F10" i="17"/>
  <c r="I10" i="17" s="1"/>
  <c r="B10" i="17"/>
  <c r="E10" i="17" s="1"/>
  <c r="A10" i="17"/>
  <c r="N9" i="17"/>
  <c r="Q9" i="17" s="1"/>
  <c r="A9" i="17"/>
  <c r="A8" i="17"/>
  <c r="J17" i="16"/>
  <c r="M17" i="16" s="1"/>
  <c r="F17" i="16"/>
  <c r="H17" i="16" s="1"/>
  <c r="B17" i="16"/>
  <c r="D17" i="16" s="1"/>
  <c r="A17" i="16"/>
  <c r="J16" i="16"/>
  <c r="M16" i="16" s="1"/>
  <c r="F16" i="16"/>
  <c r="H16" i="16" s="1"/>
  <c r="B16" i="16"/>
  <c r="D16" i="16" s="1"/>
  <c r="A16" i="16"/>
  <c r="J15" i="16"/>
  <c r="M15" i="16" s="1"/>
  <c r="F15" i="16"/>
  <c r="H15" i="16" s="1"/>
  <c r="B15" i="16"/>
  <c r="D15" i="16" s="1"/>
  <c r="A15" i="16"/>
  <c r="J14" i="16"/>
  <c r="M14" i="16" s="1"/>
  <c r="F14" i="16"/>
  <c r="H14" i="16" s="1"/>
  <c r="B14" i="16"/>
  <c r="D14" i="16" s="1"/>
  <c r="A14" i="16"/>
  <c r="J13" i="16"/>
  <c r="M13" i="16" s="1"/>
  <c r="F13" i="16"/>
  <c r="H13" i="16" s="1"/>
  <c r="B13" i="16"/>
  <c r="D13" i="16" s="1"/>
  <c r="A13" i="16"/>
  <c r="J12" i="16"/>
  <c r="M12" i="16" s="1"/>
  <c r="F12" i="16"/>
  <c r="H12" i="16" s="1"/>
  <c r="B12" i="16"/>
  <c r="E12" i="16" s="1"/>
  <c r="A12" i="16"/>
  <c r="J11" i="16"/>
  <c r="M11" i="16" s="1"/>
  <c r="F11" i="16"/>
  <c r="H11" i="16" s="1"/>
  <c r="B11" i="16"/>
  <c r="D11" i="16" s="1"/>
  <c r="A11" i="16"/>
  <c r="J10" i="16"/>
  <c r="M10" i="16" s="1"/>
  <c r="F10" i="16"/>
  <c r="I10" i="16" s="1"/>
  <c r="B10" i="16"/>
  <c r="D10" i="16" s="1"/>
  <c r="A10" i="16"/>
  <c r="J9" i="16"/>
  <c r="M9" i="16" s="1"/>
  <c r="F9" i="16"/>
  <c r="I9" i="16" s="1"/>
  <c r="B9" i="16"/>
  <c r="D9" i="16" s="1"/>
  <c r="J8" i="16"/>
  <c r="L8" i="16" s="1"/>
  <c r="F8" i="16"/>
  <c r="H8" i="16" s="1"/>
  <c r="B8" i="16"/>
  <c r="M8" i="16" l="1"/>
  <c r="O10" i="17"/>
  <c r="Q10" i="17"/>
  <c r="C12" i="17"/>
  <c r="D13" i="17"/>
  <c r="P17" i="17"/>
  <c r="B30" i="17"/>
  <c r="B28" i="17"/>
  <c r="K16" i="16"/>
  <c r="G14" i="17"/>
  <c r="C16" i="17"/>
  <c r="E15" i="16"/>
  <c r="L16" i="16"/>
  <c r="D30" i="16" s="1"/>
  <c r="D12" i="17"/>
  <c r="E13" i="17"/>
  <c r="G15" i="17"/>
  <c r="H11" i="17"/>
  <c r="H14" i="17"/>
  <c r="E16" i="17"/>
  <c r="I15" i="17"/>
  <c r="K11" i="16"/>
  <c r="E14" i="16"/>
  <c r="D8" i="16"/>
  <c r="D22" i="16" s="1"/>
  <c r="K10" i="16"/>
  <c r="E8" i="16"/>
  <c r="L11" i="16"/>
  <c r="L17" i="16"/>
  <c r="D31" i="16" s="1"/>
  <c r="L9" i="16"/>
  <c r="L10" i="16"/>
  <c r="C8" i="16"/>
  <c r="O13" i="17"/>
  <c r="E23" i="17"/>
  <c r="M13" i="17"/>
  <c r="E9" i="16"/>
  <c r="E23" i="16" s="1"/>
  <c r="K13" i="16"/>
  <c r="E17" i="16"/>
  <c r="B22" i="16"/>
  <c r="K11" i="17"/>
  <c r="C15" i="17"/>
  <c r="H17" i="17"/>
  <c r="O9" i="17"/>
  <c r="G8" i="16"/>
  <c r="L12" i="16"/>
  <c r="B23" i="16"/>
  <c r="P9" i="17"/>
  <c r="K10" i="17"/>
  <c r="L11" i="17"/>
  <c r="P12" i="17"/>
  <c r="Q13" i="17"/>
  <c r="H10" i="17"/>
  <c r="E10" i="16"/>
  <c r="E24" i="16" s="1"/>
  <c r="K14" i="16"/>
  <c r="I8" i="16"/>
  <c r="E11" i="16"/>
  <c r="B26" i="16"/>
  <c r="L13" i="16"/>
  <c r="D27" i="16" s="1"/>
  <c r="K15" i="16"/>
  <c r="B30" i="16"/>
  <c r="D11" i="17"/>
  <c r="M11" i="17"/>
  <c r="E24" i="17" s="1"/>
  <c r="G12" i="17"/>
  <c r="Q12" i="17"/>
  <c r="K13" i="17"/>
  <c r="K14" i="17"/>
  <c r="D15" i="17"/>
  <c r="P15" i="17"/>
  <c r="L16" i="17"/>
  <c r="L17" i="17"/>
  <c r="K12" i="16"/>
  <c r="E16" i="16"/>
  <c r="B31" i="16"/>
  <c r="L10" i="17"/>
  <c r="H12" i="17"/>
  <c r="B27" i="17"/>
  <c r="E15" i="17"/>
  <c r="L14" i="16"/>
  <c r="D28" i="16" s="1"/>
  <c r="K8" i="16"/>
  <c r="K9" i="16"/>
  <c r="E13" i="16"/>
  <c r="L15" i="16"/>
  <c r="D29" i="16" s="1"/>
  <c r="K17" i="16"/>
  <c r="D10" i="17"/>
  <c r="G11" i="17"/>
  <c r="I12" i="17"/>
  <c r="M14" i="17"/>
  <c r="P16" i="17"/>
  <c r="O17" i="17"/>
  <c r="B24" i="17"/>
  <c r="O14" i="17"/>
  <c r="Q15" i="17"/>
  <c r="M16" i="17"/>
  <c r="I17" i="17"/>
  <c r="O11" i="17"/>
  <c r="K12" i="17"/>
  <c r="C25" i="17" s="1"/>
  <c r="G13" i="17"/>
  <c r="C14" i="17"/>
  <c r="B26" i="17"/>
  <c r="G16" i="17"/>
  <c r="B29" i="17"/>
  <c r="G10" i="17"/>
  <c r="C11" i="17"/>
  <c r="P14" i="17"/>
  <c r="L15" i="17"/>
  <c r="H16" i="17"/>
  <c r="O16" i="17"/>
  <c r="D17" i="17"/>
  <c r="K17" i="17"/>
  <c r="B23" i="17"/>
  <c r="K15" i="17"/>
  <c r="C17" i="17"/>
  <c r="P11" i="17"/>
  <c r="L12" i="17"/>
  <c r="H13" i="17"/>
  <c r="D14" i="17"/>
  <c r="E17" i="17"/>
  <c r="B25" i="17"/>
  <c r="E14" i="17"/>
  <c r="C10" i="17"/>
  <c r="O15" i="17"/>
  <c r="K16" i="17"/>
  <c r="G17" i="17"/>
  <c r="D25" i="16"/>
  <c r="B28" i="16"/>
  <c r="G9" i="16"/>
  <c r="G10" i="16"/>
  <c r="G11" i="16"/>
  <c r="G12" i="16"/>
  <c r="G13" i="16"/>
  <c r="G14" i="16"/>
  <c r="G15" i="16"/>
  <c r="G16" i="16"/>
  <c r="G17" i="16"/>
  <c r="B25" i="16"/>
  <c r="H9" i="16"/>
  <c r="H10" i="16"/>
  <c r="B27" i="16"/>
  <c r="C9" i="16"/>
  <c r="C10" i="16"/>
  <c r="C11" i="16"/>
  <c r="I11" i="16"/>
  <c r="C12" i="16"/>
  <c r="I12" i="16"/>
  <c r="E26" i="16" s="1"/>
  <c r="C13" i="16"/>
  <c r="I13" i="16"/>
  <c r="C14" i="16"/>
  <c r="I14" i="16"/>
  <c r="C15" i="16"/>
  <c r="I15" i="16"/>
  <c r="C16" i="16"/>
  <c r="I16" i="16"/>
  <c r="C17" i="16"/>
  <c r="I17" i="16"/>
  <c r="E31" i="16" s="1"/>
  <c r="B24" i="16"/>
  <c r="B29" i="16"/>
  <c r="D12" i="16"/>
  <c r="E28" i="16" l="1"/>
  <c r="E29" i="16"/>
  <c r="D26" i="16"/>
  <c r="E22" i="16"/>
  <c r="E25" i="17"/>
  <c r="D30" i="17"/>
  <c r="E26" i="17"/>
  <c r="C26" i="17"/>
  <c r="D26" i="17"/>
  <c r="E29" i="17"/>
  <c r="D23" i="17"/>
  <c r="D28" i="17"/>
  <c r="D29" i="17"/>
  <c r="E27" i="17"/>
  <c r="D25" i="17"/>
  <c r="D24" i="16"/>
  <c r="D27" i="17"/>
  <c r="C29" i="17"/>
  <c r="E25" i="16"/>
  <c r="C24" i="17"/>
  <c r="C24" i="16"/>
  <c r="E27" i="16"/>
  <c r="C28" i="16"/>
  <c r="D23" i="16"/>
  <c r="C26" i="16"/>
  <c r="D24" i="17"/>
  <c r="N8" i="17"/>
  <c r="C27" i="16"/>
  <c r="F8" i="17"/>
  <c r="J9" i="17"/>
  <c r="C22" i="16"/>
  <c r="E30" i="16"/>
  <c r="C27" i="17"/>
  <c r="J8" i="17"/>
  <c r="F9" i="17"/>
  <c r="E28" i="17"/>
  <c r="B8" i="17"/>
  <c r="B9" i="17"/>
  <c r="C23" i="17"/>
  <c r="E30" i="17"/>
  <c r="C30" i="17"/>
  <c r="C28" i="17"/>
  <c r="C23" i="16"/>
  <c r="C30" i="16"/>
  <c r="C31" i="16"/>
  <c r="C29" i="16"/>
  <c r="C25" i="16"/>
  <c r="B22" i="17" l="1"/>
  <c r="E9" i="17"/>
  <c r="C9" i="17"/>
  <c r="D9" i="17"/>
  <c r="Q8" i="17"/>
  <c r="P8" i="17"/>
  <c r="O8" i="17"/>
  <c r="I8" i="17"/>
  <c r="H8" i="17"/>
  <c r="G8" i="17"/>
  <c r="M8" i="17"/>
  <c r="L8" i="17"/>
  <c r="K8" i="17"/>
  <c r="D8" i="17"/>
  <c r="C8" i="17"/>
  <c r="E8" i="17"/>
  <c r="B21" i="17"/>
  <c r="I9" i="17"/>
  <c r="H9" i="17"/>
  <c r="G9" i="17"/>
  <c r="M9" i="17"/>
  <c r="L9" i="17"/>
  <c r="K9" i="17"/>
  <c r="B37" i="15"/>
  <c r="J37" i="15"/>
  <c r="F8" i="15"/>
  <c r="J8" i="15"/>
  <c r="N8" i="15"/>
  <c r="G7" i="9"/>
  <c r="H7" i="9"/>
  <c r="G8" i="9"/>
  <c r="H8" i="9"/>
  <c r="G9" i="9"/>
  <c r="H9" i="9"/>
  <c r="G10" i="9"/>
  <c r="H10" i="9"/>
  <c r="G11" i="9"/>
  <c r="H11" i="9"/>
  <c r="G12" i="9"/>
  <c r="H12" i="9"/>
  <c r="G13" i="9"/>
  <c r="H13" i="9"/>
  <c r="G14" i="9"/>
  <c r="H14" i="9"/>
  <c r="G15" i="9"/>
  <c r="H15" i="9"/>
  <c r="G16" i="9"/>
  <c r="H16" i="9"/>
  <c r="G17" i="9"/>
  <c r="H17" i="9"/>
  <c r="G18" i="9"/>
  <c r="H18" i="9"/>
  <c r="G19" i="9"/>
  <c r="H19" i="9"/>
  <c r="G20" i="9"/>
  <c r="H20" i="9"/>
  <c r="G21" i="9"/>
  <c r="H21" i="9"/>
  <c r="G22" i="9"/>
  <c r="H22" i="9"/>
  <c r="G23" i="9"/>
  <c r="H23" i="9"/>
  <c r="G24" i="9"/>
  <c r="H24" i="9"/>
  <c r="G25" i="9"/>
  <c r="H25" i="9"/>
  <c r="G26" i="9"/>
  <c r="H26" i="9"/>
  <c r="G27" i="9"/>
  <c r="H27" i="9"/>
  <c r="G28" i="9"/>
  <c r="H28" i="9"/>
  <c r="G29" i="9"/>
  <c r="H29" i="9"/>
  <c r="G30" i="9"/>
  <c r="H30" i="9"/>
  <c r="G31" i="9"/>
  <c r="H31" i="9"/>
  <c r="G32" i="9"/>
  <c r="H32" i="9"/>
  <c r="G33" i="9"/>
  <c r="H33" i="9"/>
  <c r="G34" i="9"/>
  <c r="H34" i="9"/>
  <c r="G35" i="9"/>
  <c r="H35" i="9"/>
  <c r="G36" i="9"/>
  <c r="H36" i="9"/>
  <c r="G37" i="9"/>
  <c r="H37" i="9"/>
  <c r="G38" i="9"/>
  <c r="H38" i="9"/>
  <c r="G39" i="9"/>
  <c r="H39" i="9"/>
  <c r="G40" i="9"/>
  <c r="H40" i="9"/>
  <c r="G41" i="9"/>
  <c r="H41" i="9"/>
  <c r="G42" i="9"/>
  <c r="H42" i="9"/>
  <c r="C21" i="17" l="1"/>
  <c r="C22" i="17"/>
  <c r="E21" i="17"/>
  <c r="E22" i="17"/>
  <c r="D21" i="17"/>
  <c r="D22" i="17"/>
  <c r="L38" i="13"/>
  <c r="L40" i="13" s="1"/>
  <c r="L39" i="13"/>
  <c r="K39" i="13"/>
  <c r="K38" i="13"/>
  <c r="L37" i="13"/>
  <c r="K37" i="13"/>
  <c r="J39" i="13"/>
  <c r="J38" i="13"/>
  <c r="J37" i="13"/>
  <c r="L14" i="13"/>
  <c r="M14" i="13"/>
  <c r="N14" i="13"/>
  <c r="L13" i="13"/>
  <c r="M13" i="13"/>
  <c r="N13" i="13"/>
  <c r="K14" i="13"/>
  <c r="K13" i="13"/>
  <c r="L12" i="13"/>
  <c r="M12" i="13"/>
  <c r="M15" i="13" s="1"/>
  <c r="N12" i="13"/>
  <c r="K12" i="13"/>
  <c r="K40" i="13" l="1"/>
  <c r="L15" i="13"/>
  <c r="J40" i="13"/>
  <c r="K15" i="13"/>
  <c r="N15" i="13"/>
  <c r="B26" i="12" l="1"/>
  <c r="B23" i="13" s="1"/>
  <c r="C60" i="12" l="1"/>
  <c r="C59" i="12"/>
  <c r="C57" i="12"/>
  <c r="C56" i="12"/>
  <c r="C54" i="12"/>
  <c r="C53" i="12"/>
  <c r="C52" i="12"/>
  <c r="C51" i="12"/>
  <c r="B60" i="12"/>
  <c r="B54" i="13" s="1"/>
  <c r="B59" i="12"/>
  <c r="B53" i="13" s="1"/>
  <c r="B58" i="12"/>
  <c r="B52" i="13" s="1"/>
  <c r="B57" i="12"/>
  <c r="B51" i="13" s="1"/>
  <c r="B55" i="12"/>
  <c r="B49" i="13" s="1"/>
  <c r="B54" i="12"/>
  <c r="B48" i="13" s="1"/>
  <c r="B53" i="12"/>
  <c r="B52" i="12"/>
  <c r="B46" i="13" s="1"/>
  <c r="B51" i="12"/>
  <c r="B45" i="13" s="1"/>
  <c r="D59" i="12"/>
  <c r="C58" i="12"/>
  <c r="D58" i="12" s="1"/>
  <c r="B56" i="12"/>
  <c r="B50" i="13" s="1"/>
  <c r="C55" i="12"/>
  <c r="D55" i="12" s="1"/>
  <c r="C28" i="12"/>
  <c r="C27" i="12"/>
  <c r="C25" i="12"/>
  <c r="C24" i="12"/>
  <c r="C23" i="12"/>
  <c r="C26" i="12"/>
  <c r="D26" i="12" s="1"/>
  <c r="C29" i="12"/>
  <c r="C30" i="12"/>
  <c r="C31" i="12"/>
  <c r="C22" i="12"/>
  <c r="B31" i="12"/>
  <c r="B28" i="13" s="1"/>
  <c r="B30" i="12"/>
  <c r="B27" i="13" s="1"/>
  <c r="B29" i="12"/>
  <c r="B26" i="13" s="1"/>
  <c r="B28" i="12"/>
  <c r="B25" i="13" s="1"/>
  <c r="B27" i="12"/>
  <c r="B24" i="13" s="1"/>
  <c r="B25" i="12"/>
  <c r="B22" i="13" s="1"/>
  <c r="B24" i="12"/>
  <c r="B21" i="13" s="1"/>
  <c r="B23" i="12"/>
  <c r="B20" i="13" s="1"/>
  <c r="B22" i="12"/>
  <c r="B19" i="13" s="1"/>
  <c r="H38" i="12"/>
  <c r="I38" i="12" s="1"/>
  <c r="H9" i="12"/>
  <c r="I9" i="12" s="1"/>
  <c r="I10" i="12"/>
  <c r="I11" i="12"/>
  <c r="I12" i="12"/>
  <c r="I13" i="12"/>
  <c r="I14" i="12"/>
  <c r="I15" i="12"/>
  <c r="I16" i="12"/>
  <c r="I17" i="12"/>
  <c r="I18" i="12"/>
  <c r="H40" i="12"/>
  <c r="I40" i="12" s="1"/>
  <c r="H41" i="12"/>
  <c r="I41" i="12" s="1"/>
  <c r="H42" i="12"/>
  <c r="I42" i="12" s="1"/>
  <c r="H43" i="12"/>
  <c r="I43" i="12" s="1"/>
  <c r="H44" i="12"/>
  <c r="I44" i="12" s="1"/>
  <c r="H45" i="12"/>
  <c r="I45" i="12" s="1"/>
  <c r="H46" i="12"/>
  <c r="I46" i="12" s="1"/>
  <c r="H47" i="12"/>
  <c r="I47" i="12" s="1"/>
  <c r="H39" i="12"/>
  <c r="I39" i="12" s="1"/>
  <c r="D52" i="12" l="1"/>
  <c r="F37" i="13"/>
  <c r="G37" i="13" s="1"/>
  <c r="G12" i="13"/>
  <c r="H12" i="13" s="1"/>
  <c r="F38" i="13"/>
  <c r="G38" i="13" s="1"/>
  <c r="G13" i="13"/>
  <c r="H13" i="13" s="1"/>
  <c r="F39" i="13"/>
  <c r="G39" i="13" s="1"/>
  <c r="G14" i="13"/>
  <c r="H14" i="13" s="1"/>
  <c r="D30" i="12"/>
  <c r="D27" i="12"/>
  <c r="D51" i="12"/>
  <c r="D54" i="12"/>
  <c r="D29" i="12"/>
  <c r="D28" i="12"/>
  <c r="D25" i="12"/>
  <c r="D53" i="12"/>
  <c r="B47" i="13"/>
  <c r="D22" i="12"/>
  <c r="D24" i="12"/>
  <c r="D56" i="12"/>
  <c r="D31" i="12"/>
  <c r="D23" i="12"/>
  <c r="D57" i="12"/>
  <c r="D60" i="12"/>
  <c r="H15" i="13" l="1"/>
  <c r="C19" i="13" s="1"/>
  <c r="D19" i="13" s="1"/>
  <c r="D61" i="12"/>
  <c r="D32" i="12"/>
  <c r="G40" i="13"/>
  <c r="C47" i="13" s="1"/>
  <c r="C21" i="13" l="1"/>
  <c r="C24" i="13"/>
  <c r="F24" i="13" s="1"/>
  <c r="C26" i="13"/>
  <c r="E26" i="13" s="1"/>
  <c r="G19" i="13"/>
  <c r="C22" i="13"/>
  <c r="E22" i="13" s="1"/>
  <c r="C25" i="13"/>
  <c r="G25" i="13" s="1"/>
  <c r="N15" i="15" s="1"/>
  <c r="Q15" i="15" s="1"/>
  <c r="E21" i="13"/>
  <c r="F11" i="15" s="1"/>
  <c r="D21" i="13"/>
  <c r="B11" i="15" s="1"/>
  <c r="D11" i="15" s="1"/>
  <c r="C20" i="13"/>
  <c r="F20" i="13" s="1"/>
  <c r="J10" i="15" s="1"/>
  <c r="C28" i="13"/>
  <c r="C23" i="13"/>
  <c r="C27" i="13"/>
  <c r="F21" i="13"/>
  <c r="J11" i="15" s="1"/>
  <c r="M11" i="15" s="1"/>
  <c r="G21" i="13"/>
  <c r="N11" i="15" s="1"/>
  <c r="P11" i="15" s="1"/>
  <c r="F47" i="13"/>
  <c r="D47" i="13"/>
  <c r="E47" i="13"/>
  <c r="F26" i="13"/>
  <c r="G26" i="13"/>
  <c r="C48" i="13"/>
  <c r="C45" i="13"/>
  <c r="C49" i="13"/>
  <c r="C54" i="13"/>
  <c r="C50" i="13"/>
  <c r="C53" i="13"/>
  <c r="C51" i="13"/>
  <c r="C52" i="13"/>
  <c r="C46" i="13"/>
  <c r="G24" i="13"/>
  <c r="D26" i="13" l="1"/>
  <c r="B16" i="15" s="1"/>
  <c r="F25" i="13"/>
  <c r="J15" i="15" s="1"/>
  <c r="M15" i="15" s="1"/>
  <c r="F19" i="13"/>
  <c r="E19" i="13"/>
  <c r="E24" i="13"/>
  <c r="F14" i="15" s="1"/>
  <c r="D24" i="13"/>
  <c r="B14" i="15" s="1"/>
  <c r="D25" i="13"/>
  <c r="B15" i="15" s="1"/>
  <c r="C15" i="15" s="1"/>
  <c r="C11" i="15"/>
  <c r="E25" i="13"/>
  <c r="F15" i="15" s="1"/>
  <c r="I15" i="15" s="1"/>
  <c r="O15" i="15"/>
  <c r="P15" i="15"/>
  <c r="L11" i="15"/>
  <c r="I11" i="15"/>
  <c r="L15" i="15"/>
  <c r="O11" i="15"/>
  <c r="E11" i="15"/>
  <c r="G11" i="15"/>
  <c r="G22" i="13"/>
  <c r="N12" i="15" s="1"/>
  <c r="F22" i="13"/>
  <c r="J12" i="15" s="1"/>
  <c r="D22" i="13"/>
  <c r="B12" i="15" s="1"/>
  <c r="H11" i="15"/>
  <c r="Q11" i="15"/>
  <c r="K10" i="15"/>
  <c r="M10" i="15"/>
  <c r="L10" i="15"/>
  <c r="D23" i="13"/>
  <c r="B13" i="15" s="1"/>
  <c r="F23" i="13"/>
  <c r="J13" i="15" s="1"/>
  <c r="E23" i="13"/>
  <c r="F13" i="15" s="1"/>
  <c r="G23" i="13"/>
  <c r="N13" i="15" s="1"/>
  <c r="D28" i="13"/>
  <c r="B18" i="15" s="1"/>
  <c r="E28" i="13"/>
  <c r="F18" i="15" s="1"/>
  <c r="F28" i="13"/>
  <c r="J18" i="15" s="1"/>
  <c r="G28" i="13"/>
  <c r="N18" i="15" s="1"/>
  <c r="B24" i="15"/>
  <c r="G27" i="13"/>
  <c r="N17" i="15" s="1"/>
  <c r="E27" i="13"/>
  <c r="F17" i="15" s="1"/>
  <c r="F27" i="13"/>
  <c r="J17" i="15" s="1"/>
  <c r="D27" i="13"/>
  <c r="B17" i="15" s="1"/>
  <c r="D20" i="13"/>
  <c r="B10" i="15" s="1"/>
  <c r="E20" i="13"/>
  <c r="F10" i="15" s="1"/>
  <c r="G20" i="13"/>
  <c r="N10" i="15" s="1"/>
  <c r="K11" i="15"/>
  <c r="N14" i="15"/>
  <c r="D53" i="13"/>
  <c r="E53" i="13"/>
  <c r="F53" i="13"/>
  <c r="D50" i="13"/>
  <c r="E50" i="13"/>
  <c r="F50" i="13"/>
  <c r="F9" i="15"/>
  <c r="E54" i="13"/>
  <c r="D54" i="13"/>
  <c r="F54" i="13"/>
  <c r="N9" i="15"/>
  <c r="E49" i="13"/>
  <c r="D49" i="13"/>
  <c r="F49" i="13"/>
  <c r="N16" i="15"/>
  <c r="B9" i="15"/>
  <c r="F45" i="13"/>
  <c r="E45" i="13"/>
  <c r="D45" i="13"/>
  <c r="F12" i="15"/>
  <c r="J16" i="15"/>
  <c r="F46" i="13"/>
  <c r="D46" i="13"/>
  <c r="E46" i="13"/>
  <c r="E48" i="13"/>
  <c r="F48" i="13"/>
  <c r="D48" i="13"/>
  <c r="F16" i="15"/>
  <c r="F40" i="15"/>
  <c r="D52" i="13"/>
  <c r="F52" i="13"/>
  <c r="E52" i="13"/>
  <c r="B40" i="15"/>
  <c r="J9" i="15"/>
  <c r="J14" i="15"/>
  <c r="D51" i="13"/>
  <c r="E51" i="13"/>
  <c r="F51" i="13"/>
  <c r="J40" i="15"/>
  <c r="K15" i="15" l="1"/>
  <c r="E15" i="15"/>
  <c r="E28" i="15" s="1"/>
  <c r="D15" i="15"/>
  <c r="G15" i="15"/>
  <c r="B28" i="15"/>
  <c r="D24" i="15"/>
  <c r="H15" i="15"/>
  <c r="E24" i="15"/>
  <c r="C24" i="15"/>
  <c r="P10" i="15"/>
  <c r="O10" i="15"/>
  <c r="Q10" i="15"/>
  <c r="G10" i="15"/>
  <c r="H10" i="15"/>
  <c r="I10" i="15"/>
  <c r="E13" i="15"/>
  <c r="D13" i="15"/>
  <c r="B26" i="15"/>
  <c r="C13" i="15"/>
  <c r="E10" i="15"/>
  <c r="B23" i="15"/>
  <c r="C10" i="15"/>
  <c r="D10" i="15"/>
  <c r="Q18" i="15"/>
  <c r="P18" i="15"/>
  <c r="O18" i="15"/>
  <c r="M13" i="15"/>
  <c r="K13" i="15"/>
  <c r="L13" i="15"/>
  <c r="E17" i="15"/>
  <c r="B30" i="15"/>
  <c r="C17" i="15"/>
  <c r="D17" i="15"/>
  <c r="M17" i="15"/>
  <c r="K17" i="15"/>
  <c r="L17" i="15"/>
  <c r="I17" i="15"/>
  <c r="G17" i="15"/>
  <c r="H17" i="15"/>
  <c r="B31" i="15"/>
  <c r="E18" i="15"/>
  <c r="C18" i="15"/>
  <c r="D18" i="15"/>
  <c r="G13" i="15"/>
  <c r="H13" i="15"/>
  <c r="I13" i="15"/>
  <c r="K18" i="15"/>
  <c r="L18" i="15"/>
  <c r="M18" i="15"/>
  <c r="G18" i="15"/>
  <c r="I18" i="15"/>
  <c r="H18" i="15"/>
  <c r="O17" i="15"/>
  <c r="P17" i="15"/>
  <c r="Q17" i="15"/>
  <c r="Q13" i="15"/>
  <c r="O13" i="15"/>
  <c r="P13" i="15"/>
  <c r="F45" i="15"/>
  <c r="G40" i="15"/>
  <c r="H40" i="15"/>
  <c r="I40" i="15"/>
  <c r="F41" i="15"/>
  <c r="K16" i="15"/>
  <c r="L16" i="15"/>
  <c r="M16" i="15"/>
  <c r="B42" i="15"/>
  <c r="F47" i="15"/>
  <c r="B43" i="15"/>
  <c r="F44" i="15"/>
  <c r="G12" i="15"/>
  <c r="I12" i="15"/>
  <c r="H12" i="15"/>
  <c r="B44" i="15"/>
  <c r="B45" i="15"/>
  <c r="G16" i="15"/>
  <c r="I16" i="15"/>
  <c r="H16" i="15"/>
  <c r="J39" i="15"/>
  <c r="B38" i="15"/>
  <c r="O9" i="15"/>
  <c r="P9" i="15"/>
  <c r="Q9" i="15"/>
  <c r="F46" i="15"/>
  <c r="B39" i="15"/>
  <c r="J46" i="15"/>
  <c r="B53" i="15"/>
  <c r="B68" i="15" s="1"/>
  <c r="C40" i="15"/>
  <c r="D40" i="15"/>
  <c r="E40" i="15"/>
  <c r="F38" i="15"/>
  <c r="O16" i="15"/>
  <c r="Q16" i="15"/>
  <c r="P16" i="15"/>
  <c r="G9" i="15"/>
  <c r="I9" i="15"/>
  <c r="H9" i="15"/>
  <c r="B46" i="15"/>
  <c r="J44" i="15"/>
  <c r="J45" i="15"/>
  <c r="G14" i="15"/>
  <c r="I14" i="15"/>
  <c r="H14" i="15"/>
  <c r="K14" i="15"/>
  <c r="L14" i="15"/>
  <c r="M14" i="15"/>
  <c r="B25" i="15"/>
  <c r="C12" i="15"/>
  <c r="D12" i="15"/>
  <c r="E12" i="15"/>
  <c r="J38" i="15"/>
  <c r="O12" i="15"/>
  <c r="P12" i="15"/>
  <c r="Q12" i="15"/>
  <c r="F42" i="15"/>
  <c r="K9" i="15"/>
  <c r="M9" i="15"/>
  <c r="L9" i="15"/>
  <c r="B27" i="15"/>
  <c r="C14" i="15"/>
  <c r="D14" i="15"/>
  <c r="E14" i="15"/>
  <c r="K40" i="15"/>
  <c r="M40" i="15"/>
  <c r="L40" i="15"/>
  <c r="B41" i="15"/>
  <c r="K12" i="15"/>
  <c r="M12" i="15"/>
  <c r="L12" i="15"/>
  <c r="J47" i="15"/>
  <c r="J43" i="15"/>
  <c r="O14" i="15"/>
  <c r="Q14" i="15"/>
  <c r="P14" i="15"/>
  <c r="F39" i="15"/>
  <c r="B29" i="15"/>
  <c r="C16" i="15"/>
  <c r="D16" i="15"/>
  <c r="E16" i="15"/>
  <c r="J41" i="15"/>
  <c r="B22" i="15"/>
  <c r="C9" i="15"/>
  <c r="E9" i="15"/>
  <c r="D9" i="15"/>
  <c r="J42" i="15"/>
  <c r="B47" i="15"/>
  <c r="F43" i="15"/>
  <c r="C28" i="15" l="1"/>
  <c r="D28" i="15"/>
  <c r="C22" i="15"/>
  <c r="C30" i="15"/>
  <c r="C29" i="15"/>
  <c r="C31" i="15"/>
  <c r="D30" i="15"/>
  <c r="E23" i="15"/>
  <c r="C26" i="15"/>
  <c r="E30" i="15"/>
  <c r="E31" i="15"/>
  <c r="D23" i="15"/>
  <c r="D26" i="15"/>
  <c r="D31" i="15"/>
  <c r="C23" i="15"/>
  <c r="E26" i="15"/>
  <c r="C27" i="15"/>
  <c r="E22" i="15"/>
  <c r="D29" i="15"/>
  <c r="B54" i="15"/>
  <c r="B69" i="15" s="1"/>
  <c r="C41" i="15"/>
  <c r="D41" i="15"/>
  <c r="E41" i="15"/>
  <c r="G43" i="15"/>
  <c r="I43" i="15"/>
  <c r="H43" i="15"/>
  <c r="D22" i="15"/>
  <c r="E25" i="15"/>
  <c r="E53" i="15"/>
  <c r="E68" i="15" s="1"/>
  <c r="B56" i="15"/>
  <c r="B71" i="15" s="1"/>
  <c r="C43" i="15"/>
  <c r="D43" i="15"/>
  <c r="E43" i="15"/>
  <c r="D25" i="15"/>
  <c r="K44" i="15"/>
  <c r="L44" i="15"/>
  <c r="M44" i="15"/>
  <c r="G38" i="15"/>
  <c r="H38" i="15"/>
  <c r="I38" i="15"/>
  <c r="D53" i="15"/>
  <c r="D68" i="15" s="1"/>
  <c r="B60" i="15"/>
  <c r="B75" i="15" s="1"/>
  <c r="C47" i="15"/>
  <c r="E47" i="15"/>
  <c r="D47" i="15"/>
  <c r="K43" i="15"/>
  <c r="L43" i="15"/>
  <c r="M43" i="15"/>
  <c r="K46" i="15"/>
  <c r="L46" i="15"/>
  <c r="M46" i="15"/>
  <c r="G44" i="15"/>
  <c r="H44" i="15"/>
  <c r="I44" i="15"/>
  <c r="G47" i="15"/>
  <c r="H47" i="15"/>
  <c r="I47" i="15"/>
  <c r="G41" i="15"/>
  <c r="I41" i="15"/>
  <c r="H41" i="15"/>
  <c r="C25" i="15"/>
  <c r="K45" i="15"/>
  <c r="L45" i="15"/>
  <c r="M45" i="15"/>
  <c r="B57" i="15"/>
  <c r="B72" i="15" s="1"/>
  <c r="C44" i="15"/>
  <c r="E44" i="15"/>
  <c r="D44" i="15"/>
  <c r="E27" i="15"/>
  <c r="B59" i="15"/>
  <c r="B74" i="15" s="1"/>
  <c r="C46" i="15"/>
  <c r="D46" i="15"/>
  <c r="E46" i="15"/>
  <c r="C53" i="15"/>
  <c r="C68" i="15" s="1"/>
  <c r="K42" i="15"/>
  <c r="L42" i="15"/>
  <c r="M42" i="15"/>
  <c r="E29" i="15"/>
  <c r="G39" i="15"/>
  <c r="I39" i="15"/>
  <c r="H39" i="15"/>
  <c r="K47" i="15"/>
  <c r="M47" i="15"/>
  <c r="L47" i="15"/>
  <c r="D27" i="15"/>
  <c r="B52" i="15"/>
  <c r="B67" i="15" s="1"/>
  <c r="C39" i="15"/>
  <c r="E39" i="15"/>
  <c r="D39" i="15"/>
  <c r="B51" i="15"/>
  <c r="B66" i="15" s="1"/>
  <c r="C38" i="15"/>
  <c r="E38" i="15"/>
  <c r="D38" i="15"/>
  <c r="B58" i="15"/>
  <c r="B73" i="15" s="1"/>
  <c r="C45" i="15"/>
  <c r="E45" i="15"/>
  <c r="D45" i="15"/>
  <c r="B55" i="15"/>
  <c r="B70" i="15" s="1"/>
  <c r="C42" i="15"/>
  <c r="E42" i="15"/>
  <c r="D42" i="15"/>
  <c r="G42" i="15"/>
  <c r="H42" i="15"/>
  <c r="I42" i="15"/>
  <c r="G46" i="15"/>
  <c r="I46" i="15"/>
  <c r="H46" i="15"/>
  <c r="K39" i="15"/>
  <c r="L39" i="15"/>
  <c r="M39" i="15"/>
  <c r="K41" i="15"/>
  <c r="L41" i="15"/>
  <c r="M41" i="15"/>
  <c r="K38" i="15"/>
  <c r="L38" i="15"/>
  <c r="M38" i="15"/>
  <c r="G45" i="15"/>
  <c r="H45" i="15"/>
  <c r="I45" i="15"/>
  <c r="D59" i="15" l="1"/>
  <c r="D74" i="15" s="1"/>
  <c r="E58" i="15"/>
  <c r="E73" i="15" s="1"/>
  <c r="C54" i="15"/>
  <c r="C69" i="15" s="1"/>
  <c r="D57" i="15"/>
  <c r="D72" i="15" s="1"/>
  <c r="E56" i="15"/>
  <c r="E71" i="15" s="1"/>
  <c r="E55" i="15"/>
  <c r="E70" i="15" s="1"/>
  <c r="D56" i="15"/>
  <c r="D71" i="15" s="1"/>
  <c r="C59" i="15"/>
  <c r="C74" i="15" s="1"/>
  <c r="E57" i="15"/>
  <c r="E72" i="15" s="1"/>
  <c r="D60" i="15"/>
  <c r="D75" i="15" s="1"/>
  <c r="D55" i="15"/>
  <c r="D70" i="15" s="1"/>
  <c r="C58" i="15"/>
  <c r="C73" i="15" s="1"/>
  <c r="E52" i="15"/>
  <c r="E67" i="15" s="1"/>
  <c r="E60" i="15"/>
  <c r="E75" i="15" s="1"/>
  <c r="D52" i="15"/>
  <c r="D67" i="15" s="1"/>
  <c r="C57" i="15"/>
  <c r="C72" i="15" s="1"/>
  <c r="C55" i="15"/>
  <c r="C70" i="15" s="1"/>
  <c r="D51" i="15"/>
  <c r="D66" i="15" s="1"/>
  <c r="C52" i="15"/>
  <c r="C67" i="15" s="1"/>
  <c r="C60" i="15"/>
  <c r="C75" i="15" s="1"/>
  <c r="C56" i="15"/>
  <c r="C71" i="15" s="1"/>
  <c r="E51" i="15"/>
  <c r="E66" i="15" s="1"/>
  <c r="E54" i="15"/>
  <c r="E69" i="15" s="1"/>
  <c r="D58" i="15"/>
  <c r="D73" i="15" s="1"/>
  <c r="C51" i="15"/>
  <c r="C66" i="15" s="1"/>
  <c r="E59" i="15"/>
  <c r="E74" i="15" s="1"/>
  <c r="D54" i="15"/>
  <c r="D69" i="15" s="1"/>
</calcChain>
</file>

<file path=xl/sharedStrings.xml><?xml version="1.0" encoding="utf-8"?>
<sst xmlns="http://schemas.openxmlformats.org/spreadsheetml/2006/main" count="390" uniqueCount="188">
  <si>
    <t>Other withdrawals from non-residential properties</t>
  </si>
  <si>
    <t>Corrections for non-residential properties</t>
  </si>
  <si>
    <t>Other addition of non-residential properties</t>
  </si>
  <si>
    <t>Total number of non-residential properties</t>
  </si>
  <si>
    <t/>
  </si>
  <si>
    <t>Residential</t>
  </si>
  <si>
    <t>Utility</t>
  </si>
  <si>
    <r>
      <t xml:space="preserve">Sprecher, B., Verhagen, T.J., Sauer, M.L., Baars, M., Heintz, J. &amp; Fishman, T. (2021.) Material intensity database for the Dutch building stock: towards big data in material stock analysis. </t>
    </r>
    <r>
      <rPr>
        <i/>
        <sz val="14"/>
        <color rgb="FF000000"/>
        <rFont val="Arial"/>
        <family val="2"/>
      </rPr>
      <t>Journal of Industrial Ecology.</t>
    </r>
  </si>
  <si>
    <t>MI in both components and structures</t>
    <phoneticPr fontId="1" type="noConversion"/>
  </si>
  <si>
    <t>Building type</t>
  </si>
  <si>
    <t xml:space="preserve">Building subtype </t>
  </si>
  <si>
    <t>Age cohort</t>
  </si>
  <si>
    <t>Brickwork</t>
  </si>
  <si>
    <t>Concrete</t>
  </si>
  <si>
    <t>Kg/m2</t>
    <phoneticPr fontId="1" type="noConversion"/>
  </si>
  <si>
    <t>Offices</t>
  </si>
  <si>
    <t>&lt;1945</t>
  </si>
  <si>
    <t>1945-1970</t>
  </si>
  <si>
    <t>1971-2000</t>
  </si>
  <si>
    <t>&gt;2000</t>
  </si>
  <si>
    <t>Average</t>
  </si>
  <si>
    <t>Commercial</t>
  </si>
  <si>
    <t>Other</t>
  </si>
  <si>
    <t>Row</t>
  </si>
  <si>
    <t>Single</t>
  </si>
  <si>
    <t>High rise</t>
  </si>
  <si>
    <t>Apartment</t>
  </si>
  <si>
    <t>Total number of residential properties</t>
    <phoneticPr fontId="8" type="noConversion"/>
  </si>
  <si>
    <t>New build residential properties</t>
    <phoneticPr fontId="8" type="noConversion"/>
  </si>
  <si>
    <t>Demolished residential properties</t>
    <phoneticPr fontId="8" type="noConversion"/>
  </si>
  <si>
    <t>Other addition of residential properties</t>
    <phoneticPr fontId="8" type="noConversion"/>
  </si>
  <si>
    <t>Corrections residential properties</t>
    <phoneticPr fontId="8" type="noConversion"/>
  </si>
  <si>
    <t>Balance of residential properties</t>
    <phoneticPr fontId="8" type="noConversion"/>
  </si>
  <si>
    <t>Demolished non-residential properties</t>
    <phoneticPr fontId="8" type="noConversion"/>
  </si>
  <si>
    <t>New construction non-residential</t>
    <phoneticPr fontId="8" type="noConversion"/>
  </si>
  <si>
    <t>Other withdraws of residential properties</t>
    <phoneticPr fontId="8" type="noConversion"/>
  </si>
  <si>
    <t>Balance of non-residential properties</t>
    <phoneticPr fontId="8" type="noConversion"/>
  </si>
  <si>
    <t>Stock Final Standing</t>
    <phoneticPr fontId="8" type="noConversion"/>
  </si>
  <si>
    <t xml:space="preserve">Data Source: </t>
    <phoneticPr fontId="1" type="noConversion"/>
  </si>
  <si>
    <t>Unit: number</t>
    <phoneticPr fontId="1" type="noConversion"/>
  </si>
  <si>
    <t>Total Demo_including correction &amp; withdraw</t>
    <phoneticPr fontId="1" type="noConversion"/>
  </si>
  <si>
    <t>Total Con _including correction&amp;addition</t>
    <phoneticPr fontId="1" type="noConversion"/>
  </si>
  <si>
    <t>Residential buildings</t>
    <phoneticPr fontId="1" type="noConversion"/>
  </si>
  <si>
    <t>Non-Residenial buildings</t>
    <phoneticPr fontId="1" type="noConversion"/>
  </si>
  <si>
    <t xml:space="preserve">year </t>
  </si>
  <si>
    <t>unit</t>
    <phoneticPr fontId="1" type="noConversion"/>
  </si>
  <si>
    <t>Considering the consistency of the calculation with MI and further analyzation, here we use the data recorded based on the unit area.</t>
    <phoneticPr fontId="3" type="noConversion"/>
  </si>
  <si>
    <t>year</t>
  </si>
  <si>
    <t>Status</t>
  </si>
  <si>
    <t>Area Conversion - m2</t>
    <phoneticPr fontId="3" type="noConversion"/>
  </si>
  <si>
    <t>unit &gt;250 m2</t>
  </si>
  <si>
    <t>Total - m2</t>
    <phoneticPr fontId="3" type="noConversion"/>
  </si>
  <si>
    <t>Exist</t>
  </si>
  <si>
    <t>Com</t>
  </si>
  <si>
    <t>In_Con</t>
  </si>
  <si>
    <r>
      <t xml:space="preserve">Due to the lack of info on the buidling types, and their related surface area, here we make assumptions based on </t>
    </r>
    <r>
      <rPr>
        <i/>
        <u/>
        <sz val="11"/>
        <color theme="1"/>
        <rFont val="Calibri"/>
        <family val="3"/>
        <charset val="134"/>
        <scheme val="minor"/>
      </rPr>
      <t>Sprecher, B.,2021</t>
    </r>
  </si>
  <si>
    <t>Formula:</t>
    <phoneticPr fontId="3" type="noConversion"/>
  </si>
  <si>
    <t>Surface area per category = proportion per category * total area</t>
    <phoneticPr fontId="3" type="noConversion"/>
  </si>
  <si>
    <t>Apartment</t>
    <phoneticPr fontId="3" type="noConversion"/>
  </si>
  <si>
    <t>High rise</t>
    <phoneticPr fontId="3" type="noConversion"/>
  </si>
  <si>
    <t>Row house</t>
    <phoneticPr fontId="3" type="noConversion"/>
  </si>
  <si>
    <t>Single house</t>
    <phoneticPr fontId="3" type="noConversion"/>
  </si>
  <si>
    <t xml:space="preserve">This file provides the calculation of historical (2012-2021) urban miming potential of the building materials (bricks, wood and glass) in city Leiden. </t>
  </si>
  <si>
    <t>3. D_material calcualtion</t>
  </si>
  <si>
    <t>2. D_surface area conversion</t>
  </si>
  <si>
    <t>4. C_R surface area calculation</t>
  </si>
  <si>
    <t>5. C_R material calculation</t>
  </si>
  <si>
    <t>6. C_U surface area calculation</t>
  </si>
  <si>
    <t>7. C_U material calculation</t>
  </si>
  <si>
    <t>8. C_total material calculation</t>
  </si>
  <si>
    <t>1. Leiden raw data</t>
  </si>
  <si>
    <t>(Note: in the following names, "D"-"Demolition, "C"-"Construction, "R"- "Residential buildings, "U"-"Utility(non-residential) buildings").</t>
  </si>
  <si>
    <t xml:space="preserve">The calcualtion includes the following processes, details are demonstrated in the corresponding spreadsheets. </t>
  </si>
  <si>
    <t>Spreadsheet_3 calculates the volume of the demolition building material during 2012-2021, the building types are identified as residential buildings and utility (non-residential) buildings.</t>
  </si>
  <si>
    <r>
      <t>Spreadsheet_5 calculates the buidling material volume of residential buildings in constructon activities during 2012-2021.</t>
    </r>
    <r>
      <rPr>
        <i/>
        <sz val="11"/>
        <color theme="1"/>
        <rFont val="Calibri"/>
        <family val="2"/>
        <scheme val="minor"/>
      </rPr>
      <t xml:space="preserve"> </t>
    </r>
  </si>
  <si>
    <r>
      <t>Spreadsheet_7 calculates the buidling material volume of utility (non-residential) buildings in constructon activities during 2012-2021.</t>
    </r>
    <r>
      <rPr>
        <i/>
        <sz val="11"/>
        <color theme="1"/>
        <rFont val="Calibri"/>
        <family val="2"/>
        <scheme val="minor"/>
      </rPr>
      <t xml:space="preserve"> </t>
    </r>
  </si>
  <si>
    <r>
      <t>Spreadsheet_8 calculates the total buidling material demands of all types of building  in construction activites during 2012-2021.</t>
    </r>
    <r>
      <rPr>
        <i/>
        <sz val="11"/>
        <color theme="1"/>
        <rFont val="Calibri"/>
        <family val="2"/>
        <scheme val="minor"/>
      </rPr>
      <t xml:space="preserve"> </t>
    </r>
  </si>
  <si>
    <t>Leiden in Cijfers | Gemeente Leiden - Nieuw</t>
  </si>
  <si>
    <t>Residential _Raw data from the database</t>
  </si>
  <si>
    <t>Residential _Raw data related to demonlition</t>
  </si>
  <si>
    <t>Utility (Non-residential) _Raw data from the database</t>
  </si>
  <si>
    <t>AVG surface Area (m2)</t>
  </si>
  <si>
    <t>Utility (Non-residential) _Raw data related to demonlition</t>
  </si>
  <si>
    <t>Average %</t>
  </si>
  <si>
    <t>total_D_R/ total_C_R (%)</t>
  </si>
  <si>
    <t>U</t>
  </si>
  <si>
    <t>total_D_U/ total_C_U (%)</t>
  </si>
  <si>
    <t>CBS Open data StatLine</t>
  </si>
  <si>
    <r>
      <t>Spreadsheet_1 demonstrates the raw data collected from the database of municipality of Leiden (</t>
    </r>
    <r>
      <rPr>
        <i/>
        <sz val="11"/>
        <color theme="1"/>
        <rFont val="Calibri"/>
        <family val="2"/>
        <scheme val="minor"/>
      </rPr>
      <t>Leiden in Cijfers</t>
    </r>
    <r>
      <rPr>
        <sz val="11"/>
        <color theme="1"/>
        <rFont val="Calibri"/>
        <family val="2"/>
        <scheme val="minor"/>
      </rPr>
      <t xml:space="preserve">) and CBS, the data provides the infromation of the number of building units in construction and demolition activites during 2012-2021, the building types are identified as residential buildings and non-residential (utility) buidlings.In the study, this set of data is mainly used to calculate the numbers of demolition buildings during 2012-2021, as it is the only official and availiable dataset that records the demolition activities in this period. Data for construction is referenced from database </t>
    </r>
    <r>
      <rPr>
        <i/>
        <sz val="11"/>
        <color theme="1"/>
        <rFont val="Calibri"/>
        <family val="2"/>
        <scheme val="minor"/>
      </rPr>
      <t>Nieuwbouw Monitor</t>
    </r>
    <r>
      <rPr>
        <sz val="11"/>
        <color theme="1"/>
        <rFont val="Calibri"/>
        <family val="2"/>
        <scheme val="minor"/>
      </rPr>
      <t xml:space="preserve">. </t>
    </r>
  </si>
  <si>
    <r>
      <t xml:space="preserve">Spreadsheet_2 is an unit conversion process, which converts the unit in spreadsheet_1 from the unit of numbers to surface area(m2), in order to proceed with calculating the material volume by material intensity. Due to the lack of data, the conversion references the data from </t>
    </r>
    <r>
      <rPr>
        <i/>
        <sz val="11"/>
        <color theme="1"/>
        <rFont val="Calibri"/>
        <family val="2"/>
        <scheme val="minor"/>
      </rPr>
      <t>Verhagen et al., 2021</t>
    </r>
    <r>
      <rPr>
        <sz val="11"/>
        <color theme="1"/>
        <rFont val="Calibri"/>
        <family val="2"/>
        <scheme val="minor"/>
      </rPr>
      <t>, the details processes are descriped in the sheet.</t>
    </r>
  </si>
  <si>
    <r>
      <t xml:space="preserve">Spreadsheet_4 processes the raw data from </t>
    </r>
    <r>
      <rPr>
        <i/>
        <sz val="11"/>
        <color theme="1"/>
        <rFont val="Calibri"/>
        <family val="2"/>
        <scheme val="minor"/>
      </rPr>
      <t>Nieuwbouw Monitor</t>
    </r>
    <r>
      <rPr>
        <sz val="11"/>
        <color theme="1"/>
        <rFont val="Calibri"/>
        <family val="2"/>
        <scheme val="minor"/>
      </rPr>
      <t xml:space="preserve"> of residential buildings in constructon activities during 2012-2021.</t>
    </r>
    <r>
      <rPr>
        <i/>
        <sz val="11"/>
        <color theme="1"/>
        <rFont val="Calibri"/>
        <family val="2"/>
        <scheme val="minor"/>
      </rPr>
      <t xml:space="preserve"> </t>
    </r>
  </si>
  <si>
    <r>
      <t xml:space="preserve">Spreadsheet_6 processes the raw data from </t>
    </r>
    <r>
      <rPr>
        <i/>
        <sz val="11"/>
        <color theme="1"/>
        <rFont val="Calibri"/>
        <family val="2"/>
        <scheme val="minor"/>
      </rPr>
      <t>Nieuwbouw Monitor</t>
    </r>
    <r>
      <rPr>
        <sz val="11"/>
        <color theme="1"/>
        <rFont val="Calibri"/>
        <family val="2"/>
        <scheme val="minor"/>
      </rPr>
      <t xml:space="preserve"> of utility (non-residential) buildings in constructon activities during 2012-2021.</t>
    </r>
    <r>
      <rPr>
        <i/>
        <sz val="11"/>
        <color theme="1"/>
        <rFont val="Calibri"/>
        <family val="2"/>
        <scheme val="minor"/>
      </rPr>
      <t xml:space="preserve"> </t>
    </r>
  </si>
  <si>
    <r>
      <t xml:space="preserve">The raw data from municipality's is recorded in the unit of numbers, while the calculation of material quantity is operated under the unit of surface area (m2) </t>
    </r>
    <r>
      <rPr>
        <i/>
        <u/>
        <sz val="12"/>
        <color theme="1"/>
        <rFont val="Calibri"/>
        <family val="2"/>
        <scheme val="minor"/>
      </rPr>
      <t>(Mohammadiziazi &amp; Bilec, 2022, 2023)</t>
    </r>
    <r>
      <rPr>
        <u/>
        <sz val="12"/>
        <color theme="1"/>
        <rFont val="Calibri"/>
        <family val="2"/>
        <scheme val="minor"/>
      </rPr>
      <t>, therefore, the conversion is required, the conversion process follows the steps as:</t>
    </r>
  </si>
  <si>
    <t xml:space="preserve">Surface area (m2) = the average correlation between surface area and units (m2 / unit) * the number of the building units (unit) </t>
  </si>
  <si>
    <r>
      <t xml:space="preserve">1) Based on the previous study of </t>
    </r>
    <r>
      <rPr>
        <b/>
        <i/>
        <sz val="11"/>
        <color theme="1"/>
        <rFont val="Calibri"/>
        <family val="2"/>
        <scheme val="minor"/>
      </rPr>
      <t>Verhagen et al., 2021</t>
    </r>
    <r>
      <rPr>
        <sz val="11"/>
        <color theme="1"/>
        <rFont val="Calibri"/>
        <family val="2"/>
        <scheme val="minor"/>
      </rPr>
      <t>, part of the dataset of demonlition building in the unit of surface area during year 2019-2021 is included, the numbers of the building units and the surface area are linear correlated, the correlation is the quantity of the surface area per building unit. Therefore, the correlation between surface area and building unit can be calculated in the known years (2019-2021), and the demonlition of surface area of the rest of the year can then be calculated by:</t>
    </r>
  </si>
  <si>
    <r>
      <t xml:space="preserve">2) The database of municipality's has 2 types of buildings, residential buildings and utility (non-residential) buildings, while the referenced data from </t>
    </r>
    <r>
      <rPr>
        <b/>
        <i/>
        <sz val="11"/>
        <color theme="1"/>
        <rFont val="Calibri"/>
        <family val="2"/>
        <scheme val="minor"/>
      </rPr>
      <t>Verhagen et al., 2021</t>
    </r>
    <r>
      <rPr>
        <sz val="11"/>
        <color theme="1"/>
        <rFont val="Calibri"/>
        <family val="2"/>
        <scheme val="minor"/>
      </rPr>
      <t xml:space="preserve"> identified the building types as Residential buildings (row house, high rise, detached, apartment), and utility(non-residential) buildings (commercial, office others). Therefore, to keep the calculation consistency, the building types classification follows the study of Verhagen et al., 2021, and the quantity of each building type is calculated by the average proportion based on the known years. </t>
    </r>
  </si>
  <si>
    <t>source: Verhagen et al., 2021</t>
  </si>
  <si>
    <t>Residential _ referencing data process_ Demonlition 2019-2021</t>
  </si>
  <si>
    <t>Row house (m2)</t>
  </si>
  <si>
    <t>High rise (m2)</t>
  </si>
  <si>
    <t xml:space="preserve">Detached (m2) </t>
  </si>
  <si>
    <t xml:space="preserve">Apartement (m2) </t>
  </si>
  <si>
    <t xml:space="preserve">R_Total (m2) </t>
  </si>
  <si>
    <t>correlation (m2/unit)</t>
  </si>
  <si>
    <t>Average correlation</t>
  </si>
  <si>
    <t>Correlation between surface area and building unit</t>
  </si>
  <si>
    <t>Proportion of each building type in the total residential building demonlition</t>
  </si>
  <si>
    <t>Row house/total residential demonlition</t>
  </si>
  <si>
    <t>High rise /total residential demonlition</t>
  </si>
  <si>
    <t>Detached /total residential demonlition</t>
  </si>
  <si>
    <t xml:space="preserve">Apartement /total residential demonlition </t>
  </si>
  <si>
    <t>Residential _ Estimation of demonlition surface area, 2012-2021</t>
  </si>
  <si>
    <t>Municipality database</t>
  </si>
  <si>
    <t>total area(m2)</t>
  </si>
  <si>
    <t>Detached (m2)</t>
  </si>
  <si>
    <t>Residential (unit)</t>
  </si>
  <si>
    <t>Utility (non-residential)_ referencing data process_ Demonlition 2019-2021</t>
  </si>
  <si>
    <t>Commercial (m2)</t>
  </si>
  <si>
    <t>Offices (m2)</t>
  </si>
  <si>
    <t>Others (m2)</t>
  </si>
  <si>
    <t>U_total (m2)</t>
  </si>
  <si>
    <t>Commercial/total utility demonlition</t>
  </si>
  <si>
    <t>Offices /total utility demonlition</t>
  </si>
  <si>
    <t>Others /total utility demonlition</t>
  </si>
  <si>
    <t>utility (units)</t>
  </si>
  <si>
    <t>Utility (non-residential) _ Estimation of demonlition surface area, 2012-2021</t>
  </si>
  <si>
    <t>total area (m2)</t>
  </si>
  <si>
    <t>This spreadsheet calculates the quantity of building mateials from demolition, the calculation follows the following equation:</t>
  </si>
  <si>
    <t>Material quantity (tons)=  Material Intensity based on buildin types (kg⁄m^2 )* Surface area (m^2 )* 0.001</t>
  </si>
  <si>
    <t>Brick (tons)</t>
  </si>
  <si>
    <t>Glass (Tons)</t>
  </si>
  <si>
    <t>Wood (Tons)</t>
  </si>
  <si>
    <t>Residential demonlition _ Material calculation_2012-2021</t>
  </si>
  <si>
    <t>Total Residential demonlition Material_2012-2021</t>
  </si>
  <si>
    <t>Utility demonlition _ Material calculation_2012-2021</t>
  </si>
  <si>
    <t>Total Utility demonlition Material_2012-2021</t>
  </si>
  <si>
    <t>Total demonlition building material_2012-2021</t>
  </si>
  <si>
    <t xml:space="preserve">The calculation formula for residential building area: </t>
  </si>
  <si>
    <t>consruction residential building area (m2) = medium number of the category * number of units</t>
  </si>
  <si>
    <r>
      <t xml:space="preserve">This spreadsheet demonstrates the raw data of construction activities for residential buildings during 2012-2021, the data is sourced from </t>
    </r>
    <r>
      <rPr>
        <i/>
        <sz val="11"/>
        <color theme="1"/>
        <rFont val="Calibri"/>
        <family val="2"/>
        <scheme val="minor"/>
      </rPr>
      <t>Nieuwbouw Monitor</t>
    </r>
    <r>
      <rPr>
        <sz val="11"/>
        <color theme="1"/>
        <rFont val="Calibri"/>
        <family val="2"/>
        <scheme val="minor"/>
      </rPr>
      <t xml:space="preserve">. </t>
    </r>
  </si>
  <si>
    <t>Residential _Raw data Construction, 2012-2021</t>
  </si>
  <si>
    <t>Under 50m2 (unit)</t>
  </si>
  <si>
    <t>51-75 m2 (unit)</t>
  </si>
  <si>
    <t>76-100 m2 (unit)</t>
  </si>
  <si>
    <t>101-150 m2 (unit)</t>
  </si>
  <si>
    <t>Area Conversion - m2</t>
  </si>
  <si>
    <t>151 -250 m2(unit)</t>
  </si>
  <si>
    <r>
      <t xml:space="preserve">Residential _ construction_building type proportion per category, 2012-2021, </t>
    </r>
    <r>
      <rPr>
        <b/>
        <i/>
        <sz val="11"/>
        <color theme="1"/>
        <rFont val="Calibri"/>
        <family val="2"/>
        <scheme val="minor"/>
      </rPr>
      <t>Sprecher, B.,2021</t>
    </r>
  </si>
  <si>
    <t>Residential _ construction_surface area estimation</t>
  </si>
  <si>
    <t>(Note: "Exist" - building units that were already exist, "Com"- building units that were finished built of the year, "In- Con" - building units that were under construction of the year)</t>
  </si>
  <si>
    <t>Residential _ construction_surface area summary</t>
  </si>
  <si>
    <t>Note: the residetial building of construction consideres the building under the category of "Com" and "In-con"</t>
  </si>
  <si>
    <t>Apartment (m2)</t>
  </si>
  <si>
    <t>Row house(m2)</t>
  </si>
  <si>
    <t>Single house (m2)</t>
  </si>
  <si>
    <t>5_C_R_material calculation</t>
  </si>
  <si>
    <t>1_Leiden raw data</t>
  </si>
  <si>
    <t>2_D_Surface area conversion</t>
  </si>
  <si>
    <t>3_D_material calculation</t>
  </si>
  <si>
    <t>4_C_R surface area calculation</t>
  </si>
  <si>
    <t>This spreadsheet calculates the quantity of residential building mateials in construction, the calculation follows the following equation:</t>
  </si>
  <si>
    <t>Residential construction _ Material calculation_2012-2021</t>
  </si>
  <si>
    <t>Apartement (m2)</t>
  </si>
  <si>
    <t>Brick (Tons)</t>
  </si>
  <si>
    <t>Total Residential construction material summary_2012-2021</t>
  </si>
  <si>
    <t>6_C_U surface area calculation</t>
  </si>
  <si>
    <r>
      <t xml:space="preserve">This spreadsheet demonstrates the raw data of construction activities for utility (non-residential) buildings during 2012-2021, the data is sourced from </t>
    </r>
    <r>
      <rPr>
        <i/>
        <sz val="11"/>
        <color theme="1"/>
        <rFont val="Calibri"/>
        <family val="2"/>
        <scheme val="minor"/>
      </rPr>
      <t>Nieuwbouw Monitor</t>
    </r>
    <r>
      <rPr>
        <sz val="11"/>
        <color theme="1"/>
        <rFont val="Calibri"/>
        <family val="2"/>
        <scheme val="minor"/>
      </rPr>
      <t xml:space="preserve">. </t>
    </r>
  </si>
  <si>
    <t>Utility (non-residential) _Raw data Construction, 2012-2021</t>
  </si>
  <si>
    <t>Utility (Non-residential) building _ construction_surface area summary_2012-2021</t>
  </si>
  <si>
    <t>Note: the utility(non-residential) building of construction consideres the building under the category of "Com" and "In-con"</t>
  </si>
  <si>
    <t xml:space="preserve">commerical (m2) </t>
  </si>
  <si>
    <t xml:space="preserve">office(m2) </t>
  </si>
  <si>
    <t xml:space="preserve">other (m2) </t>
  </si>
  <si>
    <t xml:space="preserve">total (m2) </t>
  </si>
  <si>
    <t>7_C_U_material calculation</t>
  </si>
  <si>
    <t>This spreadsheet calculates the quantity of utility (Non-residential) building mateials in construction, the calculation follows the following equation:</t>
  </si>
  <si>
    <t>commercial (m2)</t>
  </si>
  <si>
    <t>office (m2)</t>
  </si>
  <si>
    <t>other (m2)</t>
  </si>
  <si>
    <t>Utility (non residential) construction _ Material calculation_2012-2021</t>
  </si>
  <si>
    <t>Total Utility (non residential) construction material summary_2012-2021</t>
  </si>
  <si>
    <t>8_C_total material_calculation</t>
  </si>
  <si>
    <t>This spreadsheet summarizes the total material quantity of construction demands of both residential and utility buildings during year 2012-2021</t>
  </si>
  <si>
    <t>9_Material intensity</t>
  </si>
  <si>
    <r>
      <t xml:space="preserve">** Material intensity references from </t>
    </r>
    <r>
      <rPr>
        <b/>
        <i/>
        <sz val="11"/>
        <color theme="1"/>
        <rFont val="Calibri"/>
        <family val="2"/>
        <scheme val="minor"/>
      </rPr>
      <t>Sprecher et al., 2021</t>
    </r>
    <r>
      <rPr>
        <sz val="11"/>
        <color theme="1"/>
        <rFont val="Calibri"/>
        <family val="2"/>
        <charset val="134"/>
        <scheme val="minor"/>
      </rPr>
      <t>, demonstrated in spreadsheet_9</t>
    </r>
  </si>
  <si>
    <t>9. MI (Material intensity)</t>
  </si>
  <si>
    <r>
      <t xml:space="preserve">Spreadsheet_9 demonstrates the Material Intensity (MI) coefficients for material calculation,the data is referenced from </t>
    </r>
    <r>
      <rPr>
        <i/>
        <sz val="11"/>
        <color theme="1"/>
        <rFont val="Calibri"/>
        <family val="2"/>
        <scheme val="minor"/>
      </rPr>
      <t>Sprecher et al., 2021.</t>
    </r>
  </si>
  <si>
    <t>Appendix I - Data analysis process of historical urban mining potential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</si>
</sst>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64" formatCode="0_ "/>
    <numFmt numFmtId="165" formatCode="0.0_ "/>
    <numFmt numFmtId="166" formatCode="0.0"/>
    <numFmt numFmtId="167" formatCode="0.00_ "/>
    <numFmt numFmtId="168" formatCode="0_);[Red]\(0\)"/>
    <numFmt numFmtId="169" formatCode="0_ ;\-0\ "/>
    <numFmt numFmtId="170" formatCode="0.000_ ;\-0.000\ "/>
    <numFmt numFmtId="171" formatCode="0.0_ ;\-0.0\ "/>
  </numFmts>
  <fonts count="22">
    <font>
      <sz val="11"/>
      <color theme="1"/>
      <name val="Calibri"/>
      <family val="2"/>
      <charset val="134"/>
      <scheme val="minor"/>
    </font>
    <font>
      <sz val="9"/>
      <name val="Calibri"/>
      <family val="2"/>
      <charset val="134"/>
      <scheme val="minor"/>
    </font>
    <font>
      <sz val="10"/>
      <color rgb="FF000000"/>
      <name val="Arial"/>
      <family val="2"/>
    </font>
    <font>
      <sz val="14"/>
      <color rgb="FF000000"/>
      <name val="Arial"/>
      <family val="2"/>
    </font>
    <font>
      <i/>
      <sz val="14"/>
      <color rgb="FF000000"/>
      <name val="Arial"/>
      <family val="2"/>
    </font>
    <font>
      <sz val="11"/>
      <color rgb="FF000000"/>
      <name val="Calibri"/>
      <family val="2"/>
      <scheme val="minor"/>
    </font>
    <font>
      <sz val="11"/>
      <color indexed="8"/>
      <name val="Calibri"/>
      <family val="2"/>
      <scheme val="minor"/>
    </font>
    <font>
      <b/>
      <sz val="10"/>
      <name val="Arial"/>
      <family val="2"/>
    </font>
    <font>
      <sz val="9"/>
      <name val="Calibri"/>
      <family val="3"/>
      <charset val="134"/>
      <scheme val="minor"/>
    </font>
    <font>
      <sz val="10"/>
      <name val="Arial"/>
      <family val="2"/>
    </font>
    <font>
      <u/>
      <sz val="11"/>
      <color theme="10"/>
      <name val="Calibri"/>
      <family val="2"/>
      <charset val="134"/>
      <scheme val="minor"/>
    </font>
    <font>
      <sz val="11"/>
      <color theme="1"/>
      <name val="Calibri"/>
      <family val="2"/>
      <charset val="134"/>
      <scheme val="minor"/>
    </font>
    <font>
      <sz val="11"/>
      <color theme="1"/>
      <name val="Calibri"/>
      <family val="2"/>
      <scheme val="minor"/>
    </font>
    <font>
      <i/>
      <u/>
      <sz val="11"/>
      <color theme="1"/>
      <name val="Calibri"/>
      <family val="3"/>
      <charset val="134"/>
      <scheme val="minor"/>
    </font>
    <font>
      <b/>
      <sz val="11"/>
      <color theme="1"/>
      <name val="Calibri"/>
      <family val="2"/>
      <scheme val="minor"/>
    </font>
    <font>
      <b/>
      <sz val="14"/>
      <color theme="1"/>
      <name val="Calibri"/>
      <family val="2"/>
      <scheme val="minor"/>
    </font>
    <font>
      <i/>
      <sz val="11"/>
      <color theme="1"/>
      <name val="Calibri"/>
      <family val="2"/>
      <scheme val="minor"/>
    </font>
    <font>
      <u/>
      <sz val="12"/>
      <color theme="1"/>
      <name val="Calibri"/>
      <family val="2"/>
      <scheme val="minor"/>
    </font>
    <font>
      <u/>
      <sz val="11"/>
      <color theme="10"/>
      <name val="Calibri"/>
      <family val="2"/>
      <scheme val="minor"/>
    </font>
    <font>
      <i/>
      <u/>
      <sz val="12"/>
      <color theme="1"/>
      <name val="Calibri"/>
      <family val="2"/>
      <scheme val="minor"/>
    </font>
    <font>
      <b/>
      <i/>
      <sz val="11"/>
      <color theme="1"/>
      <name val="Calibri"/>
      <family val="2"/>
      <scheme val="minor"/>
    </font>
    <font>
      <b/>
      <sz val="16"/>
      <color theme="1"/>
      <name val="Calibri"/>
      <family val="2"/>
      <scheme val="minor"/>
    </font>
  </fonts>
  <fills count="8">
    <fill>
      <patternFill patternType="none"/>
    </fill>
    <fill>
      <patternFill patternType="gray125"/>
    </fill>
    <fill>
      <patternFill patternType="solid">
        <fgColor theme="7" tint="0.59999389629810485"/>
        <bgColor indexed="64"/>
      </patternFill>
    </fill>
    <fill>
      <patternFill patternType="solid">
        <fgColor rgb="FF7030A0"/>
        <bgColor indexed="64"/>
      </patternFill>
    </fill>
    <fill>
      <patternFill patternType="solid">
        <fgColor theme="2"/>
        <bgColor indexed="64"/>
      </patternFill>
    </fill>
    <fill>
      <patternFill patternType="solid">
        <fgColor theme="8" tint="0.39997558519241921"/>
        <bgColor indexed="64"/>
      </patternFill>
    </fill>
    <fill>
      <patternFill patternType="solid">
        <fgColor theme="0" tint="-0.249977111117893"/>
        <bgColor indexed="64"/>
      </patternFill>
    </fill>
    <fill>
      <patternFill patternType="solid">
        <fgColor theme="0" tint="-0.14999847407452621"/>
        <bgColor indexed="64"/>
      </patternFill>
    </fill>
  </fills>
  <borders count="24">
    <border>
      <left/>
      <right/>
      <top/>
      <bottom/>
      <diagonal/>
    </border>
    <border>
      <left style="thin">
        <color auto="1"/>
      </left>
      <right style="thin">
        <color auto="1"/>
      </right>
      <top style="thin">
        <color auto="1"/>
      </top>
      <bottom style="thin">
        <color auto="1"/>
      </bottom>
      <diagonal/>
    </border>
    <border>
      <left/>
      <right/>
      <top style="medium">
        <color indexed="64"/>
      </top>
      <bottom/>
      <diagonal/>
    </border>
    <border>
      <left/>
      <right/>
      <top style="medium">
        <color indexed="64"/>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auto="1"/>
      </right>
      <top style="medium">
        <color indexed="64"/>
      </top>
      <bottom style="thin">
        <color auto="1"/>
      </bottom>
      <diagonal/>
    </border>
    <border>
      <left style="thin">
        <color auto="1"/>
      </left>
      <right style="thin">
        <color auto="1"/>
      </right>
      <top style="medium">
        <color indexed="64"/>
      </top>
      <bottom style="thin">
        <color auto="1"/>
      </bottom>
      <diagonal/>
    </border>
    <border>
      <left style="thin">
        <color auto="1"/>
      </left>
      <right style="medium">
        <color indexed="64"/>
      </right>
      <top style="medium">
        <color indexed="64"/>
      </top>
      <bottom style="thin">
        <color auto="1"/>
      </bottom>
      <diagonal/>
    </border>
    <border>
      <left style="medium">
        <color indexed="64"/>
      </left>
      <right style="thin">
        <color auto="1"/>
      </right>
      <top style="thin">
        <color auto="1"/>
      </top>
      <bottom style="thin">
        <color auto="1"/>
      </bottom>
      <diagonal/>
    </border>
    <border>
      <left style="thin">
        <color auto="1"/>
      </left>
      <right style="medium">
        <color indexed="64"/>
      </right>
      <top style="thin">
        <color auto="1"/>
      </top>
      <bottom style="thin">
        <color auto="1"/>
      </bottom>
      <diagonal/>
    </border>
    <border>
      <left style="medium">
        <color indexed="64"/>
      </left>
      <right style="thin">
        <color auto="1"/>
      </right>
      <top style="thin">
        <color auto="1"/>
      </top>
      <bottom style="medium">
        <color indexed="64"/>
      </bottom>
      <diagonal/>
    </border>
    <border>
      <left style="thin">
        <color auto="1"/>
      </left>
      <right style="thin">
        <color auto="1"/>
      </right>
      <top style="thin">
        <color auto="1"/>
      </top>
      <bottom style="medium">
        <color indexed="64"/>
      </bottom>
      <diagonal/>
    </border>
    <border>
      <left style="thin">
        <color auto="1"/>
      </left>
      <right style="medium">
        <color indexed="64"/>
      </right>
      <top style="thin">
        <color auto="1"/>
      </top>
      <bottom style="medium">
        <color indexed="64"/>
      </bottom>
      <diagonal/>
    </border>
    <border>
      <left style="thin">
        <color auto="1"/>
      </left>
      <right style="thin">
        <color auto="1"/>
      </right>
      <top style="thin">
        <color auto="1"/>
      </top>
      <bottom/>
      <diagonal/>
    </border>
    <border>
      <left style="medium">
        <color indexed="64"/>
      </left>
      <right style="thin">
        <color auto="1"/>
      </right>
      <top style="thin">
        <color auto="1"/>
      </top>
      <bottom/>
      <diagonal/>
    </border>
    <border>
      <left style="thin">
        <color auto="1"/>
      </left>
      <right style="medium">
        <color indexed="64"/>
      </right>
      <top style="thin">
        <color auto="1"/>
      </top>
      <bottom/>
      <diagonal/>
    </border>
    <border>
      <left style="medium">
        <color indexed="64"/>
      </left>
      <right/>
      <top style="thin">
        <color auto="1"/>
      </top>
      <bottom style="medium">
        <color indexed="64"/>
      </bottom>
      <diagonal/>
    </border>
    <border>
      <left/>
      <right/>
      <top style="thin">
        <color auto="1"/>
      </top>
      <bottom style="medium">
        <color indexed="64"/>
      </bottom>
      <diagonal/>
    </border>
    <border>
      <left/>
      <right style="thin">
        <color auto="1"/>
      </right>
      <top style="thin">
        <color auto="1"/>
      </top>
      <bottom style="medium">
        <color indexed="64"/>
      </bottom>
      <diagonal/>
    </border>
    <border>
      <left style="medium">
        <color indexed="64"/>
      </left>
      <right/>
      <top style="medium">
        <color indexed="64"/>
      </top>
      <bottom style="thin">
        <color auto="1"/>
      </bottom>
      <diagonal/>
    </border>
    <border>
      <left/>
      <right/>
      <top style="medium">
        <color indexed="64"/>
      </top>
      <bottom style="thin">
        <color auto="1"/>
      </bottom>
      <diagonal/>
    </border>
    <border>
      <left/>
      <right style="medium">
        <color indexed="64"/>
      </right>
      <top style="medium">
        <color indexed="64"/>
      </top>
      <bottom style="thin">
        <color auto="1"/>
      </bottom>
      <diagonal/>
    </border>
  </borders>
  <cellStyleXfs count="6">
    <xf numFmtId="0" fontId="0" fillId="0" borderId="0">
      <alignment vertical="center"/>
    </xf>
    <xf numFmtId="0" fontId="2" fillId="0" borderId="0"/>
    <xf numFmtId="0" fontId="6" fillId="0" borderId="0">
      <alignment vertical="center"/>
    </xf>
    <xf numFmtId="0" fontId="10" fillId="0" borderId="0" applyNumberFormat="0" applyFill="0" applyBorder="0" applyAlignment="0" applyProtection="0">
      <alignment vertical="center"/>
    </xf>
    <xf numFmtId="0" fontId="12" fillId="0" borderId="0"/>
    <xf numFmtId="0" fontId="11" fillId="0" borderId="0">
      <alignment vertical="center"/>
    </xf>
  </cellStyleXfs>
  <cellXfs count="197">
    <xf numFmtId="0" fontId="0" fillId="0" borderId="0" xfId="0">
      <alignment vertical="center"/>
    </xf>
    <xf numFmtId="165" fontId="0" fillId="0" borderId="0" xfId="0" applyNumberFormat="1">
      <alignment vertical="center"/>
    </xf>
    <xf numFmtId="164" fontId="0" fillId="0" borderId="0" xfId="0" applyNumberFormat="1">
      <alignment vertical="center"/>
    </xf>
    <xf numFmtId="0" fontId="5" fillId="0" borderId="0" xfId="0" applyFont="1">
      <alignment vertical="center"/>
    </xf>
    <xf numFmtId="0" fontId="0" fillId="0" borderId="0" xfId="0" applyAlignment="1">
      <alignment horizontal="center" vertical="center"/>
    </xf>
    <xf numFmtId="0" fontId="5" fillId="0" borderId="2" xfId="0" applyFont="1" applyBorder="1">
      <alignment vertical="center"/>
    </xf>
    <xf numFmtId="0" fontId="0" fillId="0" borderId="2" xfId="0" applyBorder="1" applyAlignment="1">
      <alignment horizontal="center" vertical="center"/>
    </xf>
    <xf numFmtId="166" fontId="5" fillId="0" borderId="0" xfId="0" applyNumberFormat="1" applyFont="1">
      <alignment vertical="center"/>
    </xf>
    <xf numFmtId="0" fontId="0" fillId="0" borderId="0" xfId="0" applyAlignment="1"/>
    <xf numFmtId="0" fontId="6" fillId="0" borderId="1" xfId="2" applyBorder="1" applyAlignment="1"/>
    <xf numFmtId="0" fontId="9" fillId="0" borderId="0" xfId="2" applyFont="1" applyAlignment="1"/>
    <xf numFmtId="0" fontId="6" fillId="0" borderId="0" xfId="2" applyAlignment="1"/>
    <xf numFmtId="0" fontId="0" fillId="0" borderId="1" xfId="0" applyBorder="1">
      <alignment vertical="center"/>
    </xf>
    <xf numFmtId="0" fontId="10" fillId="0" borderId="0" xfId="3">
      <alignment vertical="center"/>
    </xf>
    <xf numFmtId="0" fontId="0" fillId="3" borderId="0" xfId="0" applyFill="1">
      <alignment vertical="center"/>
    </xf>
    <xf numFmtId="166" fontId="5" fillId="0" borderId="5" xfId="0" applyNumberFormat="1" applyFont="1" applyBorder="1">
      <alignment vertical="center"/>
    </xf>
    <xf numFmtId="166" fontId="5" fillId="0" borderId="3" xfId="0" applyNumberFormat="1" applyFont="1" applyBorder="1">
      <alignment vertical="center"/>
    </xf>
    <xf numFmtId="165" fontId="0" fillId="0" borderId="3" xfId="0" applyNumberFormat="1" applyBorder="1">
      <alignment vertical="center"/>
    </xf>
    <xf numFmtId="165" fontId="0" fillId="0" borderId="6" xfId="0" applyNumberFormat="1" applyBorder="1">
      <alignment vertical="center"/>
    </xf>
    <xf numFmtId="0" fontId="0" fillId="0" borderId="7" xfId="0" applyBorder="1">
      <alignment vertical="center"/>
    </xf>
    <xf numFmtId="0" fontId="0" fillId="0" borderId="8" xfId="0" applyBorder="1">
      <alignment vertical="center"/>
    </xf>
    <xf numFmtId="0" fontId="0" fillId="0" borderId="9" xfId="0" applyBorder="1">
      <alignment vertical="center"/>
    </xf>
    <xf numFmtId="0" fontId="0" fillId="0" borderId="10" xfId="0" applyBorder="1">
      <alignment vertical="center"/>
    </xf>
    <xf numFmtId="0" fontId="0" fillId="0" borderId="11" xfId="0" applyBorder="1">
      <alignment vertical="center"/>
    </xf>
    <xf numFmtId="164" fontId="0" fillId="0" borderId="1" xfId="0" applyNumberFormat="1" applyBorder="1">
      <alignment vertical="center"/>
    </xf>
    <xf numFmtId="0" fontId="0" fillId="0" borderId="12" xfId="0" applyBorder="1">
      <alignment vertical="center"/>
    </xf>
    <xf numFmtId="164" fontId="0" fillId="0" borderId="13" xfId="0" applyNumberFormat="1" applyBorder="1">
      <alignment vertical="center"/>
    </xf>
    <xf numFmtId="0" fontId="12" fillId="0" borderId="0" xfId="4"/>
    <xf numFmtId="0" fontId="11" fillId="0" borderId="0" xfId="5">
      <alignment vertical="center"/>
    </xf>
    <xf numFmtId="164" fontId="11" fillId="0" borderId="0" xfId="5" applyNumberFormat="1">
      <alignment vertical="center"/>
    </xf>
    <xf numFmtId="0" fontId="11" fillId="0" borderId="1" xfId="5" applyBorder="1">
      <alignment vertical="center"/>
    </xf>
    <xf numFmtId="0" fontId="15" fillId="0" borderId="0" xfId="0" applyFont="1">
      <alignment vertical="center"/>
    </xf>
    <xf numFmtId="0" fontId="10" fillId="0" borderId="0" xfId="3" applyFill="1">
      <alignment vertical="center"/>
    </xf>
    <xf numFmtId="0" fontId="0" fillId="0" borderId="0" xfId="0" applyAlignment="1">
      <alignment vertical="center" wrapText="1"/>
    </xf>
    <xf numFmtId="167" fontId="0" fillId="0" borderId="0" xfId="0" applyNumberFormat="1">
      <alignment vertical="center"/>
    </xf>
    <xf numFmtId="0" fontId="6" fillId="0" borderId="15" xfId="2" applyBorder="1" applyAlignment="1"/>
    <xf numFmtId="0" fontId="7" fillId="0" borderId="10" xfId="2" applyFont="1" applyBorder="1" applyAlignment="1"/>
    <xf numFmtId="0" fontId="6" fillId="0" borderId="11" xfId="2" applyBorder="1" applyAlignment="1"/>
    <xf numFmtId="0" fontId="7" fillId="0" borderId="12" xfId="2" applyFont="1" applyBorder="1" applyAlignment="1"/>
    <xf numFmtId="0" fontId="6" fillId="0" borderId="13" xfId="2" applyBorder="1" applyAlignment="1"/>
    <xf numFmtId="0" fontId="6" fillId="0" borderId="14" xfId="2" applyBorder="1" applyAlignment="1"/>
    <xf numFmtId="0" fontId="14" fillId="0" borderId="7" xfId="0" applyFont="1" applyBorder="1" applyAlignment="1">
      <alignment vertical="center" wrapText="1"/>
    </xf>
    <xf numFmtId="0" fontId="14" fillId="0" borderId="8" xfId="0" applyFont="1" applyBorder="1" applyAlignment="1">
      <alignment vertical="center" wrapText="1"/>
    </xf>
    <xf numFmtId="0" fontId="14" fillId="0" borderId="9" xfId="0" applyFont="1" applyBorder="1" applyAlignment="1">
      <alignment vertical="center" wrapText="1"/>
    </xf>
    <xf numFmtId="0" fontId="9" fillId="0" borderId="10" xfId="2" applyFont="1" applyBorder="1" applyAlignment="1"/>
    <xf numFmtId="167" fontId="6" fillId="0" borderId="11" xfId="2" applyNumberFormat="1" applyBorder="1" applyAlignment="1"/>
    <xf numFmtId="0" fontId="0" fillId="0" borderId="16" xfId="0" applyBorder="1">
      <alignment vertical="center"/>
    </xf>
    <xf numFmtId="167" fontId="6" fillId="0" borderId="17" xfId="2" applyNumberFormat="1" applyBorder="1" applyAlignment="1"/>
    <xf numFmtId="167" fontId="0" fillId="0" borderId="14" xfId="0" applyNumberFormat="1" applyBorder="1">
      <alignment vertical="center"/>
    </xf>
    <xf numFmtId="0" fontId="7" fillId="0" borderId="7" xfId="2" applyFont="1" applyBorder="1" applyAlignment="1">
      <alignment wrapText="1"/>
    </xf>
    <xf numFmtId="0" fontId="7" fillId="0" borderId="8" xfId="2" applyFont="1" applyBorder="1" applyAlignment="1">
      <alignment wrapText="1"/>
    </xf>
    <xf numFmtId="0" fontId="7" fillId="0" borderId="9" xfId="2" applyFont="1" applyBorder="1" applyAlignment="1">
      <alignment wrapText="1"/>
    </xf>
    <xf numFmtId="0" fontId="7" fillId="0" borderId="0" xfId="2" applyFont="1" applyAlignment="1"/>
    <xf numFmtId="0" fontId="0" fillId="0" borderId="7" xfId="0" applyBorder="1" applyAlignment="1">
      <alignment vertical="center" wrapText="1"/>
    </xf>
    <xf numFmtId="0" fontId="12" fillId="0" borderId="0" xfId="0" applyFont="1">
      <alignment vertical="center"/>
    </xf>
    <xf numFmtId="0" fontId="17" fillId="0" borderId="0" xfId="0" applyFont="1">
      <alignment vertical="center"/>
    </xf>
    <xf numFmtId="0" fontId="18" fillId="0" borderId="0" xfId="3" applyFont="1" applyFill="1">
      <alignment vertical="center"/>
    </xf>
    <xf numFmtId="0" fontId="12" fillId="0" borderId="0" xfId="0" applyFont="1" applyAlignment="1">
      <alignment horizontal="left" vertical="top" wrapText="1"/>
    </xf>
    <xf numFmtId="0" fontId="18" fillId="0" borderId="0" xfId="3" applyFont="1">
      <alignment vertical="center"/>
    </xf>
    <xf numFmtId="0" fontId="20" fillId="0" borderId="0" xfId="0" applyFont="1">
      <alignment vertical="center"/>
    </xf>
    <xf numFmtId="0" fontId="12" fillId="0" borderId="0" xfId="0" applyFont="1" applyAlignment="1">
      <alignment horizontal="center" vertical="center"/>
    </xf>
    <xf numFmtId="169" fontId="0" fillId="0" borderId="11" xfId="0" applyNumberFormat="1" applyBorder="1">
      <alignment vertical="center"/>
    </xf>
    <xf numFmtId="169" fontId="0" fillId="2" borderId="14" xfId="0" applyNumberFormat="1" applyFill="1" applyBorder="1">
      <alignment vertical="center"/>
    </xf>
    <xf numFmtId="0" fontId="0" fillId="0" borderId="1" xfId="0" applyBorder="1" applyAlignment="1">
      <alignment vertical="center" wrapText="1"/>
    </xf>
    <xf numFmtId="170" fontId="0" fillId="0" borderId="1" xfId="0" applyNumberFormat="1" applyBorder="1">
      <alignment vertical="center"/>
    </xf>
    <xf numFmtId="0" fontId="0" fillId="0" borderId="10" xfId="0" applyBorder="1" applyAlignment="1">
      <alignment vertical="center" wrapText="1"/>
    </xf>
    <xf numFmtId="0" fontId="0" fillId="0" borderId="11" xfId="0" applyBorder="1" applyAlignment="1">
      <alignment vertical="center" wrapText="1"/>
    </xf>
    <xf numFmtId="170" fontId="0" fillId="0" borderId="11" xfId="0" applyNumberFormat="1" applyBorder="1">
      <alignment vertical="center"/>
    </xf>
    <xf numFmtId="170" fontId="0" fillId="2" borderId="13" xfId="0" applyNumberFormat="1" applyFill="1" applyBorder="1">
      <alignment vertical="center"/>
    </xf>
    <xf numFmtId="170" fontId="0" fillId="2" borderId="14" xfId="0" applyNumberFormat="1" applyFill="1" applyBorder="1">
      <alignment vertical="center"/>
    </xf>
    <xf numFmtId="0" fontId="14" fillId="0" borderId="0" xfId="0" applyFont="1" applyAlignment="1">
      <alignment vertical="top"/>
    </xf>
    <xf numFmtId="169" fontId="0" fillId="0" borderId="1" xfId="0" applyNumberFormat="1" applyBorder="1">
      <alignment vertical="center"/>
    </xf>
    <xf numFmtId="0" fontId="0" fillId="0" borderId="8" xfId="0" applyBorder="1" applyAlignment="1">
      <alignment vertical="center" wrapText="1"/>
    </xf>
    <xf numFmtId="0" fontId="0" fillId="0" borderId="9" xfId="0" applyBorder="1" applyAlignment="1">
      <alignment vertical="center" wrapText="1"/>
    </xf>
    <xf numFmtId="0" fontId="0" fillId="0" borderId="13" xfId="0" applyBorder="1">
      <alignment vertical="center"/>
    </xf>
    <xf numFmtId="169" fontId="0" fillId="0" borderId="13" xfId="0" applyNumberFormat="1" applyBorder="1">
      <alignment vertical="center"/>
    </xf>
    <xf numFmtId="0" fontId="0" fillId="0" borderId="10" xfId="0" applyBorder="1" applyAlignment="1">
      <alignment horizontal="center" vertical="center" wrapText="1"/>
    </xf>
    <xf numFmtId="0" fontId="0" fillId="0" borderId="1" xfId="0" applyBorder="1" applyAlignment="1">
      <alignment horizontal="center" vertical="center" wrapText="1"/>
    </xf>
    <xf numFmtId="0" fontId="0" fillId="0" borderId="11" xfId="0" applyBorder="1" applyAlignment="1">
      <alignment horizontal="center" vertical="center" wrapText="1"/>
    </xf>
    <xf numFmtId="2" fontId="0" fillId="0" borderId="7" xfId="0" applyNumberFormat="1" applyBorder="1" applyAlignment="1">
      <alignment vertical="center" wrapText="1"/>
    </xf>
    <xf numFmtId="2" fontId="0" fillId="0" borderId="8" xfId="0" applyNumberFormat="1" applyBorder="1" applyAlignment="1">
      <alignment vertical="center" wrapText="1"/>
    </xf>
    <xf numFmtId="2" fontId="0" fillId="0" borderId="9" xfId="0" applyNumberFormat="1" applyBorder="1" applyAlignment="1">
      <alignment vertical="center" wrapText="1"/>
    </xf>
    <xf numFmtId="0" fontId="0" fillId="0" borderId="14" xfId="0" applyBorder="1">
      <alignment vertical="center"/>
    </xf>
    <xf numFmtId="1" fontId="0" fillId="0" borderId="1" xfId="0" applyNumberFormat="1" applyBorder="1">
      <alignment vertical="center"/>
    </xf>
    <xf numFmtId="1" fontId="0" fillId="0" borderId="13" xfId="0" applyNumberFormat="1" applyBorder="1">
      <alignment vertical="center"/>
    </xf>
    <xf numFmtId="0" fontId="6" fillId="5" borderId="1" xfId="2" applyFill="1" applyBorder="1" applyAlignment="1"/>
    <xf numFmtId="0" fontId="6" fillId="5" borderId="15" xfId="2" applyFill="1" applyBorder="1" applyAlignment="1"/>
    <xf numFmtId="1" fontId="0" fillId="5" borderId="1" xfId="0" applyNumberFormat="1" applyFill="1" applyBorder="1">
      <alignment vertical="center"/>
    </xf>
    <xf numFmtId="1" fontId="0" fillId="5" borderId="11" xfId="0" applyNumberFormat="1" applyFill="1" applyBorder="1">
      <alignment vertical="center"/>
    </xf>
    <xf numFmtId="1" fontId="0" fillId="5" borderId="13" xfId="0" applyNumberFormat="1" applyFill="1" applyBorder="1">
      <alignment vertical="center"/>
    </xf>
    <xf numFmtId="1" fontId="0" fillId="5" borderId="14" xfId="0" applyNumberFormat="1" applyFill="1" applyBorder="1">
      <alignment vertical="center"/>
    </xf>
    <xf numFmtId="169" fontId="0" fillId="5" borderId="1" xfId="0" applyNumberFormat="1" applyFill="1" applyBorder="1">
      <alignment vertical="center"/>
    </xf>
    <xf numFmtId="169" fontId="0" fillId="5" borderId="11" xfId="0" applyNumberFormat="1" applyFill="1" applyBorder="1">
      <alignment vertical="center"/>
    </xf>
    <xf numFmtId="169" fontId="0" fillId="5" borderId="13" xfId="0" applyNumberFormat="1" applyFill="1" applyBorder="1">
      <alignment vertical="center"/>
    </xf>
    <xf numFmtId="169" fontId="0" fillId="5" borderId="14" xfId="0" applyNumberFormat="1" applyFill="1" applyBorder="1">
      <alignment vertical="center"/>
    </xf>
    <xf numFmtId="165" fontId="0" fillId="0" borderId="1" xfId="0" applyNumberFormat="1" applyBorder="1">
      <alignment vertical="center"/>
    </xf>
    <xf numFmtId="171" fontId="0" fillId="0" borderId="1" xfId="0" applyNumberFormat="1" applyBorder="1">
      <alignment vertical="center"/>
    </xf>
    <xf numFmtId="0" fontId="0" fillId="0" borderId="7" xfId="0" applyBorder="1" applyAlignment="1">
      <alignment horizontal="center" vertical="center" wrapText="1"/>
    </xf>
    <xf numFmtId="0" fontId="0" fillId="0" borderId="8" xfId="0" applyBorder="1" applyAlignment="1">
      <alignment horizontal="center" vertical="center" wrapText="1"/>
    </xf>
    <xf numFmtId="0" fontId="0" fillId="0" borderId="9" xfId="0" applyBorder="1" applyAlignment="1">
      <alignment horizontal="center" vertical="center" wrapText="1"/>
    </xf>
    <xf numFmtId="171" fontId="0" fillId="0" borderId="11" xfId="0" applyNumberFormat="1" applyBorder="1">
      <alignment vertical="center"/>
    </xf>
    <xf numFmtId="165" fontId="0" fillId="0" borderId="13" xfId="0" applyNumberFormat="1" applyBorder="1">
      <alignment vertical="center"/>
    </xf>
    <xf numFmtId="171" fontId="0" fillId="0" borderId="13" xfId="0" applyNumberFormat="1" applyBorder="1">
      <alignment vertical="center"/>
    </xf>
    <xf numFmtId="171" fontId="0" fillId="0" borderId="14" xfId="0" applyNumberFormat="1" applyBorder="1">
      <alignment vertical="center"/>
    </xf>
    <xf numFmtId="0" fontId="0" fillId="7" borderId="8" xfId="0" applyFill="1" applyBorder="1" applyAlignment="1">
      <alignment horizontal="center" vertical="center" wrapText="1"/>
    </xf>
    <xf numFmtId="164" fontId="0" fillId="7" borderId="1" xfId="0" applyNumberFormat="1" applyFill="1" applyBorder="1">
      <alignment vertical="center"/>
    </xf>
    <xf numFmtId="164" fontId="0" fillId="7" borderId="13" xfId="0" applyNumberFormat="1" applyFill="1" applyBorder="1">
      <alignment vertical="center"/>
    </xf>
    <xf numFmtId="165" fontId="0" fillId="5" borderId="1" xfId="0" applyNumberFormat="1" applyFill="1" applyBorder="1">
      <alignment vertical="center"/>
    </xf>
    <xf numFmtId="165" fontId="0" fillId="5" borderId="11" xfId="0" applyNumberFormat="1" applyFill="1" applyBorder="1">
      <alignment vertical="center"/>
    </xf>
    <xf numFmtId="165" fontId="0" fillId="5" borderId="13" xfId="0" applyNumberFormat="1" applyFill="1" applyBorder="1">
      <alignment vertical="center"/>
    </xf>
    <xf numFmtId="165" fontId="0" fillId="5" borderId="14" xfId="0" applyNumberFormat="1" applyFill="1" applyBorder="1">
      <alignment vertical="center"/>
    </xf>
    <xf numFmtId="165" fontId="0" fillId="0" borderId="11" xfId="0" applyNumberFormat="1" applyBorder="1">
      <alignment vertical="center"/>
    </xf>
    <xf numFmtId="165" fontId="0" fillId="0" borderId="14" xfId="0" applyNumberFormat="1" applyBorder="1">
      <alignment vertical="center"/>
    </xf>
    <xf numFmtId="0" fontId="21" fillId="0" borderId="0" xfId="5" applyFont="1">
      <alignment vertical="center"/>
    </xf>
    <xf numFmtId="0" fontId="0" fillId="0" borderId="0" xfId="5" applyFont="1">
      <alignment vertical="center"/>
    </xf>
    <xf numFmtId="0" fontId="12" fillId="0" borderId="0" xfId="5" applyFont="1">
      <alignment vertical="center"/>
    </xf>
    <xf numFmtId="0" fontId="20" fillId="0" borderId="0" xfId="5" applyFont="1">
      <alignment vertical="center"/>
    </xf>
    <xf numFmtId="0" fontId="11" fillId="4" borderId="1" xfId="5" applyFill="1" applyBorder="1">
      <alignment vertical="center"/>
    </xf>
    <xf numFmtId="0" fontId="11" fillId="0" borderId="7" xfId="5" applyBorder="1">
      <alignment vertical="center"/>
    </xf>
    <xf numFmtId="0" fontId="11" fillId="0" borderId="8" xfId="5" applyBorder="1">
      <alignment vertical="center"/>
    </xf>
    <xf numFmtId="0" fontId="11" fillId="0" borderId="10" xfId="5" applyBorder="1">
      <alignment vertical="center"/>
    </xf>
    <xf numFmtId="0" fontId="11" fillId="4" borderId="11" xfId="5" applyFill="1" applyBorder="1">
      <alignment vertical="center"/>
    </xf>
    <xf numFmtId="0" fontId="11" fillId="0" borderId="12" xfId="5" applyBorder="1">
      <alignment vertical="center"/>
    </xf>
    <xf numFmtId="0" fontId="11" fillId="0" borderId="13" xfId="5" applyBorder="1">
      <alignment vertical="center"/>
    </xf>
    <xf numFmtId="0" fontId="11" fillId="4" borderId="13" xfId="5" applyFill="1" applyBorder="1">
      <alignment vertical="center"/>
    </xf>
    <xf numFmtId="0" fontId="11" fillId="4" borderId="14" xfId="5" applyFill="1" applyBorder="1">
      <alignment vertical="center"/>
    </xf>
    <xf numFmtId="0" fontId="11" fillId="0" borderId="7" xfId="5" applyBorder="1" applyAlignment="1">
      <alignment vertical="center" wrapText="1"/>
    </xf>
    <xf numFmtId="0" fontId="11" fillId="0" borderId="8" xfId="5" applyBorder="1" applyAlignment="1">
      <alignment vertical="center" wrapText="1"/>
    </xf>
    <xf numFmtId="0" fontId="11" fillId="4" borderId="8" xfId="5" applyFill="1" applyBorder="1" applyAlignment="1">
      <alignment vertical="center" wrapText="1"/>
    </xf>
    <xf numFmtId="0" fontId="11" fillId="4" borderId="9" xfId="5" applyFill="1" applyBorder="1" applyAlignment="1">
      <alignment vertical="center" wrapText="1"/>
    </xf>
    <xf numFmtId="0" fontId="12" fillId="0" borderId="7" xfId="5" applyFont="1" applyBorder="1">
      <alignment vertical="center"/>
    </xf>
    <xf numFmtId="0" fontId="12" fillId="0" borderId="8" xfId="5" applyFont="1" applyBorder="1">
      <alignment vertical="center"/>
    </xf>
    <xf numFmtId="0" fontId="12" fillId="0" borderId="9" xfId="5" applyFont="1" applyBorder="1">
      <alignment vertical="center"/>
    </xf>
    <xf numFmtId="170" fontId="12" fillId="0" borderId="12" xfId="5" applyNumberFormat="1" applyFont="1" applyBorder="1">
      <alignment vertical="center"/>
    </xf>
    <xf numFmtId="170" fontId="12" fillId="0" borderId="13" xfId="5" applyNumberFormat="1" applyFont="1" applyBorder="1">
      <alignment vertical="center"/>
    </xf>
    <xf numFmtId="170" fontId="12" fillId="0" borderId="14" xfId="5" applyNumberFormat="1" applyFont="1" applyBorder="1">
      <alignment vertical="center"/>
    </xf>
    <xf numFmtId="170" fontId="12" fillId="0" borderId="0" xfId="5" applyNumberFormat="1" applyFont="1">
      <alignment vertical="center"/>
    </xf>
    <xf numFmtId="164" fontId="11" fillId="0" borderId="1" xfId="5" applyNumberFormat="1" applyBorder="1">
      <alignment vertical="center"/>
    </xf>
    <xf numFmtId="0" fontId="11" fillId="0" borderId="9" xfId="5" applyBorder="1">
      <alignment vertical="center"/>
    </xf>
    <xf numFmtId="164" fontId="11" fillId="0" borderId="11" xfId="5" applyNumberFormat="1" applyBorder="1">
      <alignment vertical="center"/>
    </xf>
    <xf numFmtId="164" fontId="11" fillId="0" borderId="13" xfId="5" applyNumberFormat="1" applyBorder="1">
      <alignment vertical="center"/>
    </xf>
    <xf numFmtId="164" fontId="11" fillId="0" borderId="14" xfId="5" applyNumberFormat="1" applyBorder="1">
      <alignment vertical="center"/>
    </xf>
    <xf numFmtId="168" fontId="11" fillId="0" borderId="11" xfId="5" applyNumberFormat="1" applyBorder="1">
      <alignment vertical="center"/>
    </xf>
    <xf numFmtId="168" fontId="11" fillId="0" borderId="14" xfId="5" applyNumberFormat="1" applyBorder="1">
      <alignment vertical="center"/>
    </xf>
    <xf numFmtId="168" fontId="11" fillId="5" borderId="1" xfId="5" applyNumberFormat="1" applyFill="1" applyBorder="1">
      <alignment vertical="center"/>
    </xf>
    <xf numFmtId="168" fontId="11" fillId="5" borderId="13" xfId="5" applyNumberFormat="1" applyFill="1" applyBorder="1">
      <alignment vertical="center"/>
    </xf>
    <xf numFmtId="0" fontId="12" fillId="0" borderId="7" xfId="4" applyBorder="1"/>
    <xf numFmtId="0" fontId="12" fillId="0" borderId="10" xfId="4" applyBorder="1"/>
    <xf numFmtId="0" fontId="12" fillId="0" borderId="12" xfId="4" applyBorder="1"/>
    <xf numFmtId="0" fontId="12" fillId="0" borderId="7" xfId="4" applyBorder="1" applyAlignment="1">
      <alignment horizontal="center" vertical="center" wrapText="1"/>
    </xf>
    <xf numFmtId="0" fontId="12" fillId="0" borderId="8" xfId="0" applyFont="1" applyBorder="1" applyAlignment="1">
      <alignment horizontal="center" vertical="center" wrapText="1"/>
    </xf>
    <xf numFmtId="0" fontId="12" fillId="0" borderId="9" xfId="0" applyFont="1" applyBorder="1" applyAlignment="1">
      <alignment horizontal="center" vertical="center" wrapText="1"/>
    </xf>
    <xf numFmtId="165" fontId="12" fillId="0" borderId="1" xfId="4" applyNumberFormat="1" applyBorder="1"/>
    <xf numFmtId="165" fontId="12" fillId="0" borderId="11" xfId="4" applyNumberFormat="1" applyBorder="1"/>
    <xf numFmtId="165" fontId="12" fillId="0" borderId="13" xfId="4" applyNumberFormat="1" applyBorder="1"/>
    <xf numFmtId="165" fontId="12" fillId="0" borderId="14" xfId="4" applyNumberFormat="1" applyBorder="1"/>
    <xf numFmtId="0" fontId="12" fillId="7" borderId="8" xfId="4" applyFill="1" applyBorder="1" applyAlignment="1">
      <alignment horizontal="center" vertical="center" wrapText="1"/>
    </xf>
    <xf numFmtId="164" fontId="12" fillId="7" borderId="1" xfId="4" applyNumberFormat="1" applyFill="1" applyBorder="1"/>
    <xf numFmtId="164" fontId="12" fillId="7" borderId="13" xfId="4" applyNumberFormat="1" applyFill="1" applyBorder="1"/>
    <xf numFmtId="164" fontId="12" fillId="0" borderId="1" xfId="4" applyNumberFormat="1" applyBorder="1"/>
    <xf numFmtId="164" fontId="12" fillId="0" borderId="13" xfId="4" applyNumberFormat="1" applyBorder="1"/>
    <xf numFmtId="165" fontId="12" fillId="5" borderId="1" xfId="4" applyNumberFormat="1" applyFill="1" applyBorder="1"/>
    <xf numFmtId="165" fontId="12" fillId="5" borderId="11" xfId="4" applyNumberFormat="1" applyFill="1" applyBorder="1"/>
    <xf numFmtId="165" fontId="12" fillId="5" borderId="13" xfId="4" applyNumberFormat="1" applyFill="1" applyBorder="1"/>
    <xf numFmtId="165" fontId="12" fillId="5" borderId="14" xfId="4" applyNumberFormat="1" applyFill="1" applyBorder="1"/>
    <xf numFmtId="164" fontId="0" fillId="0" borderId="11" xfId="0" applyNumberFormat="1" applyBorder="1">
      <alignment vertical="center"/>
    </xf>
    <xf numFmtId="164" fontId="0" fillId="0" borderId="14" xfId="0" applyNumberFormat="1" applyBorder="1">
      <alignment vertical="center"/>
    </xf>
    <xf numFmtId="164" fontId="0" fillId="5" borderId="1" xfId="0" applyNumberFormat="1" applyFill="1" applyBorder="1">
      <alignment vertical="center"/>
    </xf>
    <xf numFmtId="164" fontId="0" fillId="5" borderId="13" xfId="0" applyNumberFormat="1" applyFill="1" applyBorder="1">
      <alignment vertical="center"/>
    </xf>
    <xf numFmtId="165" fontId="0" fillId="0" borderId="1" xfId="0" applyNumberFormat="1" applyBorder="1" applyAlignment="1">
      <alignment vertical="center" wrapText="1"/>
    </xf>
    <xf numFmtId="165" fontId="0" fillId="0" borderId="11" xfId="0" applyNumberFormat="1" applyBorder="1" applyAlignment="1">
      <alignment vertical="center" wrapText="1"/>
    </xf>
    <xf numFmtId="0" fontId="0" fillId="0" borderId="12" xfId="0" applyBorder="1" applyAlignment="1">
      <alignment vertical="center" wrapText="1"/>
    </xf>
    <xf numFmtId="165" fontId="0" fillId="0" borderId="13" xfId="0" applyNumberFormat="1" applyBorder="1" applyAlignment="1">
      <alignment vertical="center" wrapText="1"/>
    </xf>
    <xf numFmtId="165" fontId="0" fillId="0" borderId="14" xfId="0" applyNumberFormat="1" applyBorder="1" applyAlignment="1">
      <alignment vertical="center" wrapText="1"/>
    </xf>
    <xf numFmtId="164" fontId="0" fillId="7" borderId="1" xfId="0" applyNumberFormat="1" applyFill="1" applyBorder="1" applyAlignment="1">
      <alignment vertical="center" wrapText="1"/>
    </xf>
    <xf numFmtId="0" fontId="0" fillId="7" borderId="1" xfId="0" applyFill="1" applyBorder="1" applyAlignment="1">
      <alignment vertical="center" wrapText="1"/>
    </xf>
    <xf numFmtId="0" fontId="0" fillId="7" borderId="13" xfId="0" applyFill="1" applyBorder="1" applyAlignment="1">
      <alignment vertical="center" wrapText="1"/>
    </xf>
    <xf numFmtId="0" fontId="12" fillId="0" borderId="0" xfId="0" applyFont="1" applyAlignment="1">
      <alignment horizontal="left" vertical="top" wrapText="1"/>
    </xf>
    <xf numFmtId="0" fontId="14" fillId="6" borderId="0" xfId="0" applyFont="1" applyFill="1" applyAlignment="1">
      <alignment horizontal="center" vertical="center"/>
    </xf>
    <xf numFmtId="0" fontId="0" fillId="0" borderId="18" xfId="0" applyBorder="1" applyAlignment="1">
      <alignment horizontal="center" vertical="center"/>
    </xf>
    <xf numFmtId="0" fontId="0" fillId="0" borderId="19" xfId="0" applyBorder="1" applyAlignment="1">
      <alignment horizontal="center" vertical="center"/>
    </xf>
    <xf numFmtId="0" fontId="0" fillId="0" borderId="20" xfId="0" applyBorder="1" applyAlignment="1">
      <alignment horizontal="center" vertical="center"/>
    </xf>
    <xf numFmtId="0" fontId="14" fillId="6" borderId="4" xfId="0" applyFont="1" applyFill="1" applyBorder="1" applyAlignment="1">
      <alignment horizontal="center" vertical="center"/>
    </xf>
    <xf numFmtId="0" fontId="17" fillId="0" borderId="0" xfId="0" applyFont="1" applyAlignment="1">
      <alignment vertical="center" wrapText="1"/>
    </xf>
    <xf numFmtId="0" fontId="0" fillId="0" borderId="7" xfId="0" applyBorder="1" applyAlignment="1">
      <alignment horizontal="center" vertical="center"/>
    </xf>
    <xf numFmtId="0" fontId="0" fillId="0" borderId="8" xfId="0" applyBorder="1" applyAlignment="1">
      <alignment horizontal="center" vertical="center"/>
    </xf>
    <xf numFmtId="0" fontId="0" fillId="0" borderId="9" xfId="0" applyBorder="1" applyAlignment="1">
      <alignment horizontal="center" vertical="center"/>
    </xf>
    <xf numFmtId="0" fontId="0" fillId="0" borderId="12" xfId="0" applyBorder="1" applyAlignment="1">
      <alignment horizontal="center" vertical="center"/>
    </xf>
    <xf numFmtId="0" fontId="0" fillId="0" borderId="13" xfId="0" applyBorder="1" applyAlignment="1">
      <alignment horizontal="center" vertical="center"/>
    </xf>
    <xf numFmtId="0" fontId="14" fillId="6" borderId="0" xfId="0" applyFont="1" applyFill="1" applyAlignment="1">
      <alignment horizontal="left" vertical="top"/>
    </xf>
    <xf numFmtId="0" fontId="14" fillId="5" borderId="0" xfId="0" applyFont="1" applyFill="1" applyAlignment="1">
      <alignment horizontal="center" vertical="top"/>
    </xf>
    <xf numFmtId="0" fontId="0" fillId="0" borderId="21" xfId="0" applyBorder="1" applyAlignment="1">
      <alignment horizontal="center" vertical="center"/>
    </xf>
    <xf numFmtId="0" fontId="0" fillId="0" borderId="22" xfId="0" applyBorder="1" applyAlignment="1">
      <alignment horizontal="center" vertical="center"/>
    </xf>
    <xf numFmtId="0" fontId="0" fillId="0" borderId="23" xfId="0" applyBorder="1" applyAlignment="1">
      <alignment horizontal="center" vertical="center"/>
    </xf>
    <xf numFmtId="0" fontId="14" fillId="6" borderId="0" xfId="0" applyFont="1" applyFill="1" applyAlignment="1">
      <alignment horizontal="left" vertical="center"/>
    </xf>
    <xf numFmtId="0" fontId="14" fillId="5" borderId="0" xfId="0" applyFont="1" applyFill="1" applyAlignment="1">
      <alignment horizontal="left" vertical="center"/>
    </xf>
    <xf numFmtId="0" fontId="3" fillId="0" borderId="0" xfId="1" applyFont="1" applyAlignment="1">
      <alignment horizontal="left" vertical="center" wrapText="1"/>
    </xf>
  </cellXfs>
  <cellStyles count="6">
    <cellStyle name="Normal 2" xfId="1" xr:uid="{70DAD274-8F20-4CD8-9CF1-347D4010437C}"/>
    <cellStyle name="常规" xfId="0" builtinId="0"/>
    <cellStyle name="常规 2" xfId="2" xr:uid="{B723E662-0CFA-4907-B1E3-8F6154483205}"/>
    <cellStyle name="常规 2 2" xfId="4" xr:uid="{28FF84F3-B41F-4730-A0DD-9BAC79A7EC88}"/>
    <cellStyle name="常规 2 3" xfId="5" xr:uid="{5AA97FF0-ADA3-4740-953E-B33DDDCB18F2}"/>
    <cellStyle name="超链接" xfId="3" builtinId="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4.xml"/></Relationships>
</file>

<file path=xl/externalLinks/_rels/externalLink1.xml.rels><?xml version="1.0" encoding="UTF-8" standalone="yes"?>
<Relationships xmlns="http://schemas.openxmlformats.org/package/2006/relationships"><Relationship Id="rId2" Type="http://schemas.openxmlformats.org/officeDocument/2006/relationships/externalLinkPath" Target="file:///D:\Master\course\S2\Thesis\research%20content\report\new111\final_R_construction%20summary.xlsx" TargetMode="External"/><Relationship Id="rId1" Type="http://schemas.openxmlformats.org/officeDocument/2006/relationships/externalLinkPath" Target="/Master/course/S2/Thesis/research%20content/report/new111/final_R_construction%20summary.xlsx" TargetMode="External"/></Relationships>
</file>

<file path=xl/externalLinks/_rels/externalLink2.xml.rels><?xml version="1.0" encoding="UTF-8" standalone="yes"?>
<Relationships xmlns="http://schemas.openxmlformats.org/package/2006/relationships"><Relationship Id="rId2" Type="http://schemas.openxmlformats.org/officeDocument/2006/relationships/externalLinkPath" Target="file:///D:\Master\course\S2\Thesis\research%20content\report\new111\final_U_construction%20summary.xlsx" TargetMode="External"/><Relationship Id="rId1" Type="http://schemas.openxmlformats.org/officeDocument/2006/relationships/externalLinkPath" Target="/Master/course/S2/Thesis/research%20content/report/new111/final_U_construction%20summary.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Master/course/S2/Thesis/research%20content/report/new111/final_ttl_construction%20summary.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E:\MASTER\thesis\Thesis\research%20content\Data\MI%20database%20of%20Benjamin\jiec13143-sup-0003-suppmat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R_InCon"/>
      <sheetName val="R_com"/>
      <sheetName val="R_Exis"/>
      <sheetName val="Sum_R"/>
      <sheetName val="for R_type_assumption"/>
      <sheetName val="R_surface area calculation"/>
      <sheetName val="total_R_material_calcualtion"/>
      <sheetName val="MI"/>
    </sheetNames>
    <sheetDataSet>
      <sheetData sheetId="0"/>
      <sheetData sheetId="1"/>
      <sheetData sheetId="2"/>
      <sheetData sheetId="3">
        <row r="3">
          <cell r="K3">
            <v>5815</v>
          </cell>
          <cell r="L3">
            <v>16083</v>
          </cell>
          <cell r="M3">
            <v>16228</v>
          </cell>
          <cell r="N3">
            <v>12721</v>
          </cell>
          <cell r="O3">
            <v>3725</v>
          </cell>
          <cell r="P3">
            <v>727</v>
          </cell>
        </row>
        <row r="4">
          <cell r="K4">
            <v>69</v>
          </cell>
          <cell r="L4">
            <v>50</v>
          </cell>
          <cell r="M4">
            <v>120</v>
          </cell>
          <cell r="N4">
            <v>96</v>
          </cell>
          <cell r="O4">
            <v>21</v>
          </cell>
          <cell r="P4">
            <v>0</v>
          </cell>
        </row>
        <row r="5">
          <cell r="K5">
            <v>657</v>
          </cell>
          <cell r="L5">
            <v>124</v>
          </cell>
          <cell r="M5">
            <v>86</v>
          </cell>
          <cell r="N5">
            <v>90</v>
          </cell>
          <cell r="O5">
            <v>36</v>
          </cell>
          <cell r="P5">
            <v>41</v>
          </cell>
        </row>
        <row r="6">
          <cell r="K6">
            <v>6020</v>
          </cell>
          <cell r="L6">
            <v>16064</v>
          </cell>
          <cell r="M6">
            <v>16268</v>
          </cell>
          <cell r="N6">
            <v>12792</v>
          </cell>
          <cell r="O6">
            <v>3763</v>
          </cell>
          <cell r="P6">
            <v>718</v>
          </cell>
        </row>
        <row r="7">
          <cell r="K7">
            <v>0</v>
          </cell>
          <cell r="L7">
            <v>6</v>
          </cell>
          <cell r="M7">
            <v>15</v>
          </cell>
          <cell r="N7">
            <v>32</v>
          </cell>
          <cell r="O7">
            <v>10</v>
          </cell>
          <cell r="P7">
            <v>0</v>
          </cell>
        </row>
        <row r="8">
          <cell r="K8">
            <v>691</v>
          </cell>
          <cell r="L8">
            <v>322</v>
          </cell>
          <cell r="M8">
            <v>360</v>
          </cell>
          <cell r="N8">
            <v>257</v>
          </cell>
          <cell r="O8">
            <v>39</v>
          </cell>
          <cell r="P8">
            <v>42</v>
          </cell>
        </row>
        <row r="9">
          <cell r="K9">
            <v>6312</v>
          </cell>
          <cell r="L9">
            <v>16088</v>
          </cell>
          <cell r="M9">
            <v>16193</v>
          </cell>
          <cell r="N9">
            <v>12855</v>
          </cell>
          <cell r="O9">
            <v>3836</v>
          </cell>
          <cell r="P9">
            <v>742</v>
          </cell>
        </row>
        <row r="10">
          <cell r="K10">
            <v>660</v>
          </cell>
          <cell r="L10">
            <v>217</v>
          </cell>
          <cell r="M10">
            <v>87</v>
          </cell>
          <cell r="N10">
            <v>223</v>
          </cell>
          <cell r="O10">
            <v>6</v>
          </cell>
          <cell r="P10">
            <v>0</v>
          </cell>
        </row>
        <row r="11">
          <cell r="K11">
            <v>117</v>
          </cell>
          <cell r="L11">
            <v>304</v>
          </cell>
          <cell r="M11">
            <v>551</v>
          </cell>
          <cell r="N11">
            <v>356</v>
          </cell>
          <cell r="O11">
            <v>62</v>
          </cell>
          <cell r="P11">
            <v>43</v>
          </cell>
        </row>
        <row r="12">
          <cell r="K12">
            <v>6968</v>
          </cell>
          <cell r="L12">
            <v>16505</v>
          </cell>
          <cell r="M12">
            <v>16281</v>
          </cell>
          <cell r="N12">
            <v>13078</v>
          </cell>
          <cell r="O12">
            <v>3846</v>
          </cell>
          <cell r="P12">
            <v>752</v>
          </cell>
        </row>
        <row r="13">
          <cell r="K13">
            <v>28</v>
          </cell>
          <cell r="L13">
            <v>142</v>
          </cell>
          <cell r="M13">
            <v>317</v>
          </cell>
          <cell r="N13">
            <v>211</v>
          </cell>
          <cell r="O13">
            <v>15</v>
          </cell>
          <cell r="P13">
            <v>3</v>
          </cell>
        </row>
        <row r="14">
          <cell r="K14">
            <v>293</v>
          </cell>
          <cell r="L14">
            <v>298</v>
          </cell>
          <cell r="M14">
            <v>396</v>
          </cell>
          <cell r="N14">
            <v>237</v>
          </cell>
          <cell r="O14">
            <v>47</v>
          </cell>
          <cell r="P14">
            <v>38</v>
          </cell>
        </row>
        <row r="15">
          <cell r="K15">
            <v>6860</v>
          </cell>
          <cell r="L15">
            <v>16767</v>
          </cell>
          <cell r="M15">
            <v>16660</v>
          </cell>
          <cell r="N15">
            <v>13346</v>
          </cell>
          <cell r="O15">
            <v>3897</v>
          </cell>
          <cell r="P15">
            <v>760</v>
          </cell>
        </row>
        <row r="16">
          <cell r="K16">
            <v>136</v>
          </cell>
          <cell r="L16">
            <v>170</v>
          </cell>
          <cell r="M16">
            <v>144</v>
          </cell>
          <cell r="N16">
            <v>66</v>
          </cell>
          <cell r="O16">
            <v>17</v>
          </cell>
          <cell r="P16">
            <v>0</v>
          </cell>
        </row>
        <row r="17">
          <cell r="K17">
            <v>802</v>
          </cell>
          <cell r="L17">
            <v>307</v>
          </cell>
          <cell r="M17">
            <v>297</v>
          </cell>
          <cell r="N17">
            <v>225</v>
          </cell>
          <cell r="O17">
            <v>30</v>
          </cell>
          <cell r="P17">
            <v>38</v>
          </cell>
        </row>
        <row r="18">
          <cell r="K18">
            <v>7140</v>
          </cell>
          <cell r="L18">
            <v>16956</v>
          </cell>
          <cell r="M18">
            <v>16773</v>
          </cell>
          <cell r="N18">
            <v>13414</v>
          </cell>
          <cell r="O18">
            <v>3930</v>
          </cell>
          <cell r="P18">
            <v>761</v>
          </cell>
        </row>
        <row r="19">
          <cell r="K19">
            <v>267</v>
          </cell>
          <cell r="L19">
            <v>140</v>
          </cell>
          <cell r="M19">
            <v>189</v>
          </cell>
          <cell r="N19">
            <v>69</v>
          </cell>
          <cell r="O19">
            <v>26</v>
          </cell>
          <cell r="P19">
            <v>0</v>
          </cell>
        </row>
        <row r="20">
          <cell r="K20">
            <v>1310</v>
          </cell>
          <cell r="L20">
            <v>250</v>
          </cell>
          <cell r="M20">
            <v>161</v>
          </cell>
          <cell r="N20">
            <v>196</v>
          </cell>
          <cell r="O20">
            <v>17</v>
          </cell>
          <cell r="P20">
            <v>0</v>
          </cell>
        </row>
        <row r="21">
          <cell r="K21">
            <v>7587</v>
          </cell>
          <cell r="L21">
            <v>17079</v>
          </cell>
          <cell r="M21">
            <v>16922</v>
          </cell>
          <cell r="N21">
            <v>13454</v>
          </cell>
          <cell r="O21">
            <v>3921</v>
          </cell>
          <cell r="P21">
            <v>702</v>
          </cell>
        </row>
        <row r="22">
          <cell r="K22">
            <v>497</v>
          </cell>
          <cell r="L22">
            <v>8</v>
          </cell>
          <cell r="M22">
            <v>28</v>
          </cell>
          <cell r="N22">
            <v>24</v>
          </cell>
          <cell r="O22">
            <v>0</v>
          </cell>
          <cell r="P22">
            <v>0</v>
          </cell>
        </row>
        <row r="23">
          <cell r="K23">
            <v>942</v>
          </cell>
          <cell r="L23">
            <v>468</v>
          </cell>
          <cell r="M23">
            <v>199</v>
          </cell>
          <cell r="N23">
            <v>177</v>
          </cell>
          <cell r="O23">
            <v>23</v>
          </cell>
          <cell r="P23">
            <v>0</v>
          </cell>
        </row>
        <row r="24">
          <cell r="K24">
            <v>8318</v>
          </cell>
          <cell r="L24">
            <v>17113</v>
          </cell>
          <cell r="M24">
            <v>16946</v>
          </cell>
          <cell r="N24">
            <v>13531</v>
          </cell>
          <cell r="O24">
            <v>3964</v>
          </cell>
          <cell r="P24">
            <v>768</v>
          </cell>
        </row>
        <row r="25">
          <cell r="K25">
            <v>157</v>
          </cell>
          <cell r="L25">
            <v>175</v>
          </cell>
          <cell r="M25">
            <v>81</v>
          </cell>
          <cell r="N25">
            <v>145</v>
          </cell>
          <cell r="O25">
            <v>13</v>
          </cell>
          <cell r="P25">
            <v>0</v>
          </cell>
        </row>
        <row r="26">
          <cell r="K26">
            <v>1879</v>
          </cell>
          <cell r="L26">
            <v>443</v>
          </cell>
          <cell r="M26">
            <v>473</v>
          </cell>
          <cell r="N26">
            <v>216</v>
          </cell>
          <cell r="O26">
            <v>59</v>
          </cell>
          <cell r="P26">
            <v>1</v>
          </cell>
        </row>
      </sheetData>
      <sheetData sheetId="4">
        <row r="23">
          <cell r="B23" t="str">
            <v>Apartment</v>
          </cell>
          <cell r="C23" t="str">
            <v>High rise</v>
          </cell>
          <cell r="D23" t="str">
            <v>Row house</v>
          </cell>
          <cell r="E23" t="str">
            <v>Single house</v>
          </cell>
        </row>
        <row r="24">
          <cell r="B24">
            <v>0.60542080853954727</v>
          </cell>
          <cell r="C24">
            <v>0.134981608432688</v>
          </cell>
          <cell r="D24">
            <v>0.25349339239317303</v>
          </cell>
          <cell r="E24">
            <v>6.1041906345916585E-3</v>
          </cell>
        </row>
      </sheetData>
      <sheetData sheetId="5">
        <row r="73">
          <cell r="A73">
            <v>2012</v>
          </cell>
          <cell r="B73">
            <v>87116.668597719501</v>
          </cell>
          <cell r="C73">
            <v>19423.098583255072</v>
          </cell>
          <cell r="D73">
            <v>36476.281530692031</v>
          </cell>
          <cell r="E73">
            <v>878.35889528446546</v>
          </cell>
        </row>
        <row r="74">
          <cell r="A74">
            <v>2013</v>
          </cell>
          <cell r="B74">
            <v>83185.906006216945</v>
          </cell>
          <cell r="C74">
            <v>18546.715331334854</v>
          </cell>
          <cell r="D74">
            <v>34830.44721188851</v>
          </cell>
          <cell r="E74">
            <v>838.7267520554708</v>
          </cell>
        </row>
        <row r="75">
          <cell r="A75">
            <v>2014</v>
          </cell>
          <cell r="B75">
            <v>55857.031927071439</v>
          </cell>
          <cell r="C75">
            <v>12453.605666412444</v>
          </cell>
          <cell r="D75">
            <v>23387.680622282736</v>
          </cell>
          <cell r="E75">
            <v>563.18178423337827</v>
          </cell>
        </row>
        <row r="76">
          <cell r="A76">
            <v>2015</v>
          </cell>
          <cell r="B76">
            <v>77211.131975474083</v>
          </cell>
          <cell r="C76">
            <v>17214.609468245999</v>
          </cell>
          <cell r="D76">
            <v>32328.772812078536</v>
          </cell>
          <cell r="E76">
            <v>778.485744201378</v>
          </cell>
        </row>
        <row r="77">
          <cell r="A77">
            <v>2016</v>
          </cell>
          <cell r="B77">
            <v>124377.95361676885</v>
          </cell>
          <cell r="C77">
            <v>27730.689127215639</v>
          </cell>
          <cell r="D77">
            <v>52077.809279949666</v>
          </cell>
          <cell r="E77">
            <v>1254.0479760658277</v>
          </cell>
        </row>
        <row r="78">
          <cell r="A78">
            <v>2017</v>
          </cell>
          <cell r="B78">
            <v>107398.01891006445</v>
          </cell>
          <cell r="C78">
            <v>23944.927446308255</v>
          </cell>
          <cell r="D78">
            <v>44968.206850194532</v>
          </cell>
          <cell r="E78">
            <v>1082.8467934327527</v>
          </cell>
        </row>
        <row r="79">
          <cell r="A79">
            <v>2018</v>
          </cell>
          <cell r="B79">
            <v>89452.740724143718</v>
          </cell>
          <cell r="C79">
            <v>19943.937590754951</v>
          </cell>
          <cell r="D79">
            <v>37454.409206268494</v>
          </cell>
          <cell r="E79">
            <v>901.91247883282131</v>
          </cell>
        </row>
        <row r="80">
          <cell r="A80">
            <v>2019</v>
          </cell>
          <cell r="B80">
            <v>82745.283586334088</v>
          </cell>
          <cell r="C80">
            <v>18448.476350929199</v>
          </cell>
          <cell r="D80">
            <v>34645.955911944533</v>
          </cell>
          <cell r="E80">
            <v>834.2841507921803</v>
          </cell>
        </row>
        <row r="81">
          <cell r="A81">
            <v>2020</v>
          </cell>
          <cell r="B81">
            <v>70093.19952947463</v>
          </cell>
          <cell r="C81">
            <v>15627.630697902885</v>
          </cell>
          <cell r="D81">
            <v>29348.450997712003</v>
          </cell>
          <cell r="E81">
            <v>706.71877491048394</v>
          </cell>
        </row>
        <row r="82">
          <cell r="A82">
            <v>2021</v>
          </cell>
          <cell r="B82">
            <v>120222.95060776194</v>
          </cell>
          <cell r="C82">
            <v>26804.310348542102</v>
          </cell>
          <cell r="D82">
            <v>50338.084127955321</v>
          </cell>
          <cell r="E82">
            <v>1212.154915740625</v>
          </cell>
        </row>
      </sheetData>
      <sheetData sheetId="6"/>
      <sheetData sheetId="7">
        <row r="27">
          <cell r="E27">
            <v>124.09642643415179</v>
          </cell>
          <cell r="G27">
            <v>0</v>
          </cell>
          <cell r="H27">
            <v>69.267367502507099</v>
          </cell>
        </row>
        <row r="32">
          <cell r="E32">
            <v>635.29411764705878</v>
          </cell>
          <cell r="G32">
            <v>0</v>
          </cell>
          <cell r="H32">
            <v>246.69958027815125</v>
          </cell>
        </row>
        <row r="37">
          <cell r="E37">
            <v>245.77995318152799</v>
          </cell>
          <cell r="G37">
            <v>0</v>
          </cell>
          <cell r="H37">
            <v>61.086621325683275</v>
          </cell>
        </row>
        <row r="42">
          <cell r="E42">
            <v>310.27661795407101</v>
          </cell>
          <cell r="G42">
            <v>0</v>
          </cell>
          <cell r="H42">
            <v>49.0952380098338</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U_exis"/>
      <sheetName val="U_com"/>
      <sheetName val="U_InCon"/>
      <sheetName val="Sum_U"/>
      <sheetName val="class_U"/>
      <sheetName val="old_Clean_U_1_simu"/>
      <sheetName val="Clean_U_summary"/>
      <sheetName val="U_material calculation"/>
      <sheetName val="MI"/>
    </sheetNames>
    <sheetDataSet>
      <sheetData sheetId="0"/>
      <sheetData sheetId="1"/>
      <sheetData sheetId="2"/>
      <sheetData sheetId="3"/>
      <sheetData sheetId="4">
        <row r="33">
          <cell r="C33" t="str">
            <v>Commercial - area m2</v>
          </cell>
          <cell r="E33" t="str">
            <v>Office - area m2</v>
          </cell>
          <cell r="G33" t="str">
            <v>Other - area m2</v>
          </cell>
        </row>
        <row r="34">
          <cell r="C34">
            <v>1266893</v>
          </cell>
          <cell r="E34">
            <v>3009516</v>
          </cell>
          <cell r="G34">
            <v>3009745</v>
          </cell>
        </row>
        <row r="35">
          <cell r="C35">
            <v>13177</v>
          </cell>
          <cell r="E35">
            <v>37105</v>
          </cell>
          <cell r="G35">
            <v>104178</v>
          </cell>
        </row>
        <row r="36">
          <cell r="C36">
            <v>4458</v>
          </cell>
          <cell r="E36">
            <v>37463</v>
          </cell>
          <cell r="G36">
            <v>172757</v>
          </cell>
        </row>
        <row r="37">
          <cell r="C37">
            <v>625849</v>
          </cell>
          <cell r="E37">
            <v>2010324</v>
          </cell>
          <cell r="G37">
            <v>1778266</v>
          </cell>
        </row>
        <row r="38">
          <cell r="C38">
            <v>2393</v>
          </cell>
          <cell r="E38">
            <v>270</v>
          </cell>
          <cell r="G38">
            <v>31437</v>
          </cell>
        </row>
        <row r="39">
          <cell r="C39">
            <v>2220</v>
          </cell>
          <cell r="E39">
            <v>40398</v>
          </cell>
          <cell r="G39">
            <v>165150</v>
          </cell>
        </row>
        <row r="40">
          <cell r="C40">
            <v>626304</v>
          </cell>
          <cell r="E40">
            <v>1950086</v>
          </cell>
          <cell r="G40">
            <v>1724370</v>
          </cell>
        </row>
        <row r="41">
          <cell r="C41">
            <v>327</v>
          </cell>
          <cell r="E41">
            <v>26298</v>
          </cell>
          <cell r="G41">
            <v>34527</v>
          </cell>
        </row>
        <row r="42">
          <cell r="C42">
            <v>6013</v>
          </cell>
          <cell r="E42">
            <v>46824</v>
          </cell>
          <cell r="G42">
            <v>212337</v>
          </cell>
        </row>
        <row r="43">
          <cell r="C43">
            <v>627220</v>
          </cell>
          <cell r="E43">
            <v>1991221</v>
          </cell>
          <cell r="G43">
            <v>1688049</v>
          </cell>
        </row>
        <row r="44">
          <cell r="C44">
            <v>1893</v>
          </cell>
          <cell r="E44">
            <v>43041</v>
          </cell>
          <cell r="G44">
            <v>67822</v>
          </cell>
        </row>
        <row r="45">
          <cell r="C45">
            <v>8314</v>
          </cell>
          <cell r="E45">
            <v>7230</v>
          </cell>
          <cell r="G45">
            <v>179388</v>
          </cell>
        </row>
        <row r="46">
          <cell r="C46">
            <v>615137</v>
          </cell>
          <cell r="E46">
            <v>2008655</v>
          </cell>
          <cell r="G46">
            <v>1717549</v>
          </cell>
        </row>
        <row r="47">
          <cell r="C47">
            <v>3256</v>
          </cell>
          <cell r="E47">
            <v>144</v>
          </cell>
          <cell r="G47">
            <v>59634</v>
          </cell>
        </row>
        <row r="48">
          <cell r="C48">
            <v>8877</v>
          </cell>
          <cell r="E48">
            <v>12855</v>
          </cell>
          <cell r="G48">
            <v>166424</v>
          </cell>
        </row>
        <row r="49">
          <cell r="C49">
            <v>620460</v>
          </cell>
          <cell r="E49">
            <v>1970310</v>
          </cell>
          <cell r="G49">
            <v>1646222</v>
          </cell>
        </row>
        <row r="50">
          <cell r="C50">
            <v>3015</v>
          </cell>
          <cell r="E50">
            <v>11578</v>
          </cell>
          <cell r="G50">
            <v>33255</v>
          </cell>
        </row>
        <row r="51">
          <cell r="C51">
            <v>6056</v>
          </cell>
          <cell r="E51">
            <v>8674</v>
          </cell>
          <cell r="G51">
            <v>126388</v>
          </cell>
        </row>
        <row r="52">
          <cell r="C52">
            <v>543271</v>
          </cell>
          <cell r="E52">
            <v>1848426</v>
          </cell>
          <cell r="G52">
            <v>1552102</v>
          </cell>
        </row>
        <row r="53">
          <cell r="C53">
            <v>233</v>
          </cell>
          <cell r="E53">
            <v>1121</v>
          </cell>
          <cell r="G53">
            <v>5080</v>
          </cell>
        </row>
        <row r="54">
          <cell r="C54">
            <v>7531</v>
          </cell>
          <cell r="E54">
            <v>6927</v>
          </cell>
          <cell r="G54">
            <v>185992</v>
          </cell>
        </row>
        <row r="55">
          <cell r="C55">
            <v>632353</v>
          </cell>
          <cell r="E55">
            <v>1942304</v>
          </cell>
          <cell r="G55">
            <v>1688138</v>
          </cell>
        </row>
        <row r="56">
          <cell r="C56">
            <v>1952</v>
          </cell>
          <cell r="E56">
            <v>17520</v>
          </cell>
          <cell r="G56">
            <v>95908</v>
          </cell>
        </row>
        <row r="57">
          <cell r="C57">
            <v>8590</v>
          </cell>
          <cell r="E57">
            <v>12918</v>
          </cell>
          <cell r="G57">
            <v>216654</v>
          </cell>
        </row>
      </sheetData>
      <sheetData sheetId="5"/>
      <sheetData sheetId="6">
        <row r="35">
          <cell r="B35">
            <v>18185.973090523566</v>
          </cell>
          <cell r="C35">
            <v>66988.410278598836</v>
          </cell>
          <cell r="D35">
            <v>448238.94972307095</v>
          </cell>
          <cell r="E35">
            <v>533413.33309219335</v>
          </cell>
        </row>
        <row r="36">
          <cell r="B36">
            <v>18732.919649637061</v>
          </cell>
          <cell r="C36">
            <v>69003.099309534155</v>
          </cell>
          <cell r="D36">
            <v>461719.82039143407</v>
          </cell>
          <cell r="E36">
            <v>549455.83935060527</v>
          </cell>
        </row>
        <row r="37">
          <cell r="A37">
            <v>2014</v>
          </cell>
          <cell r="B37">
            <v>17635</v>
          </cell>
          <cell r="C37">
            <v>74568</v>
          </cell>
          <cell r="D37">
            <v>276935</v>
          </cell>
        </row>
        <row r="38">
          <cell r="A38">
            <v>2015</v>
          </cell>
          <cell r="B38">
            <v>4613</v>
          </cell>
          <cell r="C38">
            <v>40668</v>
          </cell>
          <cell r="D38">
            <v>196587</v>
          </cell>
        </row>
        <row r="39">
          <cell r="A39">
            <v>2016</v>
          </cell>
          <cell r="B39">
            <v>6340</v>
          </cell>
          <cell r="C39">
            <v>73122</v>
          </cell>
          <cell r="D39">
            <v>246864</v>
          </cell>
        </row>
        <row r="40">
          <cell r="A40">
            <v>2017</v>
          </cell>
          <cell r="B40">
            <v>10207</v>
          </cell>
          <cell r="C40">
            <v>50271</v>
          </cell>
          <cell r="D40">
            <v>247210</v>
          </cell>
        </row>
        <row r="41">
          <cell r="A41">
            <v>2018</v>
          </cell>
          <cell r="B41">
            <v>12133</v>
          </cell>
          <cell r="C41">
            <v>12999</v>
          </cell>
          <cell r="D41">
            <v>226058</v>
          </cell>
        </row>
        <row r="42">
          <cell r="A42">
            <v>2019</v>
          </cell>
          <cell r="B42">
            <v>9071</v>
          </cell>
          <cell r="C42">
            <v>20252</v>
          </cell>
          <cell r="D42">
            <v>159643</v>
          </cell>
        </row>
        <row r="43">
          <cell r="A43">
            <v>2020</v>
          </cell>
          <cell r="B43">
            <v>7764</v>
          </cell>
          <cell r="C43">
            <v>8048</v>
          </cell>
          <cell r="D43">
            <v>191072</v>
          </cell>
        </row>
        <row r="44">
          <cell r="A44">
            <v>2021</v>
          </cell>
          <cell r="B44">
            <v>10542</v>
          </cell>
          <cell r="C44">
            <v>30438</v>
          </cell>
          <cell r="D44">
            <v>312562</v>
          </cell>
        </row>
      </sheetData>
      <sheetData sheetId="7"/>
      <sheetData sheetId="8">
        <row r="12">
          <cell r="E12">
            <v>363.68600682593853</v>
          </cell>
          <cell r="G12">
            <v>15.286632625339573</v>
          </cell>
          <cell r="H12">
            <v>24.290786244195743</v>
          </cell>
        </row>
        <row r="17">
          <cell r="E17">
            <v>148.46818538884523</v>
          </cell>
          <cell r="G17">
            <v>3.3022091969043821</v>
          </cell>
          <cell r="H17">
            <v>50.16054015429895</v>
          </cell>
        </row>
        <row r="22">
          <cell r="E22">
            <v>317.08991077556624</v>
          </cell>
          <cell r="G22">
            <v>10.450326859253298</v>
          </cell>
          <cell r="H22">
            <v>37.000949880792895</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U_C calculation"/>
      <sheetName val="R_C_calcualtion"/>
      <sheetName val="ttl_constuction_calculation"/>
    </sheetNames>
    <sheetDataSet>
      <sheetData sheetId="0">
        <row r="21">
          <cell r="B21">
            <v>533413.33309219335</v>
          </cell>
          <cell r="C21">
            <v>169194.83443594378</v>
          </cell>
          <cell r="E21">
            <v>5768.3246413331417</v>
          </cell>
          <cell r="F21">
            <v>19124.68630169073</v>
          </cell>
        </row>
        <row r="22">
          <cell r="B22">
            <v>549455.83935060527</v>
          </cell>
          <cell r="C22">
            <v>174283.40088514512</v>
          </cell>
          <cell r="E22">
            <v>5941.8080891927857</v>
          </cell>
          <cell r="F22">
            <v>19699.864837079931</v>
          </cell>
        </row>
        <row r="23">
          <cell r="B23">
            <v>369138</v>
          </cell>
          <cell r="C23">
            <v>117550.8690469603</v>
          </cell>
          <cell r="E23">
            <v>4092.189349561042</v>
          </cell>
          <cell r="F23">
            <v>12942.754529515631</v>
          </cell>
        </row>
        <row r="24">
          <cell r="B24">
            <v>241868</v>
          </cell>
          <cell r="C24">
            <v>77811.020554432253</v>
          </cell>
          <cell r="E24">
            <v>2691.3082729126581</v>
          </cell>
          <cell r="F24">
            <v>8493.154000926168</v>
          </cell>
        </row>
        <row r="25">
          <cell r="B25">
            <v>326326</v>
          </cell>
          <cell r="C25">
            <v>105812.82022019094</v>
          </cell>
          <cell r="E25">
            <v>3718.5346469211604</v>
          </cell>
          <cell r="F25">
            <v>11228.411187698395</v>
          </cell>
        </row>
        <row r="26">
          <cell r="B26">
            <v>307688</v>
          </cell>
          <cell r="C26">
            <v>98186.07086023844</v>
          </cell>
          <cell r="E26">
            <v>3385.6052608572568</v>
          </cell>
          <cell r="F26">
            <v>10880.115568667705</v>
          </cell>
        </row>
        <row r="27">
          <cell r="B27">
            <v>251190</v>
          </cell>
          <cell r="C27">
            <v>78209.629946156187</v>
          </cell>
          <cell r="E27">
            <v>2601.156630831912</v>
          </cell>
          <cell r="F27">
            <v>9288.7144922326897</v>
          </cell>
        </row>
        <row r="28">
          <cell r="B28">
            <v>188966</v>
          </cell>
          <cell r="C28">
            <v>59333.308545844848</v>
          </cell>
          <cell r="E28">
            <v>2007.8607543452708</v>
          </cell>
          <cell r="F28">
            <v>6853.8859045765175</v>
          </cell>
        </row>
        <row r="29">
          <cell r="B29">
            <v>206884</v>
          </cell>
          <cell r="C29">
            <v>64666.655406003141</v>
          </cell>
          <cell r="E29">
            <v>2145.4300252247449</v>
          </cell>
          <cell r="F29">
            <v>7654.7841770741243</v>
          </cell>
        </row>
        <row r="30">
          <cell r="B30">
            <v>353542</v>
          </cell>
          <cell r="C30">
            <v>111745.28297796966</v>
          </cell>
          <cell r="E30">
            <v>3766.4814769857812</v>
          </cell>
          <cell r="F30">
            <v>12833.246262647839</v>
          </cell>
        </row>
      </sheetData>
      <sheetData sheetId="1">
        <row r="22">
          <cell r="B22">
            <v>143894.40760695108</v>
          </cell>
          <cell r="C22">
            <v>36888.665987280787</v>
          </cell>
          <cell r="E22">
            <v>0</v>
          </cell>
          <cell r="F22">
            <v>8206.8118162671872</v>
          </cell>
        </row>
        <row r="23">
          <cell r="B23">
            <v>137401.79530149576</v>
          </cell>
          <cell r="C23">
            <v>35224.22460485364</v>
          </cell>
          <cell r="E23">
            <v>0</v>
          </cell>
          <cell r="F23">
            <v>7836.5149557220775</v>
          </cell>
        </row>
        <row r="24">
          <cell r="B24">
            <v>92261.500000000015</v>
          </cell>
          <cell r="C24">
            <v>23652.09123541434</v>
          </cell>
          <cell r="E24">
            <v>0</v>
          </cell>
          <cell r="F24">
            <v>5262.0027489515751</v>
          </cell>
        </row>
        <row r="25">
          <cell r="B25">
            <v>127532.99999999999</v>
          </cell>
          <cell r="C25">
            <v>32694.267397843061</v>
          </cell>
          <cell r="E25">
            <v>0</v>
          </cell>
          <cell r="F25">
            <v>7273.6623248271626</v>
          </cell>
        </row>
        <row r="26">
          <cell r="B26">
            <v>205440.5</v>
          </cell>
          <cell r="C26">
            <v>52666.577602240795</v>
          </cell>
          <cell r="E26">
            <v>0</v>
          </cell>
          <cell r="F26">
            <v>11717.005205269654</v>
          </cell>
        </row>
        <row r="27">
          <cell r="B27">
            <v>177393.99999999997</v>
          </cell>
          <cell r="C27">
            <v>45476.59720051258</v>
          </cell>
          <cell r="E27">
            <v>0</v>
          </cell>
          <cell r="F27">
            <v>10117.413175024421</v>
          </cell>
        </row>
        <row r="28">
          <cell r="B28">
            <v>147753</v>
          </cell>
          <cell r="C28">
            <v>37877.851935056067</v>
          </cell>
          <cell r="E28">
            <v>0</v>
          </cell>
          <cell r="F28">
            <v>8426.881116888866</v>
          </cell>
        </row>
        <row r="29">
          <cell r="B29">
            <v>136674</v>
          </cell>
          <cell r="C29">
            <v>35037.647529132082</v>
          </cell>
          <cell r="E29">
            <v>0</v>
          </cell>
          <cell r="F29">
            <v>7795.0061912087667</v>
          </cell>
        </row>
        <row r="30">
          <cell r="B30">
            <v>115776</v>
          </cell>
          <cell r="C30">
            <v>29680.251403579292</v>
          </cell>
          <cell r="E30">
            <v>0</v>
          </cell>
          <cell r="F30">
            <v>6603.1186384636894</v>
          </cell>
        </row>
        <row r="31">
          <cell r="B31">
            <v>198577.49999999997</v>
          </cell>
          <cell r="C31">
            <v>50907.183899031472</v>
          </cell>
          <cell r="E31">
            <v>0</v>
          </cell>
          <cell r="F31">
            <v>11325.583812098561</v>
          </cell>
        </row>
      </sheetData>
      <sheetData sheetId="2"/>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verSheet"/>
      <sheetName val="data_from_figure_2_in_manuscrip"/>
      <sheetName val="data_from_figure_3_in_manuscrip"/>
      <sheetName val="Overall MI per age cohort"/>
      <sheetName val="jiec13143-sup-0003-suppmat3"/>
      <sheetName val="Mass (raw data)"/>
    </sheetNames>
    <sheetDataSet>
      <sheetData sheetId="0"/>
      <sheetData sheetId="1"/>
      <sheetData sheetId="2"/>
      <sheetData sheetId="3">
        <row r="8">
          <cell r="O8" t="str">
            <v>Glass</v>
          </cell>
          <cell r="P8" t="str">
            <v>Wood</v>
          </cell>
        </row>
        <row r="9">
          <cell r="O9">
            <v>3.3022091969043821</v>
          </cell>
          <cell r="P9">
            <v>2.4144168221676789</v>
          </cell>
        </row>
        <row r="10">
          <cell r="O10">
            <v>26.002209196904381</v>
          </cell>
          <cell r="P10">
            <v>26.414416822167681</v>
          </cell>
        </row>
        <row r="11">
          <cell r="O11">
            <v>10.702209196904382</v>
          </cell>
          <cell r="P11">
            <v>23.314416822167679</v>
          </cell>
        </row>
        <row r="12">
          <cell r="O12">
            <v>3.3022091969043821</v>
          </cell>
          <cell r="P12">
            <v>21.714416822167678</v>
          </cell>
        </row>
        <row r="13">
          <cell r="O13">
            <v>15.286632625339573</v>
          </cell>
          <cell r="P13">
            <v>24.290786244195743</v>
          </cell>
        </row>
        <row r="14">
          <cell r="O14">
            <v>3.3022091969043821</v>
          </cell>
          <cell r="P14">
            <v>2.4144168221676789</v>
          </cell>
        </row>
        <row r="15">
          <cell r="O15">
            <v>3.3022091969043821</v>
          </cell>
          <cell r="P15">
            <v>54.614416822167684</v>
          </cell>
        </row>
        <row r="16">
          <cell r="O16">
            <v>3.3022091969043821</v>
          </cell>
          <cell r="P16">
            <v>46.414416822167681</v>
          </cell>
        </row>
        <row r="17">
          <cell r="O17">
            <v>3.3022091969043821</v>
          </cell>
          <cell r="P17">
            <v>2.4144168221676789</v>
          </cell>
        </row>
        <row r="18">
          <cell r="O18">
            <v>3.3022091969043821</v>
          </cell>
          <cell r="P18">
            <v>50.16054015429895</v>
          </cell>
        </row>
        <row r="19">
          <cell r="O19">
            <v>9.8022091969043821</v>
          </cell>
          <cell r="P19">
            <v>34.914416822167681</v>
          </cell>
        </row>
        <row r="20">
          <cell r="O20">
            <v>12.202209196904382</v>
          </cell>
          <cell r="P20">
            <v>39.614416822167684</v>
          </cell>
        </row>
        <row r="21">
          <cell r="O21">
            <v>7.5022091969043823</v>
          </cell>
          <cell r="P21">
            <v>43.714416822167678</v>
          </cell>
        </row>
        <row r="22">
          <cell r="O22">
            <v>7.7022091969043824</v>
          </cell>
          <cell r="P22">
            <v>23.214416822167678</v>
          </cell>
        </row>
        <row r="23">
          <cell r="O23">
            <v>10.450326859253298</v>
          </cell>
          <cell r="P23">
            <v>37.000949880792895</v>
          </cell>
        </row>
        <row r="24">
          <cell r="O24">
            <v>0</v>
          </cell>
          <cell r="P24">
            <v>58.279482926447614</v>
          </cell>
        </row>
        <row r="25">
          <cell r="O25">
            <v>0</v>
          </cell>
          <cell r="P25">
            <v>83.80982405970812</v>
          </cell>
        </row>
        <row r="26">
          <cell r="O26">
            <v>0</v>
          </cell>
          <cell r="P26">
            <v>30.228992042857143</v>
          </cell>
        </row>
        <row r="27">
          <cell r="O27">
            <v>0</v>
          </cell>
          <cell r="P27">
            <v>30.228992042857143</v>
          </cell>
        </row>
        <row r="28">
          <cell r="O28">
            <v>0</v>
          </cell>
          <cell r="P28">
            <v>69.267367502507099</v>
          </cell>
        </row>
        <row r="29">
          <cell r="O29">
            <v>0</v>
          </cell>
          <cell r="P29">
            <v>30.228992042857143</v>
          </cell>
        </row>
        <row r="30">
          <cell r="O30">
            <v>0</v>
          </cell>
          <cell r="P30">
            <v>246.69958027815125</v>
          </cell>
        </row>
        <row r="31">
          <cell r="O31">
            <v>0</v>
          </cell>
          <cell r="P31">
            <v>30.228992042857143</v>
          </cell>
        </row>
        <row r="32">
          <cell r="O32">
            <v>0</v>
          </cell>
          <cell r="P32">
            <v>30.228992042857143</v>
          </cell>
        </row>
        <row r="33">
          <cell r="O33">
            <v>0</v>
          </cell>
          <cell r="P33">
            <v>246.69958027815125</v>
          </cell>
        </row>
        <row r="34">
          <cell r="O34">
            <v>0</v>
          </cell>
          <cell r="P34">
            <v>30.228992042857143</v>
          </cell>
        </row>
        <row r="35">
          <cell r="O35">
            <v>0</v>
          </cell>
          <cell r="P35">
            <v>30.228992042857143</v>
          </cell>
        </row>
        <row r="36">
          <cell r="O36">
            <v>0</v>
          </cell>
          <cell r="P36">
            <v>61.086621325683275</v>
          </cell>
        </row>
        <row r="37">
          <cell r="O37">
            <v>0</v>
          </cell>
          <cell r="P37">
            <v>30.228992042857143</v>
          </cell>
        </row>
        <row r="38">
          <cell r="O38">
            <v>0</v>
          </cell>
          <cell r="P38">
            <v>61.086621325683275</v>
          </cell>
        </row>
        <row r="39">
          <cell r="O39">
            <v>0</v>
          </cell>
          <cell r="P39">
            <v>30.228992042857143</v>
          </cell>
        </row>
        <row r="40">
          <cell r="O40">
            <v>0</v>
          </cell>
          <cell r="P40">
            <v>49.0952380098338</v>
          </cell>
        </row>
        <row r="41">
          <cell r="O41">
            <v>0</v>
          </cell>
          <cell r="P41">
            <v>30.228992042857143</v>
          </cell>
        </row>
        <row r="42">
          <cell r="O42">
            <v>0</v>
          </cell>
          <cell r="P42">
            <v>30.228992042857143</v>
          </cell>
        </row>
        <row r="43">
          <cell r="O43">
            <v>0</v>
          </cell>
          <cell r="P43">
            <v>49.0952380098338</v>
          </cell>
        </row>
      </sheetData>
      <sheetData sheetId="4" refreshError="1"/>
      <sheetData sheetId="5" refreshError="1"/>
    </sheetDataSet>
  </externalBook>
</externalLink>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hyperlink" Target="https://opendata.cbs.nl/statline/portal.html?_la=en&amp;_catalog=CBS&amp;tableId=81955ENG&amp;_theme=1149" TargetMode="External"/><Relationship Id="rId1" Type="http://schemas.openxmlformats.org/officeDocument/2006/relationships/hyperlink" Target="https://leiden.incijfers.nl/jive"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A967C4-CB78-4C2E-9622-803718285C85}">
  <dimension ref="A1:M24"/>
  <sheetViews>
    <sheetView topLeftCell="A6" workbookViewId="0">
      <selection activeCell="P12" sqref="P12"/>
    </sheetView>
  </sheetViews>
  <sheetFormatPr defaultRowHeight="14.25"/>
  <cols>
    <col min="1" max="16384" width="9.06640625" style="54"/>
  </cols>
  <sheetData>
    <row r="1" spans="1:13" ht="18">
      <c r="A1" s="31" t="s">
        <v>187</v>
      </c>
    </row>
    <row r="3" spans="1:13" ht="15.75">
      <c r="A3" s="55" t="s">
        <v>62</v>
      </c>
    </row>
    <row r="4" spans="1:13" ht="15.75">
      <c r="A4" s="55" t="s">
        <v>72</v>
      </c>
    </row>
    <row r="5" spans="1:13" ht="15.75">
      <c r="A5" s="55" t="s">
        <v>71</v>
      </c>
    </row>
    <row r="7" spans="1:13">
      <c r="A7" s="56" t="s">
        <v>70</v>
      </c>
    </row>
    <row r="8" spans="1:13" ht="76.5" customHeight="1">
      <c r="A8" s="177" t="s">
        <v>88</v>
      </c>
      <c r="B8" s="177"/>
      <c r="C8" s="177"/>
      <c r="D8" s="177"/>
      <c r="E8" s="177"/>
      <c r="F8" s="177"/>
      <c r="G8" s="177"/>
      <c r="H8" s="177"/>
      <c r="I8" s="177"/>
      <c r="J8" s="177"/>
      <c r="K8" s="177"/>
      <c r="L8" s="177"/>
      <c r="M8" s="177"/>
    </row>
    <row r="9" spans="1:13">
      <c r="A9" s="58" t="s">
        <v>64</v>
      </c>
    </row>
    <row r="10" spans="1:13" ht="46.25" customHeight="1">
      <c r="A10" s="177" t="s">
        <v>89</v>
      </c>
      <c r="B10" s="177"/>
      <c r="C10" s="177"/>
      <c r="D10" s="177"/>
      <c r="E10" s="177"/>
      <c r="F10" s="177"/>
      <c r="G10" s="177"/>
      <c r="H10" s="177"/>
      <c r="I10" s="177"/>
      <c r="J10" s="177"/>
      <c r="K10" s="177"/>
      <c r="L10" s="177"/>
      <c r="M10" s="177"/>
    </row>
    <row r="11" spans="1:13">
      <c r="A11" s="58" t="s">
        <v>63</v>
      </c>
    </row>
    <row r="12" spans="1:13" ht="31.9" customHeight="1">
      <c r="A12" s="177" t="s">
        <v>73</v>
      </c>
      <c r="B12" s="177"/>
      <c r="C12" s="177"/>
      <c r="D12" s="177"/>
      <c r="E12" s="177"/>
      <c r="F12" s="177"/>
      <c r="G12" s="177"/>
      <c r="H12" s="177"/>
      <c r="I12" s="177"/>
      <c r="J12" s="177"/>
      <c r="K12" s="177"/>
      <c r="L12" s="177"/>
      <c r="M12" s="177"/>
    </row>
    <row r="13" spans="1:13">
      <c r="A13" s="58" t="s">
        <v>65</v>
      </c>
    </row>
    <row r="14" spans="1:13" ht="18" customHeight="1">
      <c r="A14" s="177" t="s">
        <v>90</v>
      </c>
      <c r="B14" s="177"/>
      <c r="C14" s="177"/>
      <c r="D14" s="177"/>
      <c r="E14" s="177"/>
      <c r="F14" s="177"/>
      <c r="G14" s="177"/>
      <c r="H14" s="177"/>
      <c r="I14" s="177"/>
      <c r="J14" s="177"/>
      <c r="K14" s="177"/>
      <c r="L14" s="177"/>
      <c r="M14" s="177"/>
    </row>
    <row r="15" spans="1:13">
      <c r="A15" s="58" t="s">
        <v>66</v>
      </c>
    </row>
    <row r="16" spans="1:13">
      <c r="A16" s="177" t="s">
        <v>74</v>
      </c>
      <c r="B16" s="177"/>
      <c r="C16" s="177"/>
      <c r="D16" s="177"/>
      <c r="E16" s="177"/>
      <c r="F16" s="177"/>
      <c r="G16" s="177"/>
      <c r="H16" s="177"/>
      <c r="I16" s="177"/>
      <c r="J16" s="177"/>
      <c r="K16" s="177"/>
      <c r="L16" s="177"/>
      <c r="M16" s="177"/>
    </row>
    <row r="17" spans="1:13">
      <c r="A17" s="58" t="s">
        <v>67</v>
      </c>
    </row>
    <row r="18" spans="1:13">
      <c r="A18" s="177" t="s">
        <v>91</v>
      </c>
      <c r="B18" s="177"/>
      <c r="C18" s="177"/>
      <c r="D18" s="177"/>
      <c r="E18" s="177"/>
      <c r="F18" s="177"/>
      <c r="G18" s="177"/>
      <c r="H18" s="177"/>
      <c r="I18" s="177"/>
      <c r="J18" s="177"/>
      <c r="K18" s="177"/>
      <c r="L18" s="177"/>
      <c r="M18" s="177"/>
    </row>
    <row r="19" spans="1:13">
      <c r="A19" s="58" t="s">
        <v>68</v>
      </c>
    </row>
    <row r="20" spans="1:13">
      <c r="A20" s="177" t="s">
        <v>75</v>
      </c>
      <c r="B20" s="177"/>
      <c r="C20" s="177"/>
      <c r="D20" s="177"/>
      <c r="E20" s="177"/>
      <c r="F20" s="177"/>
      <c r="G20" s="177"/>
      <c r="H20" s="177"/>
      <c r="I20" s="177"/>
      <c r="J20" s="177"/>
      <c r="K20" s="177"/>
      <c r="L20" s="177"/>
      <c r="M20" s="177"/>
    </row>
    <row r="21" spans="1:13" ht="14.75" customHeight="1">
      <c r="A21" s="58" t="s">
        <v>69</v>
      </c>
    </row>
    <row r="22" spans="1:13" ht="14.75" customHeight="1">
      <c r="A22" s="177" t="s">
        <v>76</v>
      </c>
      <c r="B22" s="177"/>
      <c r="C22" s="177"/>
      <c r="D22" s="177"/>
      <c r="E22" s="177"/>
      <c r="F22" s="177"/>
      <c r="G22" s="177"/>
      <c r="H22" s="177"/>
      <c r="I22" s="177"/>
      <c r="J22" s="177"/>
      <c r="K22" s="177"/>
      <c r="L22" s="177"/>
      <c r="M22" s="177"/>
    </row>
    <row r="23" spans="1:13">
      <c r="A23" s="32" t="s">
        <v>185</v>
      </c>
    </row>
    <row r="24" spans="1:13">
      <c r="A24" s="54" t="s">
        <v>186</v>
      </c>
    </row>
  </sheetData>
  <mergeCells count="8">
    <mergeCell ref="A20:M20"/>
    <mergeCell ref="A22:M22"/>
    <mergeCell ref="A8:M8"/>
    <mergeCell ref="A10:M10"/>
    <mergeCell ref="A12:M12"/>
    <mergeCell ref="A14:M14"/>
    <mergeCell ref="A16:M16"/>
    <mergeCell ref="A18:M18"/>
  </mergeCells>
  <hyperlinks>
    <hyperlink ref="A7" location="'1_Leiden raw data'!A1" display="1. Leiden raw data" xr:uid="{CF458652-71C3-4428-8F34-844C6E9D8387}"/>
    <hyperlink ref="A9" location="'2_D_Surface area conversion'!A1" display="2. D_surface area conversion" xr:uid="{CE816734-C39C-4695-8C2C-AAC0F227FC29}"/>
    <hyperlink ref="A11" location="'3_D_material calculation'!A1" display="3. D_material calcualtion" xr:uid="{3670B472-F6EB-43F8-9C73-C5F243F2E3E1}"/>
    <hyperlink ref="A13" location="'4_C_R surface area calculation'!A1" display="4. C_R surface area calculation" xr:uid="{30607107-BB57-42D0-A8D7-FA88A7956A1E}"/>
    <hyperlink ref="A15" location="'5_C_R material calcualtion'!A1" display="5. C_R material calculation" xr:uid="{978C7C44-9BFA-4449-AF18-A3F22D354626}"/>
    <hyperlink ref="A17" location="'6_C_U surface area calculation'!A1" display="6. C_U surface area calculation" xr:uid="{A99C5BF9-3CB4-45F4-A502-F011F0ECFB57}"/>
    <hyperlink ref="A19" location="'7_C_U material calculation'!A1" display="7. C_U material calculation" xr:uid="{690B89DB-9868-4421-B563-F225F55A0F44}"/>
    <hyperlink ref="A21" location="'8_C_total material_calculation'!A1" display="8. C_total material calculation" xr:uid="{371AF8B7-F50D-46D0-89BE-B79B23F6890E}"/>
    <hyperlink ref="A23" location="'9_MI'!A1" display="9. MI (Material intensity)" xr:uid="{41139E41-F635-455E-BBB6-7EEB6D801D75}"/>
  </hyperlinks>
  <pageMargins left="0.7" right="0.7" top="0.75" bottom="0.75" header="0.3" footer="0.3"/>
  <pageSetup paperSize="9" orientation="portrait" horizontalDpi="1200" verticalDpi="120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BE85BB9-1733-4B4E-8AC5-FDA67D9CAA57}">
  <dimension ref="A1:J42"/>
  <sheetViews>
    <sheetView workbookViewId="0"/>
  </sheetViews>
  <sheetFormatPr defaultRowHeight="14.25"/>
  <cols>
    <col min="4" max="4" width="12.53125" customWidth="1"/>
    <col min="5" max="5" width="11.19921875" customWidth="1"/>
    <col min="6" max="6" width="12" customWidth="1"/>
  </cols>
  <sheetData>
    <row r="1" spans="1:10" ht="18">
      <c r="A1" s="31" t="s">
        <v>183</v>
      </c>
    </row>
    <row r="2" spans="1:10" ht="45.75" customHeight="1">
      <c r="B2" s="196" t="s">
        <v>7</v>
      </c>
      <c r="C2" s="196"/>
      <c r="D2" s="196"/>
      <c r="E2" s="196"/>
      <c r="F2" s="196"/>
      <c r="G2" s="196"/>
      <c r="H2" s="196"/>
      <c r="I2" s="196"/>
      <c r="J2" s="196"/>
    </row>
    <row r="3" spans="1:10" ht="48.5" customHeight="1">
      <c r="B3" s="196"/>
      <c r="C3" s="196"/>
      <c r="D3" s="196"/>
      <c r="E3" s="196"/>
      <c r="F3" s="196"/>
      <c r="G3" s="196"/>
      <c r="H3" s="196"/>
      <c r="I3" s="196"/>
      <c r="J3" s="196"/>
    </row>
    <row r="5" spans="1:10">
      <c r="B5" t="s">
        <v>8</v>
      </c>
    </row>
    <row r="6" spans="1:10">
      <c r="E6" s="3" t="s">
        <v>14</v>
      </c>
    </row>
    <row r="7" spans="1:10" ht="14.65" thickBot="1">
      <c r="B7" s="3" t="s">
        <v>9</v>
      </c>
      <c r="C7" s="3" t="s">
        <v>10</v>
      </c>
      <c r="D7" s="3" t="s">
        <v>11</v>
      </c>
      <c r="E7" s="4" t="s">
        <v>12</v>
      </c>
      <c r="F7" s="4" t="s">
        <v>13</v>
      </c>
      <c r="G7" t="str">
        <f>'[4]Overall MI per age cohort'!O8</f>
        <v>Glass</v>
      </c>
      <c r="H7" t="str">
        <f>'[4]Overall MI per age cohort'!P8</f>
        <v>Wood</v>
      </c>
    </row>
    <row r="8" spans="1:10">
      <c r="B8" s="5" t="s">
        <v>6</v>
      </c>
      <c r="C8" s="5" t="s">
        <v>15</v>
      </c>
      <c r="D8" s="6" t="s">
        <v>16</v>
      </c>
      <c r="E8" s="7"/>
      <c r="F8" s="7">
        <v>61.307745833474762</v>
      </c>
      <c r="G8" s="1">
        <f>'[4]Overall MI per age cohort'!O9</f>
        <v>3.3022091969043821</v>
      </c>
      <c r="H8" s="1">
        <f>'[4]Overall MI per age cohort'!P9</f>
        <v>2.4144168221676789</v>
      </c>
    </row>
    <row r="9" spans="1:10">
      <c r="B9" s="3"/>
      <c r="C9" s="3"/>
      <c r="D9" s="4" t="s">
        <v>17</v>
      </c>
      <c r="E9" s="7">
        <v>30.7</v>
      </c>
      <c r="F9" s="7">
        <v>682.50774583347481</v>
      </c>
      <c r="G9" s="1">
        <f>'[4]Overall MI per age cohort'!O10</f>
        <v>26.002209196904381</v>
      </c>
      <c r="H9" s="1">
        <f>'[4]Overall MI per age cohort'!P10</f>
        <v>26.414416822167681</v>
      </c>
    </row>
    <row r="10" spans="1:10">
      <c r="B10" s="3"/>
      <c r="C10" s="3"/>
      <c r="D10" s="4" t="s">
        <v>18</v>
      </c>
      <c r="E10" s="7">
        <v>596</v>
      </c>
      <c r="F10" s="7">
        <v>716.90774583347479</v>
      </c>
      <c r="G10" s="1">
        <f>'[4]Overall MI per age cohort'!O11</f>
        <v>10.702209196904382</v>
      </c>
      <c r="H10" s="1">
        <f>'[4]Overall MI per age cohort'!P11</f>
        <v>23.314416822167679</v>
      </c>
    </row>
    <row r="11" spans="1:10" ht="14.65" thickBot="1">
      <c r="B11" s="3"/>
      <c r="C11" s="3"/>
      <c r="D11" s="4" t="s">
        <v>19</v>
      </c>
      <c r="E11" s="7"/>
      <c r="F11" s="7">
        <v>61.307745833474762</v>
      </c>
      <c r="G11" s="1">
        <f>'[4]Overall MI per age cohort'!O12</f>
        <v>3.3022091969043821</v>
      </c>
      <c r="H11" s="1">
        <f>'[4]Overall MI per age cohort'!P12</f>
        <v>21.714416822167678</v>
      </c>
    </row>
    <row r="12" spans="1:10" ht="14.65" thickBot="1">
      <c r="B12" s="3"/>
      <c r="C12" s="3"/>
      <c r="D12" s="4" t="s">
        <v>20</v>
      </c>
      <c r="E12" s="15">
        <v>363.68600682593853</v>
      </c>
      <c r="F12" s="16">
        <v>676.64793570689244</v>
      </c>
      <c r="G12" s="17">
        <f>'[4]Overall MI per age cohort'!O13</f>
        <v>15.286632625339573</v>
      </c>
      <c r="H12" s="18">
        <f>'[4]Overall MI per age cohort'!P13</f>
        <v>24.290786244195743</v>
      </c>
    </row>
    <row r="13" spans="1:10">
      <c r="B13" s="5"/>
      <c r="C13" s="5" t="s">
        <v>21</v>
      </c>
      <c r="D13" s="6" t="s">
        <v>16</v>
      </c>
      <c r="E13" s="7">
        <v>0</v>
      </c>
      <c r="F13" s="7">
        <v>61.307745833474762</v>
      </c>
      <c r="G13" s="1">
        <f>'[4]Overall MI per age cohort'!O14</f>
        <v>3.3022091969043821</v>
      </c>
      <c r="H13" s="1">
        <f>'[4]Overall MI per age cohort'!P14</f>
        <v>2.4144168221676789</v>
      </c>
    </row>
    <row r="14" spans="1:10">
      <c r="B14" s="3"/>
      <c r="C14" s="3"/>
      <c r="D14" s="4" t="s">
        <v>17</v>
      </c>
      <c r="E14" s="7">
        <v>148.5</v>
      </c>
      <c r="F14" s="7">
        <v>655.20774583347475</v>
      </c>
      <c r="G14" s="1">
        <f>'[4]Overall MI per age cohort'!O15</f>
        <v>3.3022091969043821</v>
      </c>
      <c r="H14" s="1">
        <f>'[4]Overall MI per age cohort'!P15</f>
        <v>54.614416822167684</v>
      </c>
    </row>
    <row r="15" spans="1:10">
      <c r="B15" s="3"/>
      <c r="C15" s="3"/>
      <c r="D15" s="4" t="s">
        <v>18</v>
      </c>
      <c r="E15" s="7">
        <v>0</v>
      </c>
      <c r="F15" s="7">
        <v>61.307745833474762</v>
      </c>
      <c r="G15" s="1">
        <f>'[4]Overall MI per age cohort'!O16</f>
        <v>3.3022091969043821</v>
      </c>
      <c r="H15" s="1">
        <f>'[4]Overall MI per age cohort'!P16</f>
        <v>46.414416822167681</v>
      </c>
    </row>
    <row r="16" spans="1:10" ht="14.65" thickBot="1">
      <c r="B16" s="3"/>
      <c r="C16" s="3"/>
      <c r="D16" s="4" t="s">
        <v>19</v>
      </c>
      <c r="E16" s="7">
        <v>0</v>
      </c>
      <c r="F16" s="7">
        <v>61.307745833474762</v>
      </c>
      <c r="G16" s="1">
        <f>'[4]Overall MI per age cohort'!O17</f>
        <v>3.3022091969043821</v>
      </c>
      <c r="H16" s="1">
        <f>'[4]Overall MI per age cohort'!P17</f>
        <v>2.4144168221676789</v>
      </c>
    </row>
    <row r="17" spans="2:8" ht="14.65" thickBot="1">
      <c r="B17" s="3"/>
      <c r="C17" s="3"/>
      <c r="D17" s="4" t="s">
        <v>20</v>
      </c>
      <c r="E17" s="15">
        <v>148.46818538884523</v>
      </c>
      <c r="F17" s="16">
        <v>634.39494143441732</v>
      </c>
      <c r="G17" s="17">
        <f>'[4]Overall MI per age cohort'!O18</f>
        <v>3.3022091969043821</v>
      </c>
      <c r="H17" s="18">
        <f>'[4]Overall MI per age cohort'!P18</f>
        <v>50.16054015429895</v>
      </c>
    </row>
    <row r="18" spans="2:8">
      <c r="B18" s="5"/>
      <c r="C18" s="5" t="s">
        <v>22</v>
      </c>
      <c r="D18" s="6" t="s">
        <v>16</v>
      </c>
      <c r="E18" s="7">
        <v>0</v>
      </c>
      <c r="F18" s="7">
        <v>61.307745833474762</v>
      </c>
      <c r="G18" s="1">
        <f>'[4]Overall MI per age cohort'!O19</f>
        <v>9.8022091969043821</v>
      </c>
      <c r="H18" s="1">
        <f>'[4]Overall MI per age cohort'!P19</f>
        <v>34.914416822167681</v>
      </c>
    </row>
    <row r="19" spans="2:8">
      <c r="B19" s="3"/>
      <c r="C19" s="3"/>
      <c r="D19" s="4" t="s">
        <v>17</v>
      </c>
      <c r="E19" s="7">
        <v>173.2</v>
      </c>
      <c r="F19" s="7">
        <v>720.90774583347479</v>
      </c>
      <c r="G19" s="1">
        <f>'[4]Overall MI per age cohort'!O20</f>
        <v>12.202209196904382</v>
      </c>
      <c r="H19" s="1">
        <f>'[4]Overall MI per age cohort'!P20</f>
        <v>39.614416822167684</v>
      </c>
    </row>
    <row r="20" spans="2:8">
      <c r="B20" s="3"/>
      <c r="C20" s="3"/>
      <c r="D20" s="4" t="s">
        <v>18</v>
      </c>
      <c r="E20" s="7">
        <v>460.7</v>
      </c>
      <c r="F20" s="7">
        <v>571.40774583347479</v>
      </c>
      <c r="G20" s="1">
        <f>'[4]Overall MI per age cohort'!O21</f>
        <v>7.5022091969043823</v>
      </c>
      <c r="H20" s="1">
        <f>'[4]Overall MI per age cohort'!P21</f>
        <v>43.714416822167678</v>
      </c>
    </row>
    <row r="21" spans="2:8" ht="14.65" thickBot="1">
      <c r="B21" s="3"/>
      <c r="C21" s="3"/>
      <c r="D21" s="4" t="s">
        <v>19</v>
      </c>
      <c r="E21" s="7">
        <v>0</v>
      </c>
      <c r="F21" s="7">
        <v>61.307745833474762</v>
      </c>
      <c r="G21" s="1">
        <f>'[4]Overall MI per age cohort'!O22</f>
        <v>7.7022091969043824</v>
      </c>
      <c r="H21" s="1">
        <f>'[4]Overall MI per age cohort'!P22</f>
        <v>23.214416822167678</v>
      </c>
    </row>
    <row r="22" spans="2:8" ht="14.65" thickBot="1">
      <c r="B22" s="3"/>
      <c r="C22" s="3"/>
      <c r="D22" s="4" t="s">
        <v>20</v>
      </c>
      <c r="E22" s="15">
        <v>317.08991077556624</v>
      </c>
      <c r="F22" s="16">
        <v>625.63515374928352</v>
      </c>
      <c r="G22" s="17">
        <f>'[4]Overall MI per age cohort'!O23</f>
        <v>10.450326859253298</v>
      </c>
      <c r="H22" s="18">
        <f>'[4]Overall MI per age cohort'!P23</f>
        <v>37.000949880792895</v>
      </c>
    </row>
    <row r="23" spans="2:8">
      <c r="B23" s="5" t="s">
        <v>5</v>
      </c>
      <c r="C23" s="5" t="s">
        <v>23</v>
      </c>
      <c r="D23" s="6" t="s">
        <v>16</v>
      </c>
      <c r="E23" s="7">
        <v>74.483005580257242</v>
      </c>
      <c r="F23" s="7">
        <v>211.99009280534753</v>
      </c>
      <c r="G23" s="1">
        <f>'[4]Overall MI per age cohort'!O24</f>
        <v>0</v>
      </c>
      <c r="H23" s="1">
        <f>'[4]Overall MI per age cohort'!P24</f>
        <v>58.279482926447614</v>
      </c>
    </row>
    <row r="24" spans="2:8">
      <c r="B24" s="3"/>
      <c r="C24" s="3"/>
      <c r="D24" s="4" t="s">
        <v>17</v>
      </c>
      <c r="E24" s="7">
        <v>173.70984728804635</v>
      </c>
      <c r="F24" s="7">
        <v>494.40494997367034</v>
      </c>
      <c r="G24" s="1">
        <f>'[4]Overall MI per age cohort'!O25</f>
        <v>0</v>
      </c>
      <c r="H24" s="1">
        <f>'[4]Overall MI per age cohort'!P25</f>
        <v>83.80982405970812</v>
      </c>
    </row>
    <row r="25" spans="2:8">
      <c r="B25" s="3"/>
      <c r="C25" s="3"/>
      <c r="D25" s="4" t="s">
        <v>18</v>
      </c>
      <c r="E25" s="7">
        <v>0</v>
      </c>
      <c r="F25" s="7">
        <v>0</v>
      </c>
      <c r="G25" s="1">
        <f>'[4]Overall MI per age cohort'!O26</f>
        <v>0</v>
      </c>
      <c r="H25" s="1">
        <f>'[4]Overall MI per age cohort'!P26</f>
        <v>30.228992042857143</v>
      </c>
    </row>
    <row r="26" spans="2:8" ht="14.65" thickBot="1">
      <c r="B26" s="3"/>
      <c r="C26" s="3"/>
      <c r="D26" s="4" t="s">
        <v>19</v>
      </c>
      <c r="E26" s="7">
        <v>0</v>
      </c>
      <c r="F26" s="7">
        <v>0</v>
      </c>
      <c r="G26" s="1">
        <f>'[4]Overall MI per age cohort'!O27</f>
        <v>0</v>
      </c>
      <c r="H26" s="1">
        <f>'[4]Overall MI per age cohort'!P27</f>
        <v>30.228992042857143</v>
      </c>
    </row>
    <row r="27" spans="2:8" ht="14.65" thickBot="1">
      <c r="B27" s="3"/>
      <c r="C27" s="3"/>
      <c r="D27" s="4" t="s">
        <v>20</v>
      </c>
      <c r="E27" s="15">
        <v>124.09642643415179</v>
      </c>
      <c r="F27" s="16">
        <v>353.19752138950895</v>
      </c>
      <c r="G27" s="17">
        <f>'[4]Overall MI per age cohort'!O28</f>
        <v>0</v>
      </c>
      <c r="H27" s="18">
        <f>'[4]Overall MI per age cohort'!P28</f>
        <v>69.267367502507099</v>
      </c>
    </row>
    <row r="28" spans="2:8">
      <c r="B28" s="5"/>
      <c r="C28" s="5" t="s">
        <v>24</v>
      </c>
      <c r="D28" s="6" t="s">
        <v>16</v>
      </c>
      <c r="E28" s="7">
        <v>0</v>
      </c>
      <c r="F28" s="7">
        <v>0</v>
      </c>
      <c r="G28" s="1">
        <f>'[4]Overall MI per age cohort'!O29</f>
        <v>0</v>
      </c>
      <c r="H28" s="1">
        <f>'[4]Overall MI per age cohort'!P29</f>
        <v>30.228992042857143</v>
      </c>
    </row>
    <row r="29" spans="2:8">
      <c r="B29" s="3"/>
      <c r="C29" s="3"/>
      <c r="D29" s="4" t="s">
        <v>17</v>
      </c>
      <c r="E29" s="7">
        <v>635.29411764705878</v>
      </c>
      <c r="F29" s="7">
        <v>974.11764705882354</v>
      </c>
      <c r="G29" s="1">
        <f>'[4]Overall MI per age cohort'!O30</f>
        <v>0</v>
      </c>
      <c r="H29" s="1">
        <f>'[4]Overall MI per age cohort'!P30</f>
        <v>246.69958027815125</v>
      </c>
    </row>
    <row r="30" spans="2:8">
      <c r="B30" s="3"/>
      <c r="C30" s="3"/>
      <c r="D30" s="4" t="s">
        <v>18</v>
      </c>
      <c r="E30" s="7">
        <v>0</v>
      </c>
      <c r="F30" s="7">
        <v>0</v>
      </c>
      <c r="G30" s="1">
        <f>'[4]Overall MI per age cohort'!O31</f>
        <v>0</v>
      </c>
      <c r="H30" s="1">
        <f>'[4]Overall MI per age cohort'!P31</f>
        <v>30.228992042857143</v>
      </c>
    </row>
    <row r="31" spans="2:8" ht="14.65" thickBot="1">
      <c r="B31" s="3"/>
      <c r="C31" s="3"/>
      <c r="D31" s="4" t="s">
        <v>19</v>
      </c>
      <c r="E31" s="7">
        <v>0</v>
      </c>
      <c r="F31" s="7">
        <v>0</v>
      </c>
      <c r="G31" s="1">
        <f>'[4]Overall MI per age cohort'!O32</f>
        <v>0</v>
      </c>
      <c r="H31" s="1">
        <f>'[4]Overall MI per age cohort'!P32</f>
        <v>30.228992042857143</v>
      </c>
    </row>
    <row r="32" spans="2:8" ht="14.65" thickBot="1">
      <c r="B32" s="3"/>
      <c r="C32" s="3"/>
      <c r="D32" s="4" t="s">
        <v>20</v>
      </c>
      <c r="E32" s="15">
        <v>635.29411764705878</v>
      </c>
      <c r="F32" s="16">
        <v>974.11764705882354</v>
      </c>
      <c r="G32" s="17">
        <f>'[4]Overall MI per age cohort'!O33</f>
        <v>0</v>
      </c>
      <c r="H32" s="18">
        <f>'[4]Overall MI per age cohort'!P33</f>
        <v>246.69958027815125</v>
      </c>
    </row>
    <row r="33" spans="2:8">
      <c r="B33" s="5"/>
      <c r="C33" s="5" t="s">
        <v>25</v>
      </c>
      <c r="D33" s="6" t="s">
        <v>16</v>
      </c>
      <c r="E33" s="7">
        <v>0</v>
      </c>
      <c r="F33" s="7">
        <v>0</v>
      </c>
      <c r="G33" s="1">
        <f>'[4]Overall MI per age cohort'!O34</f>
        <v>0</v>
      </c>
      <c r="H33" s="1">
        <f>'[4]Overall MI per age cohort'!P34</f>
        <v>30.228992042857143</v>
      </c>
    </row>
    <row r="34" spans="2:8">
      <c r="B34" s="3"/>
      <c r="C34" s="3"/>
      <c r="D34" s="4" t="s">
        <v>17</v>
      </c>
      <c r="E34" s="7">
        <v>0</v>
      </c>
      <c r="F34" s="7">
        <v>0</v>
      </c>
      <c r="G34" s="1">
        <f>'[4]Overall MI per age cohort'!O35</f>
        <v>0</v>
      </c>
      <c r="H34" s="1">
        <f>'[4]Overall MI per age cohort'!P35</f>
        <v>30.228992042857143</v>
      </c>
    </row>
    <row r="35" spans="2:8">
      <c r="B35" s="3"/>
      <c r="C35" s="3"/>
      <c r="D35" s="4" t="s">
        <v>18</v>
      </c>
      <c r="E35" s="7">
        <v>245.77995318152799</v>
      </c>
      <c r="F35" s="7">
        <v>699.5275590551181</v>
      </c>
      <c r="G35" s="1">
        <f>'[4]Overall MI per age cohort'!O36</f>
        <v>0</v>
      </c>
      <c r="H35" s="1">
        <f>'[4]Overall MI per age cohort'!P36</f>
        <v>61.086621325683275</v>
      </c>
    </row>
    <row r="36" spans="2:8" ht="14.65" thickBot="1">
      <c r="B36" s="3"/>
      <c r="C36" s="3"/>
      <c r="D36" s="4" t="s">
        <v>19</v>
      </c>
      <c r="E36" s="7">
        <v>0</v>
      </c>
      <c r="F36" s="7">
        <v>0</v>
      </c>
      <c r="G36" s="1">
        <f>'[4]Overall MI per age cohort'!O37</f>
        <v>0</v>
      </c>
      <c r="H36" s="1">
        <f>'[4]Overall MI per age cohort'!P37</f>
        <v>30.228992042857143</v>
      </c>
    </row>
    <row r="37" spans="2:8" ht="14.65" thickBot="1">
      <c r="B37" s="3"/>
      <c r="C37" s="3"/>
      <c r="D37" s="4" t="s">
        <v>20</v>
      </c>
      <c r="E37" s="15">
        <v>245.77995318152799</v>
      </c>
      <c r="F37" s="16">
        <v>699.5275590551181</v>
      </c>
      <c r="G37" s="17">
        <f>'[4]Overall MI per age cohort'!O38</f>
        <v>0</v>
      </c>
      <c r="H37" s="18">
        <f>'[4]Overall MI per age cohort'!P38</f>
        <v>61.086621325683275</v>
      </c>
    </row>
    <row r="38" spans="2:8">
      <c r="B38" s="5"/>
      <c r="C38" s="5" t="s">
        <v>26</v>
      </c>
      <c r="D38" s="6" t="s">
        <v>16</v>
      </c>
      <c r="E38" s="7">
        <v>0</v>
      </c>
      <c r="F38" s="7">
        <v>0</v>
      </c>
      <c r="G38" s="1">
        <f>'[4]Overall MI per age cohort'!O39</f>
        <v>0</v>
      </c>
      <c r="H38" s="1">
        <f>'[4]Overall MI per age cohort'!P39</f>
        <v>30.228992042857143</v>
      </c>
    </row>
    <row r="39" spans="2:8">
      <c r="B39" s="3"/>
      <c r="C39" s="3"/>
      <c r="D39" s="4" t="s">
        <v>17</v>
      </c>
      <c r="E39" s="7">
        <v>310.27661795407101</v>
      </c>
      <c r="F39" s="7">
        <v>883.09498956158666</v>
      </c>
      <c r="G39" s="1">
        <f>'[4]Overall MI per age cohort'!O40</f>
        <v>0</v>
      </c>
      <c r="H39" s="1">
        <f>'[4]Overall MI per age cohort'!P40</f>
        <v>49.0952380098338</v>
      </c>
    </row>
    <row r="40" spans="2:8">
      <c r="B40" s="3"/>
      <c r="C40" s="3"/>
      <c r="D40" s="4" t="s">
        <v>18</v>
      </c>
      <c r="E40" s="7">
        <v>0</v>
      </c>
      <c r="F40" s="7">
        <v>0</v>
      </c>
      <c r="G40" s="1">
        <f>'[4]Overall MI per age cohort'!O41</f>
        <v>0</v>
      </c>
      <c r="H40" s="1">
        <f>'[4]Overall MI per age cohort'!P41</f>
        <v>30.228992042857143</v>
      </c>
    </row>
    <row r="41" spans="2:8" ht="14.65" thickBot="1">
      <c r="B41" s="3"/>
      <c r="C41" s="3"/>
      <c r="D41" s="4" t="s">
        <v>19</v>
      </c>
      <c r="E41" s="7">
        <v>0</v>
      </c>
      <c r="F41" s="7">
        <v>0</v>
      </c>
      <c r="G41" s="1">
        <f>'[4]Overall MI per age cohort'!O42</f>
        <v>0</v>
      </c>
      <c r="H41" s="1">
        <f>'[4]Overall MI per age cohort'!P42</f>
        <v>30.228992042857143</v>
      </c>
    </row>
    <row r="42" spans="2:8" ht="14.65" thickBot="1">
      <c r="B42" s="8"/>
      <c r="C42" s="8"/>
      <c r="D42" s="4" t="s">
        <v>20</v>
      </c>
      <c r="E42" s="15">
        <v>310.27661795407101</v>
      </c>
      <c r="F42" s="16">
        <v>883.09498956158666</v>
      </c>
      <c r="G42" s="17">
        <f>'[4]Overall MI per age cohort'!O43</f>
        <v>0</v>
      </c>
      <c r="H42" s="18">
        <f>'[4]Overall MI per age cohort'!P43</f>
        <v>49.0952380098338</v>
      </c>
    </row>
  </sheetData>
  <mergeCells count="1">
    <mergeCell ref="B2:J3"/>
  </mergeCells>
  <phoneticPr fontId="1" type="noConversion"/>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516DB3-AF6B-411F-8A37-76882A07C79D}">
  <dimension ref="A1:N61"/>
  <sheetViews>
    <sheetView workbookViewId="0">
      <selection activeCell="A6" sqref="A6:C6"/>
    </sheetView>
  </sheetViews>
  <sheetFormatPr defaultRowHeight="14.25"/>
  <cols>
    <col min="1" max="1" width="12.19921875" customWidth="1"/>
    <col min="2" max="2" width="20.265625" customWidth="1"/>
    <col min="3" max="3" width="18.86328125" customWidth="1"/>
    <col min="4" max="4" width="21.796875" customWidth="1"/>
    <col min="5" max="5" width="15.796875" customWidth="1"/>
    <col min="6" max="6" width="19.3984375" customWidth="1"/>
    <col min="7" max="8" width="14.46484375" customWidth="1"/>
    <col min="9" max="9" width="13.59765625" customWidth="1"/>
    <col min="10" max="10" width="20.9296875" customWidth="1"/>
    <col min="11" max="11" width="10.796875" customWidth="1"/>
    <col min="12" max="12" width="10.86328125" customWidth="1"/>
  </cols>
  <sheetData>
    <row r="1" spans="1:14" ht="18">
      <c r="A1" s="31" t="s">
        <v>156</v>
      </c>
    </row>
    <row r="3" spans="1:14">
      <c r="A3" t="s">
        <v>38</v>
      </c>
      <c r="B3" s="13" t="s">
        <v>77</v>
      </c>
    </row>
    <row r="4" spans="1:14">
      <c r="B4" s="13" t="s">
        <v>87</v>
      </c>
    </row>
    <row r="5" spans="1:14">
      <c r="B5" s="13"/>
    </row>
    <row r="6" spans="1:14">
      <c r="A6" s="178" t="s">
        <v>78</v>
      </c>
      <c r="B6" s="178"/>
      <c r="C6" s="178"/>
    </row>
    <row r="7" spans="1:14" ht="14.65" thickBot="1">
      <c r="A7" t="s">
        <v>39</v>
      </c>
      <c r="B7" t="s">
        <v>42</v>
      </c>
    </row>
    <row r="8" spans="1:14" ht="39.4">
      <c r="A8" s="49" t="s">
        <v>4</v>
      </c>
      <c r="B8" s="50" t="s">
        <v>27</v>
      </c>
      <c r="C8" s="50" t="s">
        <v>28</v>
      </c>
      <c r="D8" s="50" t="s">
        <v>30</v>
      </c>
      <c r="E8" s="50" t="s">
        <v>29</v>
      </c>
      <c r="F8" s="50" t="s">
        <v>35</v>
      </c>
      <c r="G8" s="50" t="s">
        <v>31</v>
      </c>
      <c r="H8" s="50" t="s">
        <v>32</v>
      </c>
      <c r="I8" s="50" t="s">
        <v>37</v>
      </c>
      <c r="J8" s="51" t="s">
        <v>81</v>
      </c>
    </row>
    <row r="9" spans="1:14">
      <c r="A9" s="36">
        <v>2012</v>
      </c>
      <c r="B9" s="9">
        <v>53613</v>
      </c>
      <c r="C9" s="9">
        <v>785</v>
      </c>
      <c r="D9" s="9">
        <v>168</v>
      </c>
      <c r="E9" s="9">
        <v>-17</v>
      </c>
      <c r="F9" s="9">
        <v>-135</v>
      </c>
      <c r="G9" s="9">
        <v>-14</v>
      </c>
      <c r="H9" s="9">
        <f>SUM(C9:G9)</f>
        <v>787</v>
      </c>
      <c r="I9" s="9">
        <f>B9+H9</f>
        <v>54400</v>
      </c>
      <c r="J9" s="37">
        <v>95</v>
      </c>
    </row>
    <row r="10" spans="1:14">
      <c r="A10" s="36">
        <v>2013</v>
      </c>
      <c r="B10" s="9">
        <v>54400</v>
      </c>
      <c r="C10" s="9">
        <v>292</v>
      </c>
      <c r="D10" s="9">
        <v>478</v>
      </c>
      <c r="E10" s="9">
        <v>-2</v>
      </c>
      <c r="F10" s="9">
        <v>-106</v>
      </c>
      <c r="G10" s="9">
        <v>140</v>
      </c>
      <c r="H10" s="9">
        <v>802</v>
      </c>
      <c r="I10" s="9">
        <f t="shared" ref="I10:I18" si="0">B10+H10</f>
        <v>55202</v>
      </c>
      <c r="J10" s="37">
        <v>94</v>
      </c>
      <c r="K10" s="10"/>
      <c r="L10" s="10"/>
      <c r="M10" s="10"/>
      <c r="N10" s="10"/>
    </row>
    <row r="11" spans="1:14">
      <c r="A11" s="36">
        <v>2014</v>
      </c>
      <c r="B11" s="9">
        <v>55202</v>
      </c>
      <c r="C11" s="9">
        <v>86</v>
      </c>
      <c r="D11" s="9">
        <v>230</v>
      </c>
      <c r="E11" s="9">
        <v>-241</v>
      </c>
      <c r="F11" s="9">
        <v>-70</v>
      </c>
      <c r="G11" s="9">
        <v>24</v>
      </c>
      <c r="H11" s="9">
        <v>29</v>
      </c>
      <c r="I11" s="9">
        <f t="shared" si="0"/>
        <v>55231</v>
      </c>
      <c r="J11" s="37">
        <v>93</v>
      </c>
    </row>
    <row r="12" spans="1:14">
      <c r="A12" s="36">
        <v>2015</v>
      </c>
      <c r="B12" s="9">
        <v>55231</v>
      </c>
      <c r="C12" s="9">
        <v>1193</v>
      </c>
      <c r="D12" s="9">
        <v>495</v>
      </c>
      <c r="E12" s="9">
        <v>-160</v>
      </c>
      <c r="F12" s="9">
        <v>-148</v>
      </c>
      <c r="G12" s="9">
        <v>25</v>
      </c>
      <c r="H12" s="9">
        <v>1405</v>
      </c>
      <c r="I12" s="9">
        <f t="shared" si="0"/>
        <v>56636</v>
      </c>
      <c r="J12" s="37">
        <v>93</v>
      </c>
      <c r="K12" s="11"/>
      <c r="L12" s="11"/>
    </row>
    <row r="13" spans="1:14">
      <c r="A13" s="36">
        <v>2016</v>
      </c>
      <c r="B13" s="9">
        <v>56636</v>
      </c>
      <c r="C13" s="9">
        <v>765</v>
      </c>
      <c r="D13" s="9">
        <v>592</v>
      </c>
      <c r="E13" s="9">
        <v>-315</v>
      </c>
      <c r="F13" s="9">
        <v>-153</v>
      </c>
      <c r="G13" s="9">
        <v>-49</v>
      </c>
      <c r="H13" s="9">
        <v>840</v>
      </c>
      <c r="I13" s="9">
        <f t="shared" si="0"/>
        <v>57476</v>
      </c>
      <c r="J13" s="37">
        <v>93</v>
      </c>
      <c r="K13" s="11"/>
      <c r="L13" s="11"/>
    </row>
    <row r="14" spans="1:14">
      <c r="A14" s="36">
        <v>2017</v>
      </c>
      <c r="B14" s="9">
        <v>57476</v>
      </c>
      <c r="C14" s="9">
        <v>538</v>
      </c>
      <c r="D14" s="9">
        <v>459</v>
      </c>
      <c r="E14" s="9">
        <v>-40</v>
      </c>
      <c r="F14" s="9">
        <v>-408</v>
      </c>
      <c r="G14" s="9">
        <v>54</v>
      </c>
      <c r="H14" s="9">
        <v>603</v>
      </c>
      <c r="I14" s="9">
        <f t="shared" si="0"/>
        <v>58079</v>
      </c>
      <c r="J14" s="37">
        <v>92</v>
      </c>
      <c r="K14" s="11"/>
    </row>
    <row r="15" spans="1:14">
      <c r="A15" s="36">
        <v>2018</v>
      </c>
      <c r="B15" s="9">
        <v>58079</v>
      </c>
      <c r="C15" s="9">
        <v>691</v>
      </c>
      <c r="D15" s="9">
        <v>432</v>
      </c>
      <c r="E15" s="9">
        <v>-28</v>
      </c>
      <c r="F15" s="9">
        <v>-92</v>
      </c>
      <c r="G15" s="9">
        <v>6</v>
      </c>
      <c r="H15" s="9">
        <v>1009</v>
      </c>
      <c r="I15" s="9">
        <f t="shared" si="0"/>
        <v>59088</v>
      </c>
      <c r="J15" s="37">
        <v>92</v>
      </c>
      <c r="K15" s="11"/>
    </row>
    <row r="16" spans="1:14">
      <c r="A16" s="36">
        <v>2019</v>
      </c>
      <c r="B16" s="9">
        <v>59088</v>
      </c>
      <c r="C16" s="9">
        <v>540</v>
      </c>
      <c r="D16" s="9">
        <v>375</v>
      </c>
      <c r="E16" s="9">
        <v>-60</v>
      </c>
      <c r="F16" s="9">
        <v>-110</v>
      </c>
      <c r="G16" s="9">
        <v>-1</v>
      </c>
      <c r="H16" s="9">
        <v>744</v>
      </c>
      <c r="I16" s="9">
        <f t="shared" si="0"/>
        <v>59832</v>
      </c>
      <c r="J16" s="37">
        <v>92</v>
      </c>
      <c r="K16" s="11"/>
    </row>
    <row r="17" spans="1:11">
      <c r="A17" s="36">
        <v>2020</v>
      </c>
      <c r="B17" s="9">
        <v>59832</v>
      </c>
      <c r="C17" s="9">
        <v>568</v>
      </c>
      <c r="D17" s="9">
        <v>450</v>
      </c>
      <c r="E17" s="9">
        <v>-166</v>
      </c>
      <c r="F17" s="9">
        <v>-145</v>
      </c>
      <c r="G17" s="9">
        <v>-1</v>
      </c>
      <c r="H17" s="9">
        <v>706</v>
      </c>
      <c r="I17" s="9">
        <f t="shared" si="0"/>
        <v>60538</v>
      </c>
      <c r="J17" s="37">
        <v>91</v>
      </c>
      <c r="K17" s="11"/>
    </row>
    <row r="18" spans="1:11" ht="14.65" thickBot="1">
      <c r="A18" s="38">
        <v>2021</v>
      </c>
      <c r="B18" s="39">
        <v>60538</v>
      </c>
      <c r="C18" s="39">
        <v>1000</v>
      </c>
      <c r="D18" s="39">
        <v>342</v>
      </c>
      <c r="E18" s="39">
        <v>-78</v>
      </c>
      <c r="F18" s="39">
        <v>-166</v>
      </c>
      <c r="G18" s="39">
        <v>-31</v>
      </c>
      <c r="H18" s="39">
        <v>1067</v>
      </c>
      <c r="I18" s="39">
        <f t="shared" si="0"/>
        <v>61605</v>
      </c>
      <c r="J18" s="40">
        <v>91</v>
      </c>
      <c r="K18" s="11"/>
    </row>
    <row r="19" spans="1:11">
      <c r="A19" s="10"/>
      <c r="B19" s="11"/>
      <c r="C19" s="11"/>
      <c r="D19" s="11"/>
      <c r="E19" s="11"/>
      <c r="F19" s="11"/>
      <c r="G19" s="11"/>
      <c r="H19" s="11"/>
      <c r="I19" s="11"/>
      <c r="J19" s="11"/>
      <c r="K19" s="11"/>
    </row>
    <row r="20" spans="1:11" ht="14.65" thickBot="1">
      <c r="A20" s="182" t="s">
        <v>79</v>
      </c>
      <c r="B20" s="182"/>
      <c r="C20" s="182"/>
      <c r="K20" s="11"/>
    </row>
    <row r="21" spans="1:11" ht="28.5">
      <c r="A21" s="41" t="s">
        <v>39</v>
      </c>
      <c r="B21" s="42" t="s">
        <v>40</v>
      </c>
      <c r="C21" s="42" t="s">
        <v>41</v>
      </c>
      <c r="D21" s="43" t="s">
        <v>84</v>
      </c>
      <c r="K21" s="11"/>
    </row>
    <row r="22" spans="1:11">
      <c r="A22" s="44">
        <v>2012</v>
      </c>
      <c r="B22" s="85">
        <f>E9+F9+G9</f>
        <v>-166</v>
      </c>
      <c r="C22" s="9">
        <f>C9+D9</f>
        <v>953</v>
      </c>
      <c r="D22" s="45">
        <f>-B22/C22</f>
        <v>0.17418677859391396</v>
      </c>
      <c r="E22" s="11"/>
      <c r="F22" s="11"/>
      <c r="G22" s="11"/>
      <c r="H22" s="11"/>
    </row>
    <row r="23" spans="1:11">
      <c r="A23" s="22">
        <v>2013</v>
      </c>
      <c r="B23" s="85">
        <f>E10+F10</f>
        <v>-108</v>
      </c>
      <c r="C23" s="9">
        <f>C10+D10+G10</f>
        <v>910</v>
      </c>
      <c r="D23" s="45">
        <f t="shared" ref="D23:D31" si="1">-B23/C23</f>
        <v>0.11868131868131868</v>
      </c>
    </row>
    <row r="24" spans="1:11">
      <c r="A24" s="44">
        <v>2014</v>
      </c>
      <c r="B24" s="85">
        <f>E11+F11</f>
        <v>-311</v>
      </c>
      <c r="C24" s="9">
        <f>C11+D11+G11</f>
        <v>340</v>
      </c>
      <c r="D24" s="45">
        <f t="shared" si="1"/>
        <v>0.91470588235294115</v>
      </c>
    </row>
    <row r="25" spans="1:11">
      <c r="A25" s="22">
        <v>2015</v>
      </c>
      <c r="B25" s="85">
        <f>E12+F12</f>
        <v>-308</v>
      </c>
      <c r="C25" s="9">
        <f>C12+D12+G12</f>
        <v>1713</v>
      </c>
      <c r="D25" s="45">
        <f t="shared" si="1"/>
        <v>0.17980151780502043</v>
      </c>
    </row>
    <row r="26" spans="1:11">
      <c r="A26" s="44">
        <v>2016</v>
      </c>
      <c r="B26" s="85">
        <f>E13+F13+G13</f>
        <v>-517</v>
      </c>
      <c r="C26" s="9">
        <f>C13+D13</f>
        <v>1357</v>
      </c>
      <c r="D26" s="45">
        <f t="shared" si="1"/>
        <v>0.38098747236551217</v>
      </c>
    </row>
    <row r="27" spans="1:11">
      <c r="A27" s="22">
        <v>2017</v>
      </c>
      <c r="B27" s="85">
        <f>E14+F14</f>
        <v>-448</v>
      </c>
      <c r="C27" s="9">
        <f>C14+D14+G14</f>
        <v>1051</v>
      </c>
      <c r="D27" s="45">
        <f t="shared" si="1"/>
        <v>0.42626070409134159</v>
      </c>
    </row>
    <row r="28" spans="1:11">
      <c r="A28" s="44">
        <v>2018</v>
      </c>
      <c r="B28" s="85">
        <f>E15+F15</f>
        <v>-120</v>
      </c>
      <c r="C28" s="9">
        <f>C15+D15+G15</f>
        <v>1129</v>
      </c>
      <c r="D28" s="45">
        <f t="shared" si="1"/>
        <v>0.10628875110717449</v>
      </c>
    </row>
    <row r="29" spans="1:11">
      <c r="A29" s="22">
        <v>2019</v>
      </c>
      <c r="B29" s="85">
        <f>E16+F16+G16</f>
        <v>-171</v>
      </c>
      <c r="C29" s="9">
        <f>C16+D16</f>
        <v>915</v>
      </c>
      <c r="D29" s="45">
        <f t="shared" si="1"/>
        <v>0.18688524590163935</v>
      </c>
    </row>
    <row r="30" spans="1:11">
      <c r="A30" s="44">
        <v>2020</v>
      </c>
      <c r="B30" s="85">
        <f>E17+F17+G17</f>
        <v>-312</v>
      </c>
      <c r="C30" s="9">
        <f>C17+D17</f>
        <v>1018</v>
      </c>
      <c r="D30" s="45">
        <f t="shared" si="1"/>
        <v>0.30648330058939094</v>
      </c>
    </row>
    <row r="31" spans="1:11">
      <c r="A31" s="46">
        <v>2021</v>
      </c>
      <c r="B31" s="86">
        <f>E18+F18+G18</f>
        <v>-275</v>
      </c>
      <c r="C31" s="35">
        <f>C18+D18</f>
        <v>1342</v>
      </c>
      <c r="D31" s="47">
        <f t="shared" si="1"/>
        <v>0.20491803278688525</v>
      </c>
    </row>
    <row r="32" spans="1:11" ht="14.65" thickBot="1">
      <c r="A32" s="179" t="s">
        <v>83</v>
      </c>
      <c r="B32" s="180"/>
      <c r="C32" s="181"/>
      <c r="D32" s="48">
        <f>AVERAGE(D22:D31)</f>
        <v>0.29991990042751382</v>
      </c>
    </row>
    <row r="33" spans="1:9">
      <c r="A33" s="4"/>
      <c r="B33" s="4"/>
      <c r="C33" s="4"/>
      <c r="D33" s="34"/>
    </row>
    <row r="34" spans="1:9">
      <c r="B34" s="11"/>
      <c r="C34" s="11"/>
      <c r="D34" s="34"/>
    </row>
    <row r="35" spans="1:9">
      <c r="A35" s="178" t="s">
        <v>80</v>
      </c>
      <c r="B35" s="178"/>
      <c r="C35" s="178"/>
    </row>
    <row r="36" spans="1:9" ht="14.65" thickBot="1">
      <c r="A36" t="s">
        <v>39</v>
      </c>
      <c r="B36" t="s">
        <v>43</v>
      </c>
    </row>
    <row r="37" spans="1:9" ht="39.4">
      <c r="A37" s="53"/>
      <c r="B37" s="50" t="s">
        <v>3</v>
      </c>
      <c r="C37" s="50" t="s">
        <v>34</v>
      </c>
      <c r="D37" s="50" t="s">
        <v>2</v>
      </c>
      <c r="E37" s="50" t="s">
        <v>33</v>
      </c>
      <c r="F37" s="50" t="s">
        <v>0</v>
      </c>
      <c r="G37" s="50" t="s">
        <v>1</v>
      </c>
      <c r="H37" s="50" t="s">
        <v>36</v>
      </c>
      <c r="I37" s="51" t="s">
        <v>37</v>
      </c>
    </row>
    <row r="38" spans="1:9">
      <c r="A38" s="36">
        <v>2012</v>
      </c>
      <c r="B38" s="9">
        <v>7374</v>
      </c>
      <c r="C38" s="9">
        <v>98</v>
      </c>
      <c r="D38" s="9">
        <v>168</v>
      </c>
      <c r="E38" s="9">
        <v>-15</v>
      </c>
      <c r="F38" s="9">
        <v>-342</v>
      </c>
      <c r="G38" s="9">
        <v>-18</v>
      </c>
      <c r="H38" s="9">
        <f t="shared" ref="H38:H47" si="2">SUM(C38:G38)</f>
        <v>-109</v>
      </c>
      <c r="I38" s="37">
        <f>B38+H38</f>
        <v>7265</v>
      </c>
    </row>
    <row r="39" spans="1:9">
      <c r="A39" s="36">
        <v>2013</v>
      </c>
      <c r="B39" s="9">
        <v>7265</v>
      </c>
      <c r="C39" s="9">
        <v>150</v>
      </c>
      <c r="D39" s="9">
        <v>120</v>
      </c>
      <c r="E39" s="9">
        <v>-15</v>
      </c>
      <c r="F39" s="9">
        <v>-228</v>
      </c>
      <c r="G39" s="9">
        <v>4</v>
      </c>
      <c r="H39" s="9">
        <f t="shared" si="2"/>
        <v>31</v>
      </c>
      <c r="I39" s="37">
        <f t="shared" ref="I39:I47" si="3">B39+H39</f>
        <v>7296</v>
      </c>
    </row>
    <row r="40" spans="1:9">
      <c r="A40" s="36">
        <v>2014</v>
      </c>
      <c r="B40" s="9">
        <v>7296</v>
      </c>
      <c r="C40" s="9">
        <v>13</v>
      </c>
      <c r="D40" s="9">
        <v>119</v>
      </c>
      <c r="E40" s="9">
        <v>-20</v>
      </c>
      <c r="F40" s="9">
        <v>-155</v>
      </c>
      <c r="G40" s="9">
        <v>-4</v>
      </c>
      <c r="H40" s="9">
        <f t="shared" si="2"/>
        <v>-47</v>
      </c>
      <c r="I40" s="37">
        <f t="shared" si="3"/>
        <v>7249</v>
      </c>
    </row>
    <row r="41" spans="1:9">
      <c r="A41" s="36">
        <v>2015</v>
      </c>
      <c r="B41" s="9">
        <v>7249</v>
      </c>
      <c r="C41" s="9">
        <v>48</v>
      </c>
      <c r="D41" s="9">
        <v>93</v>
      </c>
      <c r="E41" s="9">
        <v>-9</v>
      </c>
      <c r="F41" s="9">
        <v>-279</v>
      </c>
      <c r="G41" s="9">
        <v>2</v>
      </c>
      <c r="H41" s="9">
        <f t="shared" si="2"/>
        <v>-145</v>
      </c>
      <c r="I41" s="37">
        <f t="shared" si="3"/>
        <v>7104</v>
      </c>
    </row>
    <row r="42" spans="1:9">
      <c r="A42" s="36">
        <v>2016</v>
      </c>
      <c r="B42" s="9">
        <v>7104</v>
      </c>
      <c r="C42" s="9">
        <v>46</v>
      </c>
      <c r="D42" s="9">
        <v>155</v>
      </c>
      <c r="E42" s="9">
        <v>-28</v>
      </c>
      <c r="F42" s="9">
        <v>-139</v>
      </c>
      <c r="G42" s="9">
        <v>-5</v>
      </c>
      <c r="H42" s="9">
        <f t="shared" si="2"/>
        <v>29</v>
      </c>
      <c r="I42" s="37">
        <f t="shared" si="3"/>
        <v>7133</v>
      </c>
    </row>
    <row r="43" spans="1:9">
      <c r="A43" s="36">
        <v>2017</v>
      </c>
      <c r="B43" s="9">
        <v>7133</v>
      </c>
      <c r="C43" s="9">
        <v>56</v>
      </c>
      <c r="D43" s="9">
        <v>200</v>
      </c>
      <c r="E43" s="9">
        <v>-15</v>
      </c>
      <c r="F43" s="9">
        <v>-146</v>
      </c>
      <c r="G43" s="9">
        <v>57</v>
      </c>
      <c r="H43" s="9">
        <f t="shared" si="2"/>
        <v>152</v>
      </c>
      <c r="I43" s="37">
        <f t="shared" si="3"/>
        <v>7285</v>
      </c>
    </row>
    <row r="44" spans="1:9">
      <c r="A44" s="36">
        <v>2018</v>
      </c>
      <c r="B44" s="9">
        <v>7285</v>
      </c>
      <c r="C44" s="9">
        <v>44</v>
      </c>
      <c r="D44" s="9">
        <v>192</v>
      </c>
      <c r="E44" s="9">
        <v>-23</v>
      </c>
      <c r="F44" s="9">
        <v>-193</v>
      </c>
      <c r="G44" s="9">
        <v>21</v>
      </c>
      <c r="H44" s="9">
        <f t="shared" si="2"/>
        <v>41</v>
      </c>
      <c r="I44" s="37">
        <f t="shared" si="3"/>
        <v>7326</v>
      </c>
    </row>
    <row r="45" spans="1:9">
      <c r="A45" s="36">
        <v>2019</v>
      </c>
      <c r="B45" s="9">
        <v>7326</v>
      </c>
      <c r="C45" s="9">
        <v>16</v>
      </c>
      <c r="D45" s="9">
        <v>87</v>
      </c>
      <c r="E45" s="9">
        <v>-49</v>
      </c>
      <c r="F45" s="9">
        <v>-90</v>
      </c>
      <c r="G45" s="9">
        <v>-7</v>
      </c>
      <c r="H45" s="9">
        <f t="shared" si="2"/>
        <v>-43</v>
      </c>
      <c r="I45" s="37">
        <f t="shared" si="3"/>
        <v>7283</v>
      </c>
    </row>
    <row r="46" spans="1:9">
      <c r="A46" s="36">
        <v>2020</v>
      </c>
      <c r="B46" s="9">
        <v>7283</v>
      </c>
      <c r="C46" s="9">
        <v>82</v>
      </c>
      <c r="D46" s="9">
        <v>78</v>
      </c>
      <c r="E46" s="9">
        <v>-42</v>
      </c>
      <c r="F46" s="9">
        <v>-106</v>
      </c>
      <c r="G46" s="9">
        <v>0</v>
      </c>
      <c r="H46" s="9">
        <f t="shared" si="2"/>
        <v>12</v>
      </c>
      <c r="I46" s="37">
        <f t="shared" si="3"/>
        <v>7295</v>
      </c>
    </row>
    <row r="47" spans="1:9" ht="14.65" thickBot="1">
      <c r="A47" s="38">
        <v>2021</v>
      </c>
      <c r="B47" s="39">
        <v>7295</v>
      </c>
      <c r="C47" s="39">
        <v>36</v>
      </c>
      <c r="D47" s="39">
        <v>37</v>
      </c>
      <c r="E47" s="39">
        <v>-19</v>
      </c>
      <c r="F47" s="39">
        <v>-76</v>
      </c>
      <c r="G47" s="39">
        <v>-3</v>
      </c>
      <c r="H47" s="39">
        <f t="shared" si="2"/>
        <v>-25</v>
      </c>
      <c r="I47" s="40">
        <f t="shared" si="3"/>
        <v>7270</v>
      </c>
    </row>
    <row r="48" spans="1:9">
      <c r="A48" s="52"/>
      <c r="B48" s="11"/>
      <c r="C48" s="11"/>
      <c r="D48" s="11" t="s">
        <v>85</v>
      </c>
      <c r="E48" s="11"/>
      <c r="F48" s="11"/>
      <c r="G48" s="11"/>
      <c r="H48" s="11"/>
      <c r="I48" s="11"/>
    </row>
    <row r="49" spans="1:5" ht="14.65" thickBot="1">
      <c r="A49" s="178" t="s">
        <v>82</v>
      </c>
      <c r="B49" s="178"/>
      <c r="C49" s="178"/>
    </row>
    <row r="50" spans="1:5" ht="28.5">
      <c r="A50" s="41" t="s">
        <v>39</v>
      </c>
      <c r="B50" s="42" t="s">
        <v>40</v>
      </c>
      <c r="C50" s="42" t="s">
        <v>41</v>
      </c>
      <c r="D50" s="43" t="s">
        <v>86</v>
      </c>
    </row>
    <row r="51" spans="1:5">
      <c r="A51" s="44">
        <v>2012</v>
      </c>
      <c r="B51" s="85">
        <f>E38+F38+G38</f>
        <v>-375</v>
      </c>
      <c r="C51" s="9">
        <f>C38+D38</f>
        <v>266</v>
      </c>
      <c r="D51" s="45">
        <f>-B51/C51</f>
        <v>1.4097744360902256</v>
      </c>
    </row>
    <row r="52" spans="1:5">
      <c r="A52" s="22">
        <v>2013</v>
      </c>
      <c r="B52" s="85">
        <f>E39+F39</f>
        <v>-243</v>
      </c>
      <c r="C52" s="9">
        <f>C39+D39+G39</f>
        <v>274</v>
      </c>
      <c r="D52" s="45">
        <f t="shared" ref="D52:D60" si="4">-B52/C52</f>
        <v>0.88686131386861311</v>
      </c>
    </row>
    <row r="53" spans="1:5">
      <c r="A53" s="44">
        <v>2014</v>
      </c>
      <c r="B53" s="85">
        <f>E40+F40+G40</f>
        <v>-179</v>
      </c>
      <c r="C53" s="9">
        <f>C40+D40</f>
        <v>132</v>
      </c>
      <c r="D53" s="45">
        <f t="shared" si="4"/>
        <v>1.356060606060606</v>
      </c>
    </row>
    <row r="54" spans="1:5">
      <c r="A54" s="22">
        <v>2015</v>
      </c>
      <c r="B54" s="85">
        <f>E41+F41</f>
        <v>-288</v>
      </c>
      <c r="C54" s="9">
        <f>C41+D41+G41</f>
        <v>143</v>
      </c>
      <c r="D54" s="45">
        <f t="shared" si="4"/>
        <v>2.0139860139860142</v>
      </c>
    </row>
    <row r="55" spans="1:5">
      <c r="A55" s="44">
        <v>2016</v>
      </c>
      <c r="B55" s="85">
        <f>E42+F42+G42</f>
        <v>-172</v>
      </c>
      <c r="C55" s="9">
        <f t="shared" ref="C55:C58" si="5">C42+D42</f>
        <v>201</v>
      </c>
      <c r="D55" s="45">
        <f t="shared" si="4"/>
        <v>0.85572139303482586</v>
      </c>
    </row>
    <row r="56" spans="1:5">
      <c r="A56" s="22">
        <v>2017</v>
      </c>
      <c r="B56" s="85">
        <f>E43+F43</f>
        <v>-161</v>
      </c>
      <c r="C56" s="9">
        <f>C43+D43+G43</f>
        <v>313</v>
      </c>
      <c r="D56" s="45">
        <f t="shared" si="4"/>
        <v>0.51437699680511184</v>
      </c>
    </row>
    <row r="57" spans="1:5">
      <c r="A57" s="44">
        <v>2018</v>
      </c>
      <c r="B57" s="85">
        <f>E44+F44</f>
        <v>-216</v>
      </c>
      <c r="C57" s="9">
        <f>C44+D44+G44</f>
        <v>257</v>
      </c>
      <c r="D57" s="45">
        <f t="shared" si="4"/>
        <v>0.84046692607003892</v>
      </c>
    </row>
    <row r="58" spans="1:5">
      <c r="A58" s="22">
        <v>2019</v>
      </c>
      <c r="B58" s="85">
        <f>E45+F45+G45</f>
        <v>-146</v>
      </c>
      <c r="C58" s="9">
        <f t="shared" si="5"/>
        <v>103</v>
      </c>
      <c r="D58" s="45">
        <f t="shared" si="4"/>
        <v>1.4174757281553398</v>
      </c>
    </row>
    <row r="59" spans="1:5">
      <c r="A59" s="44">
        <v>2020</v>
      </c>
      <c r="B59" s="85">
        <f>E46+F46+G46</f>
        <v>-148</v>
      </c>
      <c r="C59" s="9">
        <f>C46+D46</f>
        <v>160</v>
      </c>
      <c r="D59" s="45">
        <f t="shared" si="4"/>
        <v>0.92500000000000004</v>
      </c>
    </row>
    <row r="60" spans="1:5">
      <c r="A60" s="46">
        <v>2021</v>
      </c>
      <c r="B60" s="86">
        <f>E47+F47+G47</f>
        <v>-98</v>
      </c>
      <c r="C60" s="35">
        <f>C47+D47</f>
        <v>73</v>
      </c>
      <c r="D60" s="47">
        <f t="shared" si="4"/>
        <v>1.3424657534246576</v>
      </c>
    </row>
    <row r="61" spans="1:5" ht="14.65" thickBot="1">
      <c r="A61" s="179" t="s">
        <v>83</v>
      </c>
      <c r="B61" s="180"/>
      <c r="C61" s="181"/>
      <c r="D61" s="48">
        <f>AVERAGE(D51:D60)</f>
        <v>1.1562189167495434</v>
      </c>
      <c r="E61" s="34"/>
    </row>
  </sheetData>
  <mergeCells count="6">
    <mergeCell ref="A49:C49"/>
    <mergeCell ref="A61:C61"/>
    <mergeCell ref="A32:C32"/>
    <mergeCell ref="A6:C6"/>
    <mergeCell ref="A20:C20"/>
    <mergeCell ref="A35:C35"/>
  </mergeCells>
  <phoneticPr fontId="1" type="noConversion"/>
  <hyperlinks>
    <hyperlink ref="B3" r:id="rId1" display="https://leiden.incijfers.nl/jive" xr:uid="{61EAB6A1-3E28-46D5-A829-5B51EF43D99E}"/>
    <hyperlink ref="B4" r:id="rId2" display="https://opendata.cbs.nl/statline/portal.html?_la=en&amp;_catalog=CBS&amp;tableId=81955ENG&amp;_theme=1149" xr:uid="{0231C983-7752-44BC-BFE8-F02B8B15ECB3}"/>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B6ED15-CBCE-4C39-A46C-F33FFF7C4451}">
  <dimension ref="A1:P54"/>
  <sheetViews>
    <sheetView workbookViewId="0">
      <selection activeCell="I8" sqref="I8"/>
    </sheetView>
  </sheetViews>
  <sheetFormatPr defaultRowHeight="14.25"/>
  <cols>
    <col min="1" max="1" width="10.86328125" customWidth="1"/>
    <col min="2" max="2" width="9.3984375" bestFit="1" customWidth="1"/>
    <col min="3" max="7" width="11.73046875" bestFit="1" customWidth="1"/>
    <col min="8" max="8" width="9.19921875" customWidth="1"/>
    <col min="9" max="9" width="12.796875" customWidth="1"/>
    <col min="10" max="10" width="16" customWidth="1"/>
    <col min="11" max="11" width="18.9296875" customWidth="1"/>
    <col min="12" max="12" width="18.6640625" customWidth="1"/>
    <col min="13" max="13" width="11.9296875" customWidth="1"/>
    <col min="14" max="14" width="17.19921875" customWidth="1"/>
  </cols>
  <sheetData>
    <row r="1" spans="1:16" ht="18">
      <c r="A1" s="31" t="s">
        <v>157</v>
      </c>
    </row>
    <row r="2" spans="1:16" ht="42.4" customHeight="1">
      <c r="A2" s="183" t="s">
        <v>92</v>
      </c>
      <c r="B2" s="183"/>
      <c r="C2" s="183"/>
      <c r="D2" s="183"/>
      <c r="E2" s="183"/>
      <c r="F2" s="183"/>
      <c r="G2" s="183"/>
      <c r="H2" s="183"/>
      <c r="I2" s="183"/>
      <c r="J2" s="183"/>
      <c r="K2" s="183"/>
      <c r="L2" s="183"/>
      <c r="M2" s="183"/>
      <c r="N2" s="183"/>
      <c r="O2" s="183"/>
      <c r="P2" s="183"/>
    </row>
    <row r="3" spans="1:16" s="54" customFormat="1" ht="46.5" customHeight="1">
      <c r="A3" s="177" t="s">
        <v>94</v>
      </c>
      <c r="B3" s="177"/>
      <c r="C3" s="177"/>
      <c r="D3" s="177"/>
      <c r="E3" s="177"/>
      <c r="F3" s="177"/>
      <c r="G3" s="177"/>
      <c r="H3" s="177"/>
      <c r="I3" s="177"/>
      <c r="J3" s="177"/>
      <c r="K3" s="177"/>
      <c r="L3" s="177"/>
      <c r="M3" s="177"/>
      <c r="N3" s="177"/>
      <c r="O3" s="177"/>
      <c r="P3" s="177"/>
    </row>
    <row r="4" spans="1:16" s="54" customFormat="1" ht="23.65" customHeight="1">
      <c r="A4" s="59" t="s">
        <v>93</v>
      </c>
    </row>
    <row r="5" spans="1:16" s="54" customFormat="1" ht="57.4" customHeight="1">
      <c r="A5" s="177" t="s">
        <v>95</v>
      </c>
      <c r="B5" s="177"/>
      <c r="C5" s="177"/>
      <c r="D5" s="177"/>
      <c r="E5" s="177"/>
      <c r="F5" s="177"/>
      <c r="G5" s="177"/>
      <c r="H5" s="177"/>
      <c r="I5" s="177"/>
      <c r="J5" s="177"/>
      <c r="K5" s="177"/>
      <c r="L5" s="177"/>
      <c r="M5" s="177"/>
      <c r="N5" s="177"/>
      <c r="O5" s="177"/>
    </row>
    <row r="6" spans="1:16" s="54" customFormat="1">
      <c r="A6" s="57"/>
      <c r="B6" s="57"/>
      <c r="C6" s="57"/>
      <c r="D6" s="57"/>
      <c r="E6" s="57"/>
      <c r="F6" s="57"/>
      <c r="G6" s="57"/>
      <c r="H6" s="57"/>
      <c r="I6" s="57"/>
      <c r="J6" s="57"/>
      <c r="K6" s="57"/>
      <c r="L6" s="57"/>
      <c r="M6" s="57"/>
      <c r="N6" s="57"/>
      <c r="O6" s="57"/>
    </row>
    <row r="7" spans="1:16" s="54" customFormat="1"/>
    <row r="8" spans="1:16" s="54" customFormat="1">
      <c r="A8" s="189" t="s">
        <v>97</v>
      </c>
      <c r="B8" s="189"/>
      <c r="C8" s="189"/>
      <c r="D8" s="189"/>
      <c r="E8" s="189"/>
      <c r="F8" s="189"/>
      <c r="G8" s="189"/>
      <c r="H8" s="189"/>
    </row>
    <row r="9" spans="1:16" s="54" customFormat="1" ht="14.65" thickBot="1">
      <c r="A9" s="54" t="s">
        <v>96</v>
      </c>
      <c r="D9" s="60"/>
    </row>
    <row r="10" spans="1:16">
      <c r="A10" s="184" t="s">
        <v>105</v>
      </c>
      <c r="B10" s="185"/>
      <c r="C10" s="185"/>
      <c r="D10" s="185"/>
      <c r="E10" s="185"/>
      <c r="F10" s="185"/>
      <c r="G10" s="185"/>
      <c r="H10" s="186"/>
      <c r="J10" s="184" t="s">
        <v>106</v>
      </c>
      <c r="K10" s="185"/>
      <c r="L10" s="185"/>
      <c r="M10" s="185"/>
      <c r="N10" s="186"/>
    </row>
    <row r="11" spans="1:16" ht="57">
      <c r="A11" s="76" t="s">
        <v>44</v>
      </c>
      <c r="B11" s="77" t="s">
        <v>98</v>
      </c>
      <c r="C11" s="77" t="s">
        <v>99</v>
      </c>
      <c r="D11" s="77" t="s">
        <v>100</v>
      </c>
      <c r="E11" s="77" t="s">
        <v>101</v>
      </c>
      <c r="F11" s="77" t="s">
        <v>102</v>
      </c>
      <c r="G11" s="77" t="s">
        <v>45</v>
      </c>
      <c r="H11" s="78" t="s">
        <v>103</v>
      </c>
      <c r="I11" s="33"/>
      <c r="J11" s="65" t="s">
        <v>44</v>
      </c>
      <c r="K11" s="63" t="s">
        <v>107</v>
      </c>
      <c r="L11" s="63" t="s">
        <v>108</v>
      </c>
      <c r="M11" s="63" t="s">
        <v>109</v>
      </c>
      <c r="N11" s="66" t="s">
        <v>110</v>
      </c>
      <c r="O11" s="33"/>
      <c r="P11" s="33"/>
    </row>
    <row r="12" spans="1:16">
      <c r="A12" s="22">
        <v>2019</v>
      </c>
      <c r="B12" s="12">
        <v>0</v>
      </c>
      <c r="C12" s="12">
        <v>52613</v>
      </c>
      <c r="D12" s="12">
        <v>1831</v>
      </c>
      <c r="E12" s="12">
        <v>14511</v>
      </c>
      <c r="F12" s="12">
        <v>68955</v>
      </c>
      <c r="G12" s="12">
        <f>B26</f>
        <v>171</v>
      </c>
      <c r="H12" s="61">
        <f>F12/G12</f>
        <v>403.24561403508773</v>
      </c>
      <c r="J12" s="22">
        <v>2019</v>
      </c>
      <c r="K12" s="64">
        <f>B12/$F$12</f>
        <v>0</v>
      </c>
      <c r="L12" s="64">
        <f>C12/$F$12</f>
        <v>0.76300485824088171</v>
      </c>
      <c r="M12" s="64">
        <f>D12/$F$12</f>
        <v>2.6553549416285984E-2</v>
      </c>
      <c r="N12" s="67">
        <f>E12/$F$12</f>
        <v>0.21044159234283227</v>
      </c>
    </row>
    <row r="13" spans="1:16">
      <c r="A13" s="22">
        <v>2020</v>
      </c>
      <c r="B13" s="12">
        <v>4096</v>
      </c>
      <c r="C13" s="12">
        <v>52114</v>
      </c>
      <c r="D13" s="12">
        <v>1298</v>
      </c>
      <c r="E13" s="12">
        <v>48733</v>
      </c>
      <c r="F13" s="12">
        <v>106241</v>
      </c>
      <c r="G13" s="12">
        <f>B27</f>
        <v>312</v>
      </c>
      <c r="H13" s="61">
        <f t="shared" ref="H13:H14" si="0">F13/G13</f>
        <v>340.51602564102564</v>
      </c>
      <c r="J13" s="22">
        <v>2020</v>
      </c>
      <c r="K13" s="64">
        <f>B13/$F$13</f>
        <v>3.8553853973513054E-2</v>
      </c>
      <c r="L13" s="64">
        <f>C13/$F$13</f>
        <v>0.49052625634171365</v>
      </c>
      <c r="M13" s="64">
        <f>D13/$F$13</f>
        <v>1.2217505482817368E-2</v>
      </c>
      <c r="N13" s="67">
        <f>E13/$F$13</f>
        <v>0.45870238420195591</v>
      </c>
    </row>
    <row r="14" spans="1:16">
      <c r="A14" s="22">
        <v>2021</v>
      </c>
      <c r="B14" s="12">
        <v>12082</v>
      </c>
      <c r="C14" s="12">
        <v>978</v>
      </c>
      <c r="D14" s="12">
        <v>0</v>
      </c>
      <c r="E14" s="12">
        <v>2340</v>
      </c>
      <c r="F14" s="12">
        <v>15400</v>
      </c>
      <c r="G14" s="12">
        <f>B28</f>
        <v>275</v>
      </c>
      <c r="H14" s="61">
        <f t="shared" si="0"/>
        <v>56</v>
      </c>
      <c r="J14" s="22">
        <v>2021</v>
      </c>
      <c r="K14" s="64">
        <f>B14/$F$14</f>
        <v>0.78454545454545455</v>
      </c>
      <c r="L14" s="64">
        <f>C14/$F$14</f>
        <v>6.3506493506493511E-2</v>
      </c>
      <c r="M14" s="64">
        <f>D14/$F$14</f>
        <v>0</v>
      </c>
      <c r="N14" s="67">
        <f>E14/$F$14</f>
        <v>0.15194805194805194</v>
      </c>
    </row>
    <row r="15" spans="1:16" ht="14.65" thickBot="1">
      <c r="A15" s="187" t="s">
        <v>104</v>
      </c>
      <c r="B15" s="188"/>
      <c r="C15" s="188"/>
      <c r="D15" s="188"/>
      <c r="E15" s="188"/>
      <c r="F15" s="188"/>
      <c r="G15" s="188"/>
      <c r="H15" s="62">
        <f>AVERAGE(H12:H14)</f>
        <v>266.58721322537116</v>
      </c>
      <c r="J15" s="25" t="s">
        <v>20</v>
      </c>
      <c r="K15" s="68">
        <f>AVERAGE(K12:K14)</f>
        <v>0.27436643617298923</v>
      </c>
      <c r="L15" s="68">
        <f t="shared" ref="L15:N15" si="1">AVERAGE(L12:L14)</f>
        <v>0.43901253602969631</v>
      </c>
      <c r="M15" s="68">
        <f t="shared" si="1"/>
        <v>1.2923684966367784E-2</v>
      </c>
      <c r="N15" s="69">
        <f t="shared" si="1"/>
        <v>0.27369734283094671</v>
      </c>
    </row>
    <row r="17" spans="1:8" ht="14.65" thickBot="1">
      <c r="A17" s="190" t="s">
        <v>111</v>
      </c>
      <c r="B17" s="190"/>
      <c r="C17" s="190"/>
      <c r="D17" s="190"/>
      <c r="E17" s="190"/>
      <c r="F17" s="190"/>
      <c r="G17" s="190"/>
      <c r="H17" s="70"/>
    </row>
    <row r="18" spans="1:8" ht="28.5">
      <c r="A18" s="53" t="s">
        <v>112</v>
      </c>
      <c r="B18" s="72" t="s">
        <v>115</v>
      </c>
      <c r="C18" s="72" t="s">
        <v>113</v>
      </c>
      <c r="D18" s="72" t="s">
        <v>98</v>
      </c>
      <c r="E18" s="72" t="s">
        <v>99</v>
      </c>
      <c r="F18" s="72" t="s">
        <v>114</v>
      </c>
      <c r="G18" s="73" t="s">
        <v>101</v>
      </c>
    </row>
    <row r="19" spans="1:8">
      <c r="A19" s="22">
        <v>2012</v>
      </c>
      <c r="B19" s="12">
        <f>-'1_Leiden raw data'!B22</f>
        <v>166</v>
      </c>
      <c r="C19" s="71">
        <f>B19*$H$15</f>
        <v>44253.47739541161</v>
      </c>
      <c r="D19" s="91">
        <f t="shared" ref="D19:D28" si="2">C19*$K$15</f>
        <v>12141.668881241021</v>
      </c>
      <c r="E19" s="91">
        <f t="shared" ref="E19:E28" si="3">C19*$L$15</f>
        <v>19427.831339492492</v>
      </c>
      <c r="F19" s="91">
        <f t="shared" ref="F19:F28" si="4">C19*$M$15</f>
        <v>571.91800052457756</v>
      </c>
      <c r="G19" s="92">
        <f t="shared" ref="G19:G28" si="5">C19*$N$15</f>
        <v>12112.059174153523</v>
      </c>
    </row>
    <row r="20" spans="1:8">
      <c r="A20" s="22">
        <v>2013</v>
      </c>
      <c r="B20" s="12">
        <f>-'1_Leiden raw data'!B23</f>
        <v>108</v>
      </c>
      <c r="C20" s="71">
        <f t="shared" ref="C20:C28" si="6">B20*$H$15</f>
        <v>28791.419028340086</v>
      </c>
      <c r="D20" s="91">
        <f t="shared" si="2"/>
        <v>7899.3990311688576</v>
      </c>
      <c r="E20" s="91">
        <f t="shared" si="3"/>
        <v>12639.793883525235</v>
      </c>
      <c r="F20" s="91">
        <f t="shared" si="4"/>
        <v>372.09122925695414</v>
      </c>
      <c r="G20" s="92">
        <f t="shared" si="5"/>
        <v>7880.1348843890391</v>
      </c>
    </row>
    <row r="21" spans="1:8">
      <c r="A21" s="22">
        <v>2014</v>
      </c>
      <c r="B21" s="12">
        <f>-'1_Leiden raw data'!B24</f>
        <v>311</v>
      </c>
      <c r="C21" s="71">
        <f t="shared" si="6"/>
        <v>82908.623313090429</v>
      </c>
      <c r="D21" s="91">
        <f t="shared" si="2"/>
        <v>22747.343506421432</v>
      </c>
      <c r="E21" s="91">
        <f t="shared" si="3"/>
        <v>36397.924979410629</v>
      </c>
      <c r="F21" s="91">
        <f t="shared" si="4"/>
        <v>1071.4849286936364</v>
      </c>
      <c r="G21" s="92">
        <f t="shared" si="5"/>
        <v>22691.869898564732</v>
      </c>
    </row>
    <row r="22" spans="1:8">
      <c r="A22" s="22">
        <v>2015</v>
      </c>
      <c r="B22" s="12">
        <f>-'1_Leiden raw data'!B25</f>
        <v>308</v>
      </c>
      <c r="C22" s="71">
        <f t="shared" si="6"/>
        <v>82108.861673414314</v>
      </c>
      <c r="D22" s="91">
        <f t="shared" si="2"/>
        <v>22527.91575555563</v>
      </c>
      <c r="E22" s="91">
        <f t="shared" si="3"/>
        <v>36046.819593757151</v>
      </c>
      <c r="F22" s="91">
        <f t="shared" si="4"/>
        <v>1061.1490612142766</v>
      </c>
      <c r="G22" s="92">
        <f t="shared" si="5"/>
        <v>22472.97726288726</v>
      </c>
    </row>
    <row r="23" spans="1:8">
      <c r="A23" s="22">
        <v>2016</v>
      </c>
      <c r="B23" s="12">
        <f>-'1_Leiden raw data'!B26</f>
        <v>517</v>
      </c>
      <c r="C23" s="71">
        <f t="shared" si="6"/>
        <v>137825.58923751689</v>
      </c>
      <c r="D23" s="91">
        <f t="shared" si="2"/>
        <v>37814.715732539808</v>
      </c>
      <c r="E23" s="91">
        <f t="shared" si="3"/>
        <v>60507.161460949508</v>
      </c>
      <c r="F23" s="91">
        <f t="shared" si="4"/>
        <v>1781.2144956096786</v>
      </c>
      <c r="G23" s="92">
        <f t="shared" si="5"/>
        <v>37722.497548417901</v>
      </c>
    </row>
    <row r="24" spans="1:8">
      <c r="A24" s="22">
        <v>2017</v>
      </c>
      <c r="B24" s="12">
        <f>-'1_Leiden raw data'!B27</f>
        <v>448</v>
      </c>
      <c r="C24" s="71">
        <f t="shared" si="6"/>
        <v>119431.07152496628</v>
      </c>
      <c r="D24" s="91">
        <f t="shared" si="2"/>
        <v>32767.877462626369</v>
      </c>
      <c r="E24" s="91">
        <f t="shared" si="3"/>
        <v>52431.737590919496</v>
      </c>
      <c r="F24" s="91">
        <f t="shared" si="4"/>
        <v>1543.4895435844021</v>
      </c>
      <c r="G24" s="92">
        <f t="shared" si="5"/>
        <v>32687.966927836012</v>
      </c>
    </row>
    <row r="25" spans="1:8">
      <c r="A25" s="22">
        <v>2018</v>
      </c>
      <c r="B25" s="12">
        <f>-'1_Leiden raw data'!B28</f>
        <v>120</v>
      </c>
      <c r="C25" s="71">
        <f t="shared" si="6"/>
        <v>31990.465587044539</v>
      </c>
      <c r="D25" s="91">
        <f t="shared" si="2"/>
        <v>8777.1100346320636</v>
      </c>
      <c r="E25" s="91">
        <f t="shared" si="3"/>
        <v>14044.21542613915</v>
      </c>
      <c r="F25" s="91">
        <f t="shared" si="4"/>
        <v>413.43469917439347</v>
      </c>
      <c r="G25" s="92">
        <f t="shared" si="5"/>
        <v>8755.705427098932</v>
      </c>
    </row>
    <row r="26" spans="1:8">
      <c r="A26" s="22">
        <v>2019</v>
      </c>
      <c r="B26" s="12">
        <f>-'1_Leiden raw data'!B29</f>
        <v>171</v>
      </c>
      <c r="C26" s="71">
        <f t="shared" si="6"/>
        <v>45586.413461538468</v>
      </c>
      <c r="D26" s="91">
        <f t="shared" si="2"/>
        <v>12507.381799350691</v>
      </c>
      <c r="E26" s="91">
        <f t="shared" si="3"/>
        <v>20013.006982248291</v>
      </c>
      <c r="F26" s="91">
        <f t="shared" si="4"/>
        <v>589.14444632351069</v>
      </c>
      <c r="G26" s="92">
        <f t="shared" si="5"/>
        <v>12476.880233615979</v>
      </c>
    </row>
    <row r="27" spans="1:8">
      <c r="A27" s="22">
        <v>2020</v>
      </c>
      <c r="B27" s="12">
        <f>-'1_Leiden raw data'!B30</f>
        <v>312</v>
      </c>
      <c r="C27" s="71">
        <f t="shared" si="6"/>
        <v>83175.210526315801</v>
      </c>
      <c r="D27" s="91">
        <f t="shared" si="2"/>
        <v>22820.486090043367</v>
      </c>
      <c r="E27" s="91">
        <f t="shared" si="3"/>
        <v>36514.960107961793</v>
      </c>
      <c r="F27" s="91">
        <f t="shared" si="4"/>
        <v>1074.9302178534231</v>
      </c>
      <c r="G27" s="92">
        <f t="shared" si="5"/>
        <v>22764.834110457225</v>
      </c>
    </row>
    <row r="28" spans="1:8" ht="14.65" thickBot="1">
      <c r="A28" s="25">
        <v>2021</v>
      </c>
      <c r="B28" s="74">
        <f>-'1_Leiden raw data'!B31</f>
        <v>275</v>
      </c>
      <c r="C28" s="75">
        <f t="shared" si="6"/>
        <v>73311.483636977064</v>
      </c>
      <c r="D28" s="93">
        <f t="shared" si="2"/>
        <v>20114.21049603181</v>
      </c>
      <c r="E28" s="93">
        <f t="shared" si="3"/>
        <v>32184.660351568884</v>
      </c>
      <c r="F28" s="93">
        <f t="shared" si="4"/>
        <v>947.45451894131827</v>
      </c>
      <c r="G28" s="94">
        <f t="shared" si="5"/>
        <v>20065.158270435051</v>
      </c>
    </row>
    <row r="33" spans="1:12">
      <c r="A33" s="189" t="s">
        <v>116</v>
      </c>
      <c r="B33" s="189"/>
      <c r="C33" s="189"/>
      <c r="D33" s="189"/>
      <c r="E33" s="189"/>
      <c r="F33" s="189"/>
      <c r="G33" s="189"/>
      <c r="H33" s="189"/>
    </row>
    <row r="34" spans="1:12" ht="14.65" thickBot="1">
      <c r="A34" s="54" t="s">
        <v>96</v>
      </c>
      <c r="B34" s="54"/>
      <c r="C34" s="54"/>
      <c r="D34" s="60"/>
      <c r="E34" s="54"/>
      <c r="F34" s="54"/>
      <c r="G34" s="54"/>
      <c r="H34" s="54"/>
    </row>
    <row r="35" spans="1:12">
      <c r="A35" s="191" t="s">
        <v>105</v>
      </c>
      <c r="B35" s="192"/>
      <c r="C35" s="192"/>
      <c r="D35" s="192"/>
      <c r="E35" s="192"/>
      <c r="F35" s="192"/>
      <c r="G35" s="193"/>
      <c r="I35" s="191" t="s">
        <v>106</v>
      </c>
      <c r="J35" s="192"/>
      <c r="K35" s="192"/>
      <c r="L35" s="193"/>
    </row>
    <row r="36" spans="1:12" ht="28.5">
      <c r="A36" s="65" t="s">
        <v>44</v>
      </c>
      <c r="B36" s="63" t="s">
        <v>117</v>
      </c>
      <c r="C36" s="63" t="s">
        <v>118</v>
      </c>
      <c r="D36" s="63" t="s">
        <v>119</v>
      </c>
      <c r="E36" s="63" t="s">
        <v>120</v>
      </c>
      <c r="F36" s="63" t="s">
        <v>45</v>
      </c>
      <c r="G36" s="66" t="s">
        <v>103</v>
      </c>
      <c r="I36" s="65" t="s">
        <v>44</v>
      </c>
      <c r="J36" s="63" t="s">
        <v>121</v>
      </c>
      <c r="K36" s="63" t="s">
        <v>122</v>
      </c>
      <c r="L36" s="66" t="s">
        <v>123</v>
      </c>
    </row>
    <row r="37" spans="1:12">
      <c r="A37" s="22">
        <v>2019</v>
      </c>
      <c r="B37" s="12">
        <v>0</v>
      </c>
      <c r="C37" s="12">
        <v>1845</v>
      </c>
      <c r="D37" s="12">
        <v>22706</v>
      </c>
      <c r="E37" s="12">
        <v>24551</v>
      </c>
      <c r="F37" s="12">
        <f>B52</f>
        <v>146</v>
      </c>
      <c r="G37" s="61">
        <f>E37/F37</f>
        <v>168.15753424657535</v>
      </c>
      <c r="I37" s="22">
        <v>2019</v>
      </c>
      <c r="J37" s="64">
        <f>B37/E37</f>
        <v>0</v>
      </c>
      <c r="K37" s="64">
        <f>C37/E37</f>
        <v>7.5149688403731013E-2</v>
      </c>
      <c r="L37" s="67">
        <f>D37/E37</f>
        <v>0.92485031159626896</v>
      </c>
    </row>
    <row r="38" spans="1:12">
      <c r="A38" s="22">
        <v>2020</v>
      </c>
      <c r="B38" s="12">
        <v>0</v>
      </c>
      <c r="C38" s="12">
        <v>1590</v>
      </c>
      <c r="D38" s="12">
        <v>3796</v>
      </c>
      <c r="E38" s="12">
        <v>5386</v>
      </c>
      <c r="F38" s="12">
        <f>B53</f>
        <v>148</v>
      </c>
      <c r="G38" s="61">
        <f t="shared" ref="G38:G39" si="7">E38/F38</f>
        <v>36.391891891891895</v>
      </c>
      <c r="I38" s="22">
        <v>2020</v>
      </c>
      <c r="J38" s="64">
        <f>B38/E38</f>
        <v>0</v>
      </c>
      <c r="K38" s="64">
        <f>C38/E38</f>
        <v>0.29520980319346452</v>
      </c>
      <c r="L38" s="67">
        <f>D38/E38</f>
        <v>0.70479019680653543</v>
      </c>
    </row>
    <row r="39" spans="1:12">
      <c r="A39" s="22">
        <v>2021</v>
      </c>
      <c r="B39" s="12">
        <v>15124</v>
      </c>
      <c r="C39" s="12">
        <v>1321</v>
      </c>
      <c r="D39" s="12">
        <v>32317</v>
      </c>
      <c r="E39" s="12">
        <v>48762</v>
      </c>
      <c r="F39" s="12">
        <f>B54</f>
        <v>98</v>
      </c>
      <c r="G39" s="61">
        <f t="shared" si="7"/>
        <v>497.57142857142856</v>
      </c>
      <c r="I39" s="22">
        <v>2021</v>
      </c>
      <c r="J39" s="64">
        <f>B39/E39</f>
        <v>0.31015955046962801</v>
      </c>
      <c r="K39" s="64">
        <f>C39/E39</f>
        <v>2.7090767400844921E-2</v>
      </c>
      <c r="L39" s="67">
        <f>D39/E39</f>
        <v>0.66274968212952712</v>
      </c>
    </row>
    <row r="40" spans="1:12" ht="14.65" thickBot="1">
      <c r="A40" s="179" t="s">
        <v>104</v>
      </c>
      <c r="B40" s="180"/>
      <c r="C40" s="180"/>
      <c r="D40" s="180"/>
      <c r="E40" s="180"/>
      <c r="F40" s="181"/>
      <c r="G40" s="62">
        <f>AVERAGE(G37:G39)</f>
        <v>234.04028490329861</v>
      </c>
      <c r="I40" s="25" t="s">
        <v>20</v>
      </c>
      <c r="J40" s="68">
        <f>AVERAGE(J37:J39)</f>
        <v>0.10338651682320933</v>
      </c>
      <c r="K40" s="68">
        <f t="shared" ref="K40" si="8">AVERAGE(K37:K39)</f>
        <v>0.13248341966601349</v>
      </c>
      <c r="L40" s="69">
        <f t="shared" ref="L40" si="9">AVERAGE(L37:L39)</f>
        <v>0.76413006351077717</v>
      </c>
    </row>
    <row r="43" spans="1:12" ht="14.65" thickBot="1">
      <c r="A43" s="190" t="s">
        <v>125</v>
      </c>
      <c r="B43" s="190"/>
      <c r="C43" s="190"/>
      <c r="D43" s="190"/>
      <c r="E43" s="190"/>
      <c r="F43" s="190"/>
      <c r="G43" s="70"/>
    </row>
    <row r="44" spans="1:12" ht="28.5">
      <c r="A44" s="79" t="s">
        <v>112</v>
      </c>
      <c r="B44" s="80" t="s">
        <v>124</v>
      </c>
      <c r="C44" s="80" t="s">
        <v>126</v>
      </c>
      <c r="D44" s="80" t="s">
        <v>117</v>
      </c>
      <c r="E44" s="80" t="s">
        <v>118</v>
      </c>
      <c r="F44" s="81" t="s">
        <v>119</v>
      </c>
    </row>
    <row r="45" spans="1:12">
      <c r="A45" s="22">
        <v>2012</v>
      </c>
      <c r="B45" s="12">
        <f>-'1_Leiden raw data'!B51</f>
        <v>375</v>
      </c>
      <c r="C45" s="83">
        <f>B45*$G$40</f>
        <v>87765.106838736974</v>
      </c>
      <c r="D45" s="87">
        <f t="shared" ref="D45:D54" si="10">$J$40*C45</f>
        <v>9073.7286946738441</v>
      </c>
      <c r="E45" s="87">
        <f t="shared" ref="E45:E54" si="11">$K$40*C45</f>
        <v>11627.421481348902</v>
      </c>
      <c r="F45" s="88">
        <f t="shared" ref="F45:F54" si="12">$L$40*C45</f>
        <v>67063.956662714234</v>
      </c>
    </row>
    <row r="46" spans="1:12">
      <c r="A46" s="22">
        <v>2013</v>
      </c>
      <c r="B46" s="12">
        <f>-'1_Leiden raw data'!B52</f>
        <v>243</v>
      </c>
      <c r="C46" s="83">
        <f t="shared" ref="C46:C54" si="13">B46*$G$40</f>
        <v>56871.789231501563</v>
      </c>
      <c r="D46" s="87">
        <f t="shared" si="10"/>
        <v>5879.7761941486515</v>
      </c>
      <c r="E46" s="87">
        <f t="shared" si="11"/>
        <v>7534.5691199140883</v>
      </c>
      <c r="F46" s="88">
        <f t="shared" si="12"/>
        <v>43457.443917438824</v>
      </c>
    </row>
    <row r="47" spans="1:12">
      <c r="A47" s="22">
        <v>2014</v>
      </c>
      <c r="B47" s="12">
        <f>-'1_Leiden raw data'!B53</f>
        <v>179</v>
      </c>
      <c r="C47" s="83">
        <f t="shared" si="13"/>
        <v>41893.210997690454</v>
      </c>
      <c r="D47" s="87">
        <f t="shared" si="10"/>
        <v>4331.1931635909823</v>
      </c>
      <c r="E47" s="87">
        <f t="shared" si="11"/>
        <v>5550.1558537638757</v>
      </c>
      <c r="F47" s="88">
        <f t="shared" si="12"/>
        <v>32011.861980335594</v>
      </c>
    </row>
    <row r="48" spans="1:12">
      <c r="A48" s="22">
        <v>2015</v>
      </c>
      <c r="B48" s="12">
        <f>-'1_Leiden raw data'!B54</f>
        <v>288</v>
      </c>
      <c r="C48" s="83">
        <f t="shared" si="13"/>
        <v>67403.602052150003</v>
      </c>
      <c r="D48" s="87">
        <f t="shared" si="10"/>
        <v>6968.6236375095132</v>
      </c>
      <c r="E48" s="87">
        <f t="shared" si="11"/>
        <v>8929.8596976759563</v>
      </c>
      <c r="F48" s="88">
        <f t="shared" si="12"/>
        <v>51505.118716964535</v>
      </c>
    </row>
    <row r="49" spans="1:6">
      <c r="A49" s="22">
        <v>2016</v>
      </c>
      <c r="B49" s="12">
        <f>-'1_Leiden raw data'!B55</f>
        <v>172</v>
      </c>
      <c r="C49" s="83">
        <f t="shared" si="13"/>
        <v>40254.929003367361</v>
      </c>
      <c r="D49" s="87">
        <f t="shared" si="10"/>
        <v>4161.8168946237365</v>
      </c>
      <c r="E49" s="87">
        <f t="shared" si="11"/>
        <v>5333.110652778696</v>
      </c>
      <c r="F49" s="88">
        <f t="shared" si="12"/>
        <v>30760.001455964928</v>
      </c>
    </row>
    <row r="50" spans="1:6">
      <c r="A50" s="22">
        <v>2017</v>
      </c>
      <c r="B50" s="12">
        <f>-'1_Leiden raw data'!B56</f>
        <v>161</v>
      </c>
      <c r="C50" s="83">
        <f t="shared" si="13"/>
        <v>37680.485869431075</v>
      </c>
      <c r="D50" s="87">
        <f t="shared" si="10"/>
        <v>3895.6541862466374</v>
      </c>
      <c r="E50" s="87">
        <f t="shared" si="11"/>
        <v>4992.0396226591283</v>
      </c>
      <c r="F50" s="88">
        <f t="shared" si="12"/>
        <v>28792.792060525309</v>
      </c>
    </row>
    <row r="51" spans="1:6">
      <c r="A51" s="22">
        <v>2018</v>
      </c>
      <c r="B51" s="12">
        <f>-'1_Leiden raw data'!B57</f>
        <v>216</v>
      </c>
      <c r="C51" s="83">
        <f t="shared" si="13"/>
        <v>50552.701539112502</v>
      </c>
      <c r="D51" s="87">
        <f t="shared" si="10"/>
        <v>5226.4677281321347</v>
      </c>
      <c r="E51" s="87">
        <f t="shared" si="11"/>
        <v>6697.3947732569677</v>
      </c>
      <c r="F51" s="88">
        <f t="shared" si="12"/>
        <v>38628.839037723403</v>
      </c>
    </row>
    <row r="52" spans="1:6">
      <c r="A52" s="22">
        <v>2019</v>
      </c>
      <c r="B52" s="12">
        <f>-'1_Leiden raw data'!B58</f>
        <v>146</v>
      </c>
      <c r="C52" s="83">
        <f t="shared" si="13"/>
        <v>34169.881595881598</v>
      </c>
      <c r="D52" s="87">
        <f t="shared" si="10"/>
        <v>3532.7050384596837</v>
      </c>
      <c r="E52" s="87">
        <f t="shared" si="11"/>
        <v>4526.9427634051726</v>
      </c>
      <c r="F52" s="88">
        <f t="shared" si="12"/>
        <v>26110.233794016742</v>
      </c>
    </row>
    <row r="53" spans="1:6">
      <c r="A53" s="22">
        <v>2020</v>
      </c>
      <c r="B53" s="12">
        <f>-'1_Leiden raw data'!B59</f>
        <v>148</v>
      </c>
      <c r="C53" s="83">
        <f t="shared" si="13"/>
        <v>34637.962165688194</v>
      </c>
      <c r="D53" s="87">
        <f t="shared" si="10"/>
        <v>3581.0982581646108</v>
      </c>
      <c r="E53" s="87">
        <f t="shared" si="11"/>
        <v>4588.9556779723662</v>
      </c>
      <c r="F53" s="88">
        <f t="shared" si="12"/>
        <v>26467.908229551216</v>
      </c>
    </row>
    <row r="54" spans="1:6" ht="14.65" thickBot="1">
      <c r="A54" s="25">
        <v>2021</v>
      </c>
      <c r="B54" s="74">
        <f>-'1_Leiden raw data'!B60</f>
        <v>98</v>
      </c>
      <c r="C54" s="84">
        <f t="shared" si="13"/>
        <v>22935.947920523264</v>
      </c>
      <c r="D54" s="89">
        <f t="shared" si="10"/>
        <v>2371.2677655414313</v>
      </c>
      <c r="E54" s="89">
        <f t="shared" si="11"/>
        <v>3038.6328137925129</v>
      </c>
      <c r="F54" s="90">
        <f t="shared" si="12"/>
        <v>17526.047341189318</v>
      </c>
    </row>
  </sheetData>
  <mergeCells count="13">
    <mergeCell ref="A43:F43"/>
    <mergeCell ref="A17:G17"/>
    <mergeCell ref="A33:H33"/>
    <mergeCell ref="A40:F40"/>
    <mergeCell ref="A35:G35"/>
    <mergeCell ref="I35:L35"/>
    <mergeCell ref="A2:P2"/>
    <mergeCell ref="A3:P3"/>
    <mergeCell ref="A5:O5"/>
    <mergeCell ref="A10:H10"/>
    <mergeCell ref="A15:G15"/>
    <mergeCell ref="A8:H8"/>
    <mergeCell ref="J10:N10"/>
  </mergeCells>
  <phoneticPr fontId="1" type="noConversion"/>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8B17DA-1406-4533-8F64-776481698301}">
  <dimension ref="A1:Q75"/>
  <sheetViews>
    <sheetView topLeftCell="A37" workbookViewId="0">
      <selection activeCell="A20" sqref="A20:E20"/>
    </sheetView>
  </sheetViews>
  <sheetFormatPr defaultRowHeight="14.25"/>
  <cols>
    <col min="2" max="2" width="10.6640625" customWidth="1"/>
    <col min="8" max="8" width="7.06640625" customWidth="1"/>
    <col min="13" max="13" width="9.86328125" customWidth="1"/>
    <col min="14" max="14" width="10.3984375" customWidth="1"/>
  </cols>
  <sheetData>
    <row r="1" spans="1:17" ht="15" customHeight="1">
      <c r="A1" s="31" t="s">
        <v>158</v>
      </c>
    </row>
    <row r="2" spans="1:17" ht="21.4" customHeight="1">
      <c r="A2" t="s">
        <v>127</v>
      </c>
    </row>
    <row r="3" spans="1:17" ht="15" customHeight="1">
      <c r="A3" s="59" t="s">
        <v>128</v>
      </c>
      <c r="B3" s="59"/>
      <c r="C3" s="59"/>
      <c r="D3" s="59"/>
      <c r="E3" s="59"/>
      <c r="F3" s="59"/>
      <c r="G3" s="59"/>
      <c r="H3" s="59"/>
      <c r="I3" s="59"/>
    </row>
    <row r="4" spans="1:17" ht="15" customHeight="1">
      <c r="A4" t="s">
        <v>184</v>
      </c>
    </row>
    <row r="5" spans="1:17" ht="15" customHeight="1"/>
    <row r="7" spans="1:17" ht="14.65" thickBot="1">
      <c r="A7" s="189" t="s">
        <v>132</v>
      </c>
      <c r="B7" s="189"/>
      <c r="C7" s="189"/>
      <c r="D7" s="189"/>
      <c r="E7" s="189"/>
      <c r="F7" s="189"/>
      <c r="G7" s="189"/>
      <c r="H7" s="189"/>
    </row>
    <row r="8" spans="1:17" ht="28.5">
      <c r="A8" s="97"/>
      <c r="B8" s="104" t="str">
        <f>'2_D_Surface area conversion'!D18</f>
        <v>Row house (m2)</v>
      </c>
      <c r="C8" s="98" t="s">
        <v>129</v>
      </c>
      <c r="D8" s="98" t="s">
        <v>130</v>
      </c>
      <c r="E8" s="98" t="s">
        <v>131</v>
      </c>
      <c r="F8" s="104" t="str">
        <f>'2_D_Surface area conversion'!E18</f>
        <v>High rise (m2)</v>
      </c>
      <c r="G8" s="98" t="s">
        <v>129</v>
      </c>
      <c r="H8" s="98" t="s">
        <v>130</v>
      </c>
      <c r="I8" s="98" t="s">
        <v>131</v>
      </c>
      <c r="J8" s="104" t="str">
        <f>'2_D_Surface area conversion'!F18</f>
        <v>Detached (m2)</v>
      </c>
      <c r="K8" s="98" t="s">
        <v>129</v>
      </c>
      <c r="L8" s="98" t="s">
        <v>130</v>
      </c>
      <c r="M8" s="98" t="s">
        <v>131</v>
      </c>
      <c r="N8" s="104" t="str">
        <f>'2_D_Surface area conversion'!G18</f>
        <v xml:space="preserve">Apartement (m2) </v>
      </c>
      <c r="O8" s="98" t="s">
        <v>129</v>
      </c>
      <c r="P8" s="98" t="s">
        <v>130</v>
      </c>
      <c r="Q8" s="99" t="s">
        <v>131</v>
      </c>
    </row>
    <row r="9" spans="1:17">
      <c r="A9" s="22">
        <v>2012</v>
      </c>
      <c r="B9" s="105">
        <f>'2_D_Surface area conversion'!D19</f>
        <v>12141.668881241021</v>
      </c>
      <c r="C9" s="95">
        <f>0.001*B9*'9_MI'!$E$27</f>
        <v>1506.7377191087564</v>
      </c>
      <c r="D9" s="95">
        <f>0.001*B9*'9_MI'!$G$27</f>
        <v>0</v>
      </c>
      <c r="E9" s="95">
        <f>0.001*B9*'9_MI'!$H$27</f>
        <v>841.02144049067601</v>
      </c>
      <c r="F9" s="105">
        <f>'2_D_Surface area conversion'!E19</f>
        <v>19427.831339492492</v>
      </c>
      <c r="G9" s="95">
        <f>F9*0.001*'9_MI'!$E$37</f>
        <v>4774.9714770390865</v>
      </c>
      <c r="H9" s="95">
        <f>F9*0.001*'9_MI'!$G$37</f>
        <v>0</v>
      </c>
      <c r="I9" s="95">
        <f>F9*0.001*'9_MI'!$H$37</f>
        <v>1186.78057621482</v>
      </c>
      <c r="J9" s="105">
        <f>'2_D_Surface area conversion'!F19</f>
        <v>571.91800052457756</v>
      </c>
      <c r="K9" s="95">
        <f>J9*0.001*'9_MI'!$E$32</f>
        <v>363.33614150973159</v>
      </c>
      <c r="L9" s="95">
        <f>J9*0.001*'9_MI'!$G$32</f>
        <v>0</v>
      </c>
      <c r="M9" s="95">
        <f>J9*0.001*'9_MI'!$H$32</f>
        <v>141.09193068293277</v>
      </c>
      <c r="N9" s="105">
        <f>'2_D_Surface area conversion'!G19</f>
        <v>12112.059174153523</v>
      </c>
      <c r="O9" s="96">
        <f>N9*0.001*'9_MI'!$E$42</f>
        <v>3758.0887570159334</v>
      </c>
      <c r="P9" s="96">
        <f>N9*0.001*'9_MI'!$G$42</f>
        <v>0</v>
      </c>
      <c r="Q9" s="100">
        <f>N9*0.001*'9_MI'!$H$42</f>
        <v>594.64442794425815</v>
      </c>
    </row>
    <row r="10" spans="1:17">
      <c r="A10" s="22">
        <v>2013</v>
      </c>
      <c r="B10" s="105">
        <f>'2_D_Surface area conversion'!D20</f>
        <v>7899.3990311688576</v>
      </c>
      <c r="C10" s="95">
        <f>0.001*B10*'9_MI'!$E$27</f>
        <v>980.28719074545609</v>
      </c>
      <c r="D10" s="95">
        <f>0.001*B10*'9_MI'!$G$27</f>
        <v>0</v>
      </c>
      <c r="E10" s="95">
        <f>0.001*B10*'9_MI'!$H$27</f>
        <v>547.17057574092178</v>
      </c>
      <c r="F10" s="105">
        <f>'2_D_Surface area conversion'!E20</f>
        <v>12639.793883525235</v>
      </c>
      <c r="G10" s="95">
        <f>F10*0.001*'9_MI'!$E$37</f>
        <v>3106.6079489169965</v>
      </c>
      <c r="H10" s="95">
        <f>F10*0.001*'9_MI'!$G$37</f>
        <v>0</v>
      </c>
      <c r="I10" s="95">
        <f>F10*0.001*'9_MI'!$H$37</f>
        <v>772.12230259759372</v>
      </c>
      <c r="J10" s="105">
        <f>'2_D_Surface area conversion'!F20</f>
        <v>372.09122925695414</v>
      </c>
      <c r="K10" s="95">
        <f>J10*0.001*'9_MI'!$E$32</f>
        <v>236.38736917500614</v>
      </c>
      <c r="L10" s="95">
        <f>J10*0.001*'9_MI'!$G$32</f>
        <v>0</v>
      </c>
      <c r="M10" s="95">
        <f>J10*0.001*'9_MI'!$H$32</f>
        <v>91.794750082871943</v>
      </c>
      <c r="N10" s="105">
        <f>'2_D_Surface area conversion'!G20</f>
        <v>7880.1348843890391</v>
      </c>
      <c r="O10" s="96">
        <f>N10*0.001*'9_MI'!$E$42</f>
        <v>2445.0216009501255</v>
      </c>
      <c r="P10" s="96">
        <f>N10*0.001*'9_MI'!$G$42</f>
        <v>0</v>
      </c>
      <c r="Q10" s="100">
        <f>N10*0.001*'9_MI'!$H$42</f>
        <v>386.87709769867405</v>
      </c>
    </row>
    <row r="11" spans="1:17">
      <c r="A11" s="22">
        <v>2014</v>
      </c>
      <c r="B11" s="105">
        <f>'2_D_Surface area conversion'!D21</f>
        <v>22747.343506421432</v>
      </c>
      <c r="C11" s="95">
        <f>0.001*B11*'9_MI'!$E$27</f>
        <v>2822.8640400170079</v>
      </c>
      <c r="D11" s="95">
        <f>0.001*B11*'9_MI'!$G$27</f>
        <v>0</v>
      </c>
      <c r="E11" s="95">
        <f>0.001*B11*'9_MI'!$H$27</f>
        <v>1575.6486023650618</v>
      </c>
      <c r="F11" s="105">
        <f>'2_D_Surface area conversion'!E21</f>
        <v>36397.924979410629</v>
      </c>
      <c r="G11" s="95">
        <f>F11*0.001*'9_MI'!$E$37</f>
        <v>8945.8802973443126</v>
      </c>
      <c r="H11" s="95">
        <f>F11*0.001*'9_MI'!$G$37</f>
        <v>0</v>
      </c>
      <c r="I11" s="95">
        <f>F11*0.001*'9_MI'!$H$37</f>
        <v>2223.4262602578856</v>
      </c>
      <c r="J11" s="105">
        <f>'2_D_Surface area conversion'!F21</f>
        <v>1071.4849286936364</v>
      </c>
      <c r="K11" s="95">
        <f>J11*0.001*'9_MI'!$E$32</f>
        <v>680.70807234654558</v>
      </c>
      <c r="L11" s="95">
        <f>J11*0.001*'9_MI'!$G$32</f>
        <v>0</v>
      </c>
      <c r="M11" s="95">
        <f>J11*0.001*'9_MI'!$H$32</f>
        <v>264.33488218308497</v>
      </c>
      <c r="N11" s="105">
        <f>'2_D_Surface area conversion'!G21</f>
        <v>22691.869898564732</v>
      </c>
      <c r="O11" s="96">
        <f>N11*0.001*'9_MI'!$E$42</f>
        <v>7040.7566471804539</v>
      </c>
      <c r="P11" s="96">
        <f>N11*0.001*'9_MI'!$G$42</f>
        <v>0</v>
      </c>
      <c r="Q11" s="100">
        <f>N11*0.001*'9_MI'!$H$42</f>
        <v>1114.0627535582187</v>
      </c>
    </row>
    <row r="12" spans="1:17">
      <c r="A12" s="22">
        <v>2015</v>
      </c>
      <c r="B12" s="105">
        <f>'2_D_Surface area conversion'!D22</f>
        <v>22527.91575555563</v>
      </c>
      <c r="C12" s="95">
        <f>0.001*B12*'9_MI'!$E$27</f>
        <v>2795.6338402740785</v>
      </c>
      <c r="D12" s="95">
        <f>0.001*B12*'9_MI'!$G$27</f>
        <v>0</v>
      </c>
      <c r="E12" s="95">
        <f>0.001*B12*'9_MI'!$H$27</f>
        <v>1560.4494197055919</v>
      </c>
      <c r="F12" s="105">
        <f>'2_D_Surface area conversion'!E22</f>
        <v>36046.819593757151</v>
      </c>
      <c r="G12" s="95">
        <f>F12*0.001*'9_MI'!$E$37</f>
        <v>8859.5856320966177</v>
      </c>
      <c r="H12" s="95">
        <f>F12*0.001*'9_MI'!$G$37</f>
        <v>0</v>
      </c>
      <c r="I12" s="95">
        <f>F12*0.001*'9_MI'!$H$37</f>
        <v>2201.9784185190633</v>
      </c>
      <c r="J12" s="105">
        <f>'2_D_Surface area conversion'!F22</f>
        <v>1061.1490612142766</v>
      </c>
      <c r="K12" s="95">
        <f>J12*0.001*'9_MI'!$E$32</f>
        <v>674.1417565361287</v>
      </c>
      <c r="L12" s="95">
        <f>J12*0.001*'9_MI'!$G$32</f>
        <v>0</v>
      </c>
      <c r="M12" s="95">
        <f>J12*0.001*'9_MI'!$H$32</f>
        <v>261.78502801411628</v>
      </c>
      <c r="N12" s="105">
        <f>'2_D_Surface area conversion'!G22</f>
        <v>22472.97726288726</v>
      </c>
      <c r="O12" s="96">
        <f>N12*0.001*'9_MI'!$E$42</f>
        <v>6972.8393804873949</v>
      </c>
      <c r="P12" s="96">
        <f>N12*0.001*'9_MI'!$G$42</f>
        <v>0</v>
      </c>
      <c r="Q12" s="100">
        <f>N12*0.001*'9_MI'!$H$42</f>
        <v>1103.3161675110332</v>
      </c>
    </row>
    <row r="13" spans="1:17">
      <c r="A13" s="22">
        <v>2016</v>
      </c>
      <c r="B13" s="105">
        <f>'2_D_Surface area conversion'!D23</f>
        <v>37814.715732539808</v>
      </c>
      <c r="C13" s="95">
        <f>0.001*B13*'9_MI'!$E$27</f>
        <v>4692.6710890314889</v>
      </c>
      <c r="D13" s="95">
        <f>0.001*B13*'9_MI'!$G$27</f>
        <v>0</v>
      </c>
      <c r="E13" s="95">
        <f>0.001*B13*'9_MI'!$H$27</f>
        <v>2619.3258116486718</v>
      </c>
      <c r="F13" s="105">
        <f>'2_D_Surface area conversion'!E23</f>
        <v>60507.161460949508</v>
      </c>
      <c r="G13" s="95">
        <f>F13*0.001*'9_MI'!$E$37</f>
        <v>14871.447311019325</v>
      </c>
      <c r="H13" s="95">
        <f>F13*0.001*'9_MI'!$G$37</f>
        <v>0</v>
      </c>
      <c r="I13" s="95">
        <f>F13*0.001*'9_MI'!$H$37</f>
        <v>3696.1780596569997</v>
      </c>
      <c r="J13" s="105">
        <f>'2_D_Surface area conversion'!F23</f>
        <v>1781.2144956096786</v>
      </c>
      <c r="K13" s="95">
        <f>J13*0.001*'9_MI'!$E$32</f>
        <v>1131.5950913285017</v>
      </c>
      <c r="L13" s="95">
        <f>J13*0.001*'9_MI'!$G$32</f>
        <v>0</v>
      </c>
      <c r="M13" s="95">
        <f>J13*0.001*'9_MI'!$H$32</f>
        <v>439.42486845226659</v>
      </c>
      <c r="N13" s="105">
        <f>'2_D_Surface area conversion'!G23</f>
        <v>37722.497548417901</v>
      </c>
      <c r="O13" s="96">
        <f>N13*0.001*'9_MI'!$E$42</f>
        <v>11704.408960103843</v>
      </c>
      <c r="P13" s="96">
        <f>N13*0.001*'9_MI'!$G$42</f>
        <v>0</v>
      </c>
      <c r="Q13" s="100">
        <f>N13*0.001*'9_MI'!$H$42</f>
        <v>1851.9949954649492</v>
      </c>
    </row>
    <row r="14" spans="1:17">
      <c r="A14" s="22">
        <v>2017</v>
      </c>
      <c r="B14" s="105">
        <f>'2_D_Surface area conversion'!D24</f>
        <v>32767.877462626369</v>
      </c>
      <c r="C14" s="95">
        <f>0.001*B14*'9_MI'!$E$27</f>
        <v>4066.3764949441143</v>
      </c>
      <c r="D14" s="95">
        <f>0.001*B14*'9_MI'!$G$27</f>
        <v>0</v>
      </c>
      <c r="E14" s="95">
        <f>0.001*B14*'9_MI'!$H$27</f>
        <v>2269.744610480861</v>
      </c>
      <c r="F14" s="105">
        <f>'2_D_Surface area conversion'!E24</f>
        <v>52431.737590919496</v>
      </c>
      <c r="G14" s="95">
        <f>F14*0.001*'9_MI'!$E$37</f>
        <v>12886.670010322356</v>
      </c>
      <c r="H14" s="95">
        <f>F14*0.001*'9_MI'!$G$37</f>
        <v>0</v>
      </c>
      <c r="I14" s="95">
        <f>F14*0.001*'9_MI'!$H$37</f>
        <v>3202.8776996640922</v>
      </c>
      <c r="J14" s="105">
        <f>'2_D_Surface area conversion'!F24</f>
        <v>1543.4895435844021</v>
      </c>
      <c r="K14" s="95">
        <f>J14*0.001*'9_MI'!$E$32</f>
        <v>980.56982768891419</v>
      </c>
      <c r="L14" s="95">
        <f>J14*0.001*'9_MI'!$G$32</f>
        <v>0</v>
      </c>
      <c r="M14" s="95">
        <f>J14*0.001*'9_MI'!$H$32</f>
        <v>380.77822256598722</v>
      </c>
      <c r="N14" s="105">
        <f>'2_D_Surface area conversion'!G24</f>
        <v>32687.966927836012</v>
      </c>
      <c r="O14" s="96">
        <f>N14*0.001*'9_MI'!$E$42</f>
        <v>10142.311826163485</v>
      </c>
      <c r="P14" s="96">
        <f>N14*0.001*'9_MI'!$G$42</f>
        <v>0</v>
      </c>
      <c r="Q14" s="100">
        <f>N14*0.001*'9_MI'!$H$42</f>
        <v>1604.8235163796849</v>
      </c>
    </row>
    <row r="15" spans="1:17">
      <c r="A15" s="22">
        <v>2018</v>
      </c>
      <c r="B15" s="105">
        <f>'2_D_Surface area conversion'!D25</f>
        <v>8777.1100346320636</v>
      </c>
      <c r="C15" s="95">
        <f>0.001*B15*'9_MI'!$E$27</f>
        <v>1089.2079897171734</v>
      </c>
      <c r="D15" s="95">
        <f>0.001*B15*'9_MI'!$G$27</f>
        <v>0</v>
      </c>
      <c r="E15" s="95">
        <f>0.001*B15*'9_MI'!$H$27</f>
        <v>607.96730637880194</v>
      </c>
      <c r="F15" s="105">
        <f>'2_D_Surface area conversion'!E25</f>
        <v>14044.21542613915</v>
      </c>
      <c r="G15" s="95">
        <f>F15*0.001*'9_MI'!$E$37</f>
        <v>3451.7866099077733</v>
      </c>
      <c r="H15" s="95">
        <f>F15*0.001*'9_MI'!$G$37</f>
        <v>0</v>
      </c>
      <c r="I15" s="95">
        <f>F15*0.001*'9_MI'!$H$37</f>
        <v>857.91366955288186</v>
      </c>
      <c r="J15" s="105">
        <f>'2_D_Surface area conversion'!F25</f>
        <v>413.43469917439347</v>
      </c>
      <c r="K15" s="95">
        <f>J15*0.001*'9_MI'!$E$32</f>
        <v>262.6526324166735</v>
      </c>
      <c r="L15" s="95">
        <f>J15*0.001*'9_MI'!$G$32</f>
        <v>0</v>
      </c>
      <c r="M15" s="95">
        <f>J15*0.001*'9_MI'!$H$32</f>
        <v>101.99416675874659</v>
      </c>
      <c r="N15" s="105">
        <f>'2_D_Surface area conversion'!G25</f>
        <v>8755.705427098932</v>
      </c>
      <c r="O15" s="96">
        <f>N15*0.001*'9_MI'!$E$42</f>
        <v>2716.6906677223619</v>
      </c>
      <c r="P15" s="96">
        <f>N15*0.001*'9_MI'!$G$42</f>
        <v>0</v>
      </c>
      <c r="Q15" s="100">
        <f>N15*0.001*'9_MI'!$H$42</f>
        <v>429.8634418874156</v>
      </c>
    </row>
    <row r="16" spans="1:17">
      <c r="A16" s="22">
        <v>2019</v>
      </c>
      <c r="B16" s="105">
        <f>'2_D_Surface area conversion'!D26</f>
        <v>12507.381799350691</v>
      </c>
      <c r="C16" s="95">
        <f>0.001*B16*'9_MI'!$E$27</f>
        <v>1552.1213853469721</v>
      </c>
      <c r="D16" s="95">
        <f>0.001*B16*'9_MI'!$G$27</f>
        <v>0</v>
      </c>
      <c r="E16" s="95">
        <f>0.001*B16*'9_MI'!$H$27</f>
        <v>866.35341158979281</v>
      </c>
      <c r="F16" s="105">
        <f>'2_D_Surface area conversion'!E26</f>
        <v>20013.006982248291</v>
      </c>
      <c r="G16" s="95">
        <f>F16*0.001*'9_MI'!$E$37</f>
        <v>4918.7959191185782</v>
      </c>
      <c r="H16" s="95">
        <f>F16*0.001*'9_MI'!$G$37</f>
        <v>0</v>
      </c>
      <c r="I16" s="95">
        <f>F16*0.001*'9_MI'!$H$37</f>
        <v>1222.5269791128569</v>
      </c>
      <c r="J16" s="105">
        <f>'2_D_Surface area conversion'!F26</f>
        <v>589.14444632351069</v>
      </c>
      <c r="K16" s="95">
        <f>J16*0.001*'9_MI'!$E$32</f>
        <v>374.28000119375974</v>
      </c>
      <c r="L16" s="95">
        <f>J16*0.001*'9_MI'!$G$32</f>
        <v>0</v>
      </c>
      <c r="M16" s="95">
        <f>J16*0.001*'9_MI'!$H$32</f>
        <v>145.34168763121389</v>
      </c>
      <c r="N16" s="105">
        <f>'2_D_Surface area conversion'!G26</f>
        <v>12476.880233615979</v>
      </c>
      <c r="O16" s="96">
        <f>N16*0.001*'9_MI'!$E$42</f>
        <v>3871.2842015043657</v>
      </c>
      <c r="P16" s="96">
        <f>N16*0.001*'9_MI'!$G$42</f>
        <v>0</v>
      </c>
      <c r="Q16" s="100">
        <f>N16*0.001*'9_MI'!$H$42</f>
        <v>612.55540468956724</v>
      </c>
    </row>
    <row r="17" spans="1:17">
      <c r="A17" s="22">
        <v>2020</v>
      </c>
      <c r="B17" s="105">
        <f>'2_D_Surface area conversion'!D27</f>
        <v>22820.486090043367</v>
      </c>
      <c r="C17" s="95">
        <f>0.001*B17*'9_MI'!$E$27</f>
        <v>2831.9407732646509</v>
      </c>
      <c r="D17" s="95">
        <f>0.001*B17*'9_MI'!$G$27</f>
        <v>0</v>
      </c>
      <c r="E17" s="95">
        <f>0.001*B17*'9_MI'!$H$27</f>
        <v>1580.7149965848853</v>
      </c>
      <c r="F17" s="105">
        <f>'2_D_Surface area conversion'!E27</f>
        <v>36514.960107961793</v>
      </c>
      <c r="G17" s="95">
        <f>F17*0.001*'9_MI'!$E$37</f>
        <v>8974.6451857602115</v>
      </c>
      <c r="H17" s="95">
        <f>F17*0.001*'9_MI'!$G$37</f>
        <v>0</v>
      </c>
      <c r="I17" s="95">
        <f>F17*0.001*'9_MI'!$H$37</f>
        <v>2230.575540837493</v>
      </c>
      <c r="J17" s="105">
        <f>'2_D_Surface area conversion'!F27</f>
        <v>1074.9302178534231</v>
      </c>
      <c r="K17" s="95">
        <f>J17*0.001*'9_MI'!$E$32</f>
        <v>682.89684428335102</v>
      </c>
      <c r="L17" s="95">
        <f>J17*0.001*'9_MI'!$G$32</f>
        <v>0</v>
      </c>
      <c r="M17" s="95">
        <f>J17*0.001*'9_MI'!$H$32</f>
        <v>265.18483357274113</v>
      </c>
      <c r="N17" s="105">
        <f>'2_D_Surface area conversion'!G27</f>
        <v>22764.834110457225</v>
      </c>
      <c r="O17" s="96">
        <f>N17*0.001*'9_MI'!$E$42</f>
        <v>7063.3957360781405</v>
      </c>
      <c r="P17" s="96">
        <f>N17*0.001*'9_MI'!$G$42</f>
        <v>0</v>
      </c>
      <c r="Q17" s="100">
        <f>N17*0.001*'9_MI'!$H$42</f>
        <v>1117.6449489072807</v>
      </c>
    </row>
    <row r="18" spans="1:17" ht="14.65" thickBot="1">
      <c r="A18" s="25">
        <v>2021</v>
      </c>
      <c r="B18" s="106">
        <f>'2_D_Surface area conversion'!D28</f>
        <v>20114.21049603181</v>
      </c>
      <c r="C18" s="101">
        <f>0.001*B18*'9_MI'!$E$27</f>
        <v>2496.1016431018552</v>
      </c>
      <c r="D18" s="101">
        <f>0.001*B18*'9_MI'!$G$27</f>
        <v>0</v>
      </c>
      <c r="E18" s="101">
        <f>0.001*B18*'9_MI'!$H$27</f>
        <v>1393.258410451421</v>
      </c>
      <c r="F18" s="106">
        <f>'2_D_Surface area conversion'!E28</f>
        <v>32184.660351568884</v>
      </c>
      <c r="G18" s="101">
        <f>F18*0.001*'9_MI'!$E$37</f>
        <v>7910.3443143719815</v>
      </c>
      <c r="H18" s="101">
        <f>F18*0.001*'9_MI'!$G$37</f>
        <v>0</v>
      </c>
      <c r="I18" s="101">
        <f>F18*0.001*'9_MI'!$H$37</f>
        <v>1966.0521593920209</v>
      </c>
      <c r="J18" s="106">
        <f>'2_D_Surface area conversion'!F28</f>
        <v>947.45451894131827</v>
      </c>
      <c r="K18" s="101">
        <f>J18*0.001*'9_MI'!$E$32</f>
        <v>601.91228262154334</v>
      </c>
      <c r="L18" s="101">
        <f>J18*0.001*'9_MI'!$G$32</f>
        <v>0</v>
      </c>
      <c r="M18" s="101">
        <f>J18*0.001*'9_MI'!$H$32</f>
        <v>233.73663215546091</v>
      </c>
      <c r="N18" s="106">
        <f>'2_D_Surface area conversion'!G28</f>
        <v>20065.158270435051</v>
      </c>
      <c r="O18" s="102">
        <f>N18*0.001*'9_MI'!$E$42</f>
        <v>6225.7494468637451</v>
      </c>
      <c r="P18" s="102">
        <f>N18*0.001*'9_MI'!$G$42</f>
        <v>0</v>
      </c>
      <c r="Q18" s="103">
        <f>N18*0.001*'9_MI'!$H$42</f>
        <v>985.10372099199401</v>
      </c>
    </row>
    <row r="20" spans="1:17" ht="14.65" thickBot="1">
      <c r="A20" s="190" t="s">
        <v>133</v>
      </c>
      <c r="B20" s="190"/>
      <c r="C20" s="190"/>
      <c r="D20" s="190"/>
      <c r="E20" s="190"/>
      <c r="F20" s="70"/>
      <c r="G20" s="70"/>
      <c r="H20" s="70"/>
    </row>
    <row r="21" spans="1:17" ht="28.5">
      <c r="A21" s="97"/>
      <c r="B21" s="98" t="s">
        <v>126</v>
      </c>
      <c r="C21" s="98" t="s">
        <v>129</v>
      </c>
      <c r="D21" s="98" t="s">
        <v>130</v>
      </c>
      <c r="E21" s="99" t="s">
        <v>131</v>
      </c>
    </row>
    <row r="22" spans="1:17">
      <c r="A22" s="22">
        <v>2012</v>
      </c>
      <c r="B22" s="24">
        <f t="shared" ref="B22:B31" si="0">B9+F9+J9+N9</f>
        <v>44253.47739541161</v>
      </c>
      <c r="C22" s="107">
        <f t="shared" ref="C22:C31" si="1">C9+G9+K9+O9</f>
        <v>10403.134094673507</v>
      </c>
      <c r="D22" s="107">
        <f t="shared" ref="D22:D31" si="2">D9+H9+L9+P9</f>
        <v>0</v>
      </c>
      <c r="E22" s="108">
        <f t="shared" ref="E22:E31" si="3">E9+I9+M9+Q9</f>
        <v>2763.5383753326869</v>
      </c>
    </row>
    <row r="23" spans="1:17">
      <c r="A23" s="22">
        <v>2013</v>
      </c>
      <c r="B23" s="24">
        <f t="shared" si="0"/>
        <v>28791.419028340089</v>
      </c>
      <c r="C23" s="107">
        <f t="shared" si="1"/>
        <v>6768.3041097875839</v>
      </c>
      <c r="D23" s="107">
        <f t="shared" si="2"/>
        <v>0</v>
      </c>
      <c r="E23" s="108">
        <f t="shared" si="3"/>
        <v>1797.9647261200616</v>
      </c>
    </row>
    <row r="24" spans="1:17">
      <c r="A24" s="22">
        <v>2014</v>
      </c>
      <c r="B24" s="24">
        <f t="shared" si="0"/>
        <v>82908.623313090429</v>
      </c>
      <c r="C24" s="107">
        <f t="shared" si="1"/>
        <v>19490.209056888321</v>
      </c>
      <c r="D24" s="107">
        <f t="shared" si="2"/>
        <v>0</v>
      </c>
      <c r="E24" s="108">
        <f t="shared" si="3"/>
        <v>5177.4724983642509</v>
      </c>
    </row>
    <row r="25" spans="1:17">
      <c r="A25" s="22">
        <v>2015</v>
      </c>
      <c r="B25" s="24">
        <f t="shared" si="0"/>
        <v>82108.861673414314</v>
      </c>
      <c r="C25" s="107">
        <f t="shared" si="1"/>
        <v>19302.200609394218</v>
      </c>
      <c r="D25" s="107">
        <f t="shared" si="2"/>
        <v>0</v>
      </c>
      <c r="E25" s="108">
        <f t="shared" si="3"/>
        <v>5127.5290337498045</v>
      </c>
    </row>
    <row r="26" spans="1:17">
      <c r="A26" s="22">
        <v>2016</v>
      </c>
      <c r="B26" s="24">
        <f t="shared" si="0"/>
        <v>137825.58923751689</v>
      </c>
      <c r="C26" s="107">
        <f t="shared" si="1"/>
        <v>32400.122451483159</v>
      </c>
      <c r="D26" s="107">
        <f t="shared" si="2"/>
        <v>0</v>
      </c>
      <c r="E26" s="108">
        <f t="shared" si="3"/>
        <v>8606.9237352228865</v>
      </c>
    </row>
    <row r="27" spans="1:17">
      <c r="A27" s="22">
        <v>2017</v>
      </c>
      <c r="B27" s="24">
        <f t="shared" si="0"/>
        <v>119431.07152496628</v>
      </c>
      <c r="C27" s="107">
        <f t="shared" si="1"/>
        <v>28075.928159118866</v>
      </c>
      <c r="D27" s="107">
        <f t="shared" si="2"/>
        <v>0</v>
      </c>
      <c r="E27" s="108">
        <f t="shared" si="3"/>
        <v>7458.2240490906261</v>
      </c>
    </row>
    <row r="28" spans="1:17">
      <c r="A28" s="22">
        <v>2018</v>
      </c>
      <c r="B28" s="24">
        <f t="shared" si="0"/>
        <v>31990.465587044542</v>
      </c>
      <c r="C28" s="107">
        <f t="shared" si="1"/>
        <v>7520.3378997639811</v>
      </c>
      <c r="D28" s="107">
        <f t="shared" si="2"/>
        <v>0</v>
      </c>
      <c r="E28" s="108">
        <f t="shared" si="3"/>
        <v>1997.7385845778458</v>
      </c>
    </row>
    <row r="29" spans="1:17">
      <c r="A29" s="22">
        <v>2019</v>
      </c>
      <c r="B29" s="24">
        <f t="shared" si="0"/>
        <v>45586.413461538468</v>
      </c>
      <c r="C29" s="107">
        <f t="shared" si="1"/>
        <v>10716.481507163677</v>
      </c>
      <c r="D29" s="107">
        <f t="shared" si="2"/>
        <v>0</v>
      </c>
      <c r="E29" s="108">
        <f t="shared" si="3"/>
        <v>2846.7774830234307</v>
      </c>
    </row>
    <row r="30" spans="1:17">
      <c r="A30" s="22">
        <v>2020</v>
      </c>
      <c r="B30" s="24">
        <f t="shared" si="0"/>
        <v>83175.210526315801</v>
      </c>
      <c r="C30" s="107">
        <f t="shared" si="1"/>
        <v>19552.878539386351</v>
      </c>
      <c r="D30" s="107">
        <f t="shared" si="2"/>
        <v>0</v>
      </c>
      <c r="E30" s="108">
        <f t="shared" si="3"/>
        <v>5194.1203199024003</v>
      </c>
    </row>
    <row r="31" spans="1:17" ht="14.65" thickBot="1">
      <c r="A31" s="25">
        <v>2021</v>
      </c>
      <c r="B31" s="26">
        <f t="shared" si="0"/>
        <v>73311.483636977064</v>
      </c>
      <c r="C31" s="109">
        <f t="shared" si="1"/>
        <v>17234.107686959123</v>
      </c>
      <c r="D31" s="109">
        <f t="shared" si="2"/>
        <v>0</v>
      </c>
      <c r="E31" s="110">
        <f t="shared" si="3"/>
        <v>4578.150922990897</v>
      </c>
    </row>
    <row r="33" spans="1:14" s="14" customFormat="1"/>
    <row r="36" spans="1:14" ht="14.65" thickBot="1">
      <c r="A36" s="189" t="s">
        <v>134</v>
      </c>
      <c r="B36" s="189"/>
      <c r="C36" s="189"/>
      <c r="D36" s="189"/>
      <c r="E36" s="189"/>
      <c r="F36" s="189"/>
      <c r="G36" s="189"/>
      <c r="H36" s="189"/>
    </row>
    <row r="37" spans="1:14" ht="28.5">
      <c r="A37" s="53"/>
      <c r="B37" s="104" t="str">
        <f>'2_D_Surface area conversion'!D44</f>
        <v>Commercial (m2)</v>
      </c>
      <c r="C37" s="98" t="s">
        <v>129</v>
      </c>
      <c r="D37" s="98" t="s">
        <v>130</v>
      </c>
      <c r="E37" s="98" t="s">
        <v>131</v>
      </c>
      <c r="F37" s="104" t="str">
        <f>'2_D_Surface area conversion'!E44</f>
        <v>Offices (m2)</v>
      </c>
      <c r="G37" s="98" t="s">
        <v>129</v>
      </c>
      <c r="H37" s="98" t="s">
        <v>130</v>
      </c>
      <c r="I37" s="98" t="s">
        <v>131</v>
      </c>
      <c r="J37" s="104" t="str">
        <f>'2_D_Surface area conversion'!F44</f>
        <v>Others (m2)</v>
      </c>
      <c r="K37" s="98" t="s">
        <v>129</v>
      </c>
      <c r="L37" s="98" t="s">
        <v>130</v>
      </c>
      <c r="M37" s="99" t="s">
        <v>131</v>
      </c>
    </row>
    <row r="38" spans="1:14">
      <c r="A38" s="22">
        <v>2012</v>
      </c>
      <c r="B38" s="105">
        <f>'2_D_Surface area conversion'!D45</f>
        <v>9073.7286946738441</v>
      </c>
      <c r="C38" s="95">
        <f>B38*0.001*'9_MI'!$E$17</f>
        <v>1347.160034008921</v>
      </c>
      <c r="D38" s="95">
        <f>B38*0.001*'9_MI'!$G$17</f>
        <v>29.963350345767164</v>
      </c>
      <c r="E38" s="95">
        <f>B38*0.001*'9_MI'!$H$17</f>
        <v>455.14313253840197</v>
      </c>
      <c r="F38" s="105">
        <f>'2_D_Surface area conversion'!E45</f>
        <v>11627.421481348902</v>
      </c>
      <c r="G38" s="95">
        <f>F38*0.001*'9_MI'!$E$12</f>
        <v>4228.7304882339213</v>
      </c>
      <c r="H38" s="95">
        <f>F38*0.001*'9_MI'!$G$12</f>
        <v>177.74412056536232</v>
      </c>
      <c r="I38" s="95">
        <f>F38*0.001*'9_MI'!$H$12</f>
        <v>282.43920977461602</v>
      </c>
      <c r="J38" s="105">
        <f>'2_D_Surface area conversion'!F45</f>
        <v>67063.956662714234</v>
      </c>
      <c r="K38" s="95">
        <f>J38*0.001*'9_MI'!$E$22</f>
        <v>21265.304034436496</v>
      </c>
      <c r="L38" s="95">
        <f>J38*0.001*'9_MI'!$G$22</f>
        <v>700.84026760016172</v>
      </c>
      <c r="M38" s="111">
        <f>J38*0.001*'9_MI'!$H$22</f>
        <v>2481.4300992847561</v>
      </c>
      <c r="N38" s="4"/>
    </row>
    <row r="39" spans="1:14">
      <c r="A39" s="22">
        <v>2013</v>
      </c>
      <c r="B39" s="105">
        <f>'2_D_Surface area conversion'!D46</f>
        <v>5879.7761941486515</v>
      </c>
      <c r="C39" s="95">
        <f>B39*0.001*'9_MI'!$E$17</f>
        <v>872.95970203778086</v>
      </c>
      <c r="D39" s="95">
        <f>B39*0.001*'9_MI'!$G$17</f>
        <v>19.416251024057122</v>
      </c>
      <c r="E39" s="95">
        <f>B39*0.001*'9_MI'!$H$17</f>
        <v>294.93274988488452</v>
      </c>
      <c r="F39" s="105">
        <f>'2_D_Surface area conversion'!E46</f>
        <v>7534.5691199140883</v>
      </c>
      <c r="G39" s="95">
        <f>F39*0.001*'9_MI'!$E$12</f>
        <v>2740.2173563755809</v>
      </c>
      <c r="H39" s="95">
        <f>F39*0.001*'9_MI'!$G$12</f>
        <v>115.17819012635478</v>
      </c>
      <c r="I39" s="95">
        <f>F39*0.001*'9_MI'!$H$12</f>
        <v>183.02060793395117</v>
      </c>
      <c r="J39" s="105">
        <f>'2_D_Surface area conversion'!F46</f>
        <v>43457.443917438824</v>
      </c>
      <c r="K39" s="95">
        <f>J39*0.001*'9_MI'!$E$22</f>
        <v>13779.917014314849</v>
      </c>
      <c r="L39" s="95">
        <f>J39*0.001*'9_MI'!$G$22</f>
        <v>454.14449340490484</v>
      </c>
      <c r="M39" s="111">
        <f>J39*0.001*'9_MI'!$H$22</f>
        <v>1607.9667043365218</v>
      </c>
      <c r="N39" s="1"/>
    </row>
    <row r="40" spans="1:14">
      <c r="A40" s="22">
        <v>2014</v>
      </c>
      <c r="B40" s="105">
        <f>'2_D_Surface area conversion'!D47</f>
        <v>4331.1931635909823</v>
      </c>
      <c r="C40" s="95">
        <f>B40*0.001*'9_MI'!$E$17</f>
        <v>643.04438956692502</v>
      </c>
      <c r="D40" s="95">
        <f>B40*0.001*'9_MI'!$G$17</f>
        <v>14.302505898379527</v>
      </c>
      <c r="E40" s="95">
        <f>B40*0.001*'9_MI'!$H$17</f>
        <v>217.25498859833058</v>
      </c>
      <c r="F40" s="105">
        <f>'2_D_Surface area conversion'!E47</f>
        <v>5550.1558537638757</v>
      </c>
      <c r="G40" s="95">
        <f>F40*0.001*'9_MI'!$E$12</f>
        <v>2018.5140197169917</v>
      </c>
      <c r="H40" s="95">
        <f>F40*0.001*'9_MI'!$G$12</f>
        <v>84.843193549866271</v>
      </c>
      <c r="I40" s="95">
        <f>F40*0.001*'9_MI'!$H$12</f>
        <v>134.81764946575004</v>
      </c>
      <c r="J40" s="105">
        <f>'2_D_Surface area conversion'!F47</f>
        <v>32011.861980335594</v>
      </c>
      <c r="K40" s="95">
        <f>J40*0.001*'9_MI'!$E$22</f>
        <v>10150.638459104355</v>
      </c>
      <c r="L40" s="95">
        <f>J40*0.001*'9_MI'!$G$22</f>
        <v>334.53442106781057</v>
      </c>
      <c r="M40" s="111">
        <f>J40*0.001*'9_MI'!$H$22</f>
        <v>1184.469300725257</v>
      </c>
      <c r="N40" s="1"/>
    </row>
    <row r="41" spans="1:14">
      <c r="A41" s="22">
        <v>2015</v>
      </c>
      <c r="B41" s="105">
        <f>'2_D_Surface area conversion'!D48</f>
        <v>6968.6236375095132</v>
      </c>
      <c r="C41" s="95">
        <f>B41*0.001*'9_MI'!$E$17</f>
        <v>1034.6189061188516</v>
      </c>
      <c r="D41" s="95">
        <f>B41*0.001*'9_MI'!$G$17</f>
        <v>23.011853065549186</v>
      </c>
      <c r="E41" s="95">
        <f>B41*0.001*'9_MI'!$H$17</f>
        <v>349.54992578949276</v>
      </c>
      <c r="F41" s="105">
        <f>'2_D_Surface area conversion'!E48</f>
        <v>8929.8596976759563</v>
      </c>
      <c r="G41" s="95">
        <f>F41*0.001*'9_MI'!$E$12</f>
        <v>3247.6650149636512</v>
      </c>
      <c r="H41" s="95">
        <f>F41*0.001*'9_MI'!$G$12</f>
        <v>136.50748459419825</v>
      </c>
      <c r="I41" s="95">
        <f>F41*0.001*'9_MI'!$H$12</f>
        <v>216.91331310690509</v>
      </c>
      <c r="J41" s="105">
        <f>'2_D_Surface area conversion'!F48</f>
        <v>51505.118716964535</v>
      </c>
      <c r="K41" s="95">
        <f>J41*0.001*'9_MI'!$E$22</f>
        <v>16331.753498447233</v>
      </c>
      <c r="L41" s="95">
        <f>J41*0.001*'9_MI'!$G$22</f>
        <v>538.24532551692425</v>
      </c>
      <c r="M41" s="111">
        <f>J41*0.001*'9_MI'!$H$22</f>
        <v>1905.7383162506931</v>
      </c>
      <c r="N41" s="1"/>
    </row>
    <row r="42" spans="1:14">
      <c r="A42" s="22">
        <v>2016</v>
      </c>
      <c r="B42" s="105">
        <f>'2_D_Surface area conversion'!D49</f>
        <v>4161.8168946237365</v>
      </c>
      <c r="C42" s="95">
        <f>B42*0.001*'9_MI'!$E$17</f>
        <v>617.89740226542506</v>
      </c>
      <c r="D42" s="95">
        <f>B42*0.001*'9_MI'!$G$17</f>
        <v>13.743190025258539</v>
      </c>
      <c r="E42" s="95">
        <f>B42*0.001*'9_MI'!$H$17</f>
        <v>208.75898345761371</v>
      </c>
      <c r="F42" s="105">
        <f>'2_D_Surface area conversion'!E49</f>
        <v>5333.110652778696</v>
      </c>
      <c r="G42" s="95">
        <f>F42*0.001*'9_MI'!$E$12</f>
        <v>1939.5777172699586</v>
      </c>
      <c r="H42" s="95">
        <f>F42*0.001*'9_MI'!$G$12</f>
        <v>81.525303299312853</v>
      </c>
      <c r="I42" s="95">
        <f>F42*0.001*'9_MI'!$H$12</f>
        <v>129.54545088329053</v>
      </c>
      <c r="J42" s="105">
        <f>'2_D_Surface area conversion'!F49</f>
        <v>30760.001455964928</v>
      </c>
      <c r="K42" s="95">
        <f>J42*0.001*'9_MI'!$E$22</f>
        <v>9753.6861171282071</v>
      </c>
      <c r="L42" s="95">
        <f>J42*0.001*'9_MI'!$G$22</f>
        <v>321.45206940594085</v>
      </c>
      <c r="M42" s="111">
        <f>J42*0.001*'9_MI'!$H$22</f>
        <v>1138.1492722052749</v>
      </c>
      <c r="N42" s="1"/>
    </row>
    <row r="43" spans="1:14">
      <c r="A43" s="22">
        <v>2017</v>
      </c>
      <c r="B43" s="105">
        <f>'2_D_Surface area conversion'!D50</f>
        <v>3895.6541862466374</v>
      </c>
      <c r="C43" s="95">
        <f>B43*0.001*'9_MI'!$E$17</f>
        <v>578.38070793449674</v>
      </c>
      <c r="D43" s="95">
        <f>B43*0.001*'9_MI'!$G$17</f>
        <v>12.864265081782703</v>
      </c>
      <c r="E43" s="95">
        <f>B43*0.001*'9_MI'!$H$17</f>
        <v>195.40811823648727</v>
      </c>
      <c r="F43" s="105">
        <f>'2_D_Surface area conversion'!E50</f>
        <v>4992.0396226591283</v>
      </c>
      <c r="G43" s="95">
        <f>F43*0.001*'9_MI'!$E$12</f>
        <v>1815.5349562817635</v>
      </c>
      <c r="H43" s="95">
        <f>F43*0.001*'9_MI'!$G$12</f>
        <v>76.31147576272889</v>
      </c>
      <c r="I43" s="95">
        <f>F43*0.001*'9_MI'!$H$12</f>
        <v>121.26056739656848</v>
      </c>
      <c r="J43" s="105">
        <f>'2_D_Surface area conversion'!F50</f>
        <v>28792.792060525309</v>
      </c>
      <c r="K43" s="95">
        <f>J43*0.001*'9_MI'!$E$22</f>
        <v>9129.9038654514025</v>
      </c>
      <c r="L43" s="95">
        <f>J43*0.001*'9_MI'!$G$22</f>
        <v>300.89408822300277</v>
      </c>
      <c r="M43" s="111">
        <f>J43*0.001*'9_MI'!$H$22</f>
        <v>1065.3606559595887</v>
      </c>
      <c r="N43" s="1"/>
    </row>
    <row r="44" spans="1:14">
      <c r="A44" s="22">
        <v>2018</v>
      </c>
      <c r="B44" s="105">
        <f>'2_D_Surface area conversion'!D51</f>
        <v>5226.4677281321347</v>
      </c>
      <c r="C44" s="95">
        <f>B44*0.001*'9_MI'!$E$17</f>
        <v>775.96417958913844</v>
      </c>
      <c r="D44" s="95">
        <f>B44*0.001*'9_MI'!$G$17</f>
        <v>17.258889799161885</v>
      </c>
      <c r="E44" s="95">
        <f>B44*0.001*'9_MI'!$H$17</f>
        <v>262.16244434211956</v>
      </c>
      <c r="F44" s="105">
        <f>'2_D_Surface area conversion'!E51</f>
        <v>6697.3947732569677</v>
      </c>
      <c r="G44" s="95">
        <f>F44*0.001*'9_MI'!$E$12</f>
        <v>2435.7487612227387</v>
      </c>
      <c r="H44" s="95">
        <f>F44*0.001*'9_MI'!$G$12</f>
        <v>102.38061344564869</v>
      </c>
      <c r="I44" s="95">
        <f>F44*0.001*'9_MI'!$H$12</f>
        <v>162.68498483017882</v>
      </c>
      <c r="J44" s="105">
        <f>'2_D_Surface area conversion'!F51</f>
        <v>38628.839037723403</v>
      </c>
      <c r="K44" s="95">
        <f>J44*0.001*'9_MI'!$E$22</f>
        <v>12248.815123835424</v>
      </c>
      <c r="L44" s="95">
        <f>J44*0.001*'9_MI'!$G$22</f>
        <v>403.68399413769322</v>
      </c>
      <c r="M44" s="111">
        <f>J44*0.001*'9_MI'!$H$22</f>
        <v>1429.3037371880196</v>
      </c>
      <c r="N44" s="1"/>
    </row>
    <row r="45" spans="1:14">
      <c r="A45" s="22">
        <v>2019</v>
      </c>
      <c r="B45" s="105">
        <f>'2_D_Surface area conversion'!D52</f>
        <v>3532.7050384596837</v>
      </c>
      <c r="C45" s="95">
        <f>B45*0.001*'9_MI'!$E$17</f>
        <v>524.49430657413996</v>
      </c>
      <c r="D45" s="95">
        <f>B45*0.001*'9_MI'!$G$17</f>
        <v>11.665731067952017</v>
      </c>
      <c r="E45" s="95">
        <f>B45*0.001*'9_MI'!$H$17</f>
        <v>177.20239293495118</v>
      </c>
      <c r="F45" s="105">
        <f>'2_D_Surface area conversion'!E52</f>
        <v>4526.9427634051726</v>
      </c>
      <c r="G45" s="95">
        <f>F45*0.001*'9_MI'!$E$12</f>
        <v>1646.3857367524067</v>
      </c>
      <c r="H45" s="95">
        <f>F45*0.001*'9_MI'!$G$12</f>
        <v>69.201710940114395</v>
      </c>
      <c r="I45" s="95">
        <f>F45*0.001*'9_MI'!$H$12</f>
        <v>109.96299900558384</v>
      </c>
      <c r="J45" s="105">
        <f>'2_D_Surface area conversion'!F52</f>
        <v>26110.233794016742</v>
      </c>
      <c r="K45" s="95">
        <f>J45*0.001*'9_MI'!$E$22</f>
        <v>8279.291704073943</v>
      </c>
      <c r="L45" s="95">
        <f>J45*0.001*'9_MI'!$G$22</f>
        <v>272.86047751899633</v>
      </c>
      <c r="M45" s="111">
        <f>J45*0.001*'9_MI'!$H$22</f>
        <v>966.10345198819846</v>
      </c>
      <c r="N45" s="1"/>
    </row>
    <row r="46" spans="1:14">
      <c r="A46" s="22">
        <v>2020</v>
      </c>
      <c r="B46" s="105">
        <f>'2_D_Surface area conversion'!D53</f>
        <v>3581.0982581646108</v>
      </c>
      <c r="C46" s="95">
        <f>B46*0.001*'9_MI'!$E$17</f>
        <v>531.67916008885413</v>
      </c>
      <c r="D46" s="95">
        <f>B46*0.001*'9_MI'!$G$17</f>
        <v>11.825535603129442</v>
      </c>
      <c r="E46" s="95">
        <f>B46*0.001*'9_MI'!$H$17</f>
        <v>179.629822975156</v>
      </c>
      <c r="F46" s="105">
        <f>'2_D_Surface area conversion'!E53</f>
        <v>4588.9556779723662</v>
      </c>
      <c r="G46" s="95">
        <f>F46*0.001*'9_MI'!$E$12</f>
        <v>1668.9389660229874</v>
      </c>
      <c r="H46" s="95">
        <f>F46*0.001*'9_MI'!$G$12</f>
        <v>70.149679583129654</v>
      </c>
      <c r="I46" s="95">
        <f>F46*0.001*'9_MI'!$H$12</f>
        <v>111.46934145771512</v>
      </c>
      <c r="J46" s="105">
        <f>'2_D_Surface area conversion'!F53</f>
        <v>26467.908229551216</v>
      </c>
      <c r="K46" s="95">
        <f>J46*0.001*'9_MI'!$E$22</f>
        <v>8392.7066589242713</v>
      </c>
      <c r="L46" s="95">
        <f>J46*0.001*'9_MI'!$G$22</f>
        <v>276.59829227953048</v>
      </c>
      <c r="M46" s="111">
        <f>J46*0.001*'9_MI'!$H$22</f>
        <v>979.33774585105039</v>
      </c>
      <c r="N46" s="1"/>
    </row>
    <row r="47" spans="1:14" ht="14.65" thickBot="1">
      <c r="A47" s="25">
        <v>2021</v>
      </c>
      <c r="B47" s="106">
        <f>'2_D_Surface area conversion'!D54</f>
        <v>2371.2677655414313</v>
      </c>
      <c r="C47" s="101">
        <f>B47*0.001*'9_MI'!$E$17</f>
        <v>352.05782222099805</v>
      </c>
      <c r="D47" s="101">
        <f>B47*0.001*'9_MI'!$G$17</f>
        <v>7.8304222236938195</v>
      </c>
      <c r="E47" s="101">
        <f>B47*0.001*'9_MI'!$H$17</f>
        <v>118.94407197003572</v>
      </c>
      <c r="F47" s="106">
        <f>'2_D_Surface area conversion'!E54</f>
        <v>3038.6328137925129</v>
      </c>
      <c r="G47" s="101">
        <f>F47*0.001*'9_MI'!$E$12</f>
        <v>1105.1082342584648</v>
      </c>
      <c r="H47" s="101">
        <f>F47*0.001*'9_MI'!$G$12</f>
        <v>46.450463507748019</v>
      </c>
      <c r="I47" s="101">
        <f>F47*0.001*'9_MI'!$H$12</f>
        <v>73.81078015443299</v>
      </c>
      <c r="J47" s="106">
        <f>'2_D_Surface area conversion'!F54</f>
        <v>17526.047341189318</v>
      </c>
      <c r="K47" s="101">
        <f>J47*0.001*'9_MI'!$E$22</f>
        <v>5557.3327876660705</v>
      </c>
      <c r="L47" s="101">
        <f>J47*0.001*'9_MI'!$G$22</f>
        <v>183.15292326617561</v>
      </c>
      <c r="M47" s="112">
        <f>J47*0.001*'9_MI'!$H$22</f>
        <v>648.48039927974958</v>
      </c>
      <c r="N47" s="1"/>
    </row>
    <row r="48" spans="1:14">
      <c r="N48" s="1"/>
    </row>
    <row r="49" spans="1:5" ht="14.65" thickBot="1">
      <c r="A49" s="190" t="s">
        <v>135</v>
      </c>
      <c r="B49" s="190"/>
      <c r="C49" s="190"/>
      <c r="D49" s="190"/>
      <c r="E49" s="190"/>
    </row>
    <row r="50" spans="1:5" ht="28.5">
      <c r="A50" s="19"/>
      <c r="B50" s="98" t="s">
        <v>126</v>
      </c>
      <c r="C50" s="98" t="s">
        <v>129</v>
      </c>
      <c r="D50" s="98" t="s">
        <v>130</v>
      </c>
      <c r="E50" s="99" t="s">
        <v>131</v>
      </c>
    </row>
    <row r="51" spans="1:5">
      <c r="A51" s="22">
        <v>2012</v>
      </c>
      <c r="B51" s="24">
        <f t="shared" ref="B51:B60" si="4">B38+F38+J38</f>
        <v>87765.106838736974</v>
      </c>
      <c r="C51" s="107">
        <f t="shared" ref="C51:C60" si="5">C38+G38+K38</f>
        <v>26841.194556679337</v>
      </c>
      <c r="D51" s="107">
        <f t="shared" ref="D51:D60" si="6">D38+H38+L38</f>
        <v>908.54773851129119</v>
      </c>
      <c r="E51" s="108">
        <f t="shared" ref="E51:E60" si="7">E38+I38+M38</f>
        <v>3219.0124415977743</v>
      </c>
    </row>
    <row r="52" spans="1:5">
      <c r="A52" s="22">
        <v>2013</v>
      </c>
      <c r="B52" s="24">
        <f t="shared" si="4"/>
        <v>56871.789231501563</v>
      </c>
      <c r="C52" s="107">
        <f t="shared" si="5"/>
        <v>17393.09407272821</v>
      </c>
      <c r="D52" s="107">
        <f t="shared" si="6"/>
        <v>588.73893455531675</v>
      </c>
      <c r="E52" s="108">
        <f t="shared" si="7"/>
        <v>2085.9200621553573</v>
      </c>
    </row>
    <row r="53" spans="1:5">
      <c r="A53" s="22">
        <v>2014</v>
      </c>
      <c r="B53" s="24">
        <f t="shared" si="4"/>
        <v>41893.210997690454</v>
      </c>
      <c r="C53" s="107">
        <f t="shared" si="5"/>
        <v>12812.196868388271</v>
      </c>
      <c r="D53" s="107">
        <f t="shared" si="6"/>
        <v>433.68012051605638</v>
      </c>
      <c r="E53" s="108">
        <f t="shared" si="7"/>
        <v>1536.5419387893376</v>
      </c>
    </row>
    <row r="54" spans="1:5">
      <c r="A54" s="22">
        <v>2015</v>
      </c>
      <c r="B54" s="24">
        <f t="shared" si="4"/>
        <v>67403.602052150003</v>
      </c>
      <c r="C54" s="107">
        <f t="shared" si="5"/>
        <v>20614.037419529734</v>
      </c>
      <c r="D54" s="107">
        <f t="shared" si="6"/>
        <v>697.76466317667166</v>
      </c>
      <c r="E54" s="108">
        <f t="shared" si="7"/>
        <v>2472.2015551470909</v>
      </c>
    </row>
    <row r="55" spans="1:5">
      <c r="A55" s="22">
        <v>2016</v>
      </c>
      <c r="B55" s="24">
        <f t="shared" si="4"/>
        <v>40254.929003367361</v>
      </c>
      <c r="C55" s="107">
        <f t="shared" si="5"/>
        <v>12311.161236663591</v>
      </c>
      <c r="D55" s="107">
        <f t="shared" si="6"/>
        <v>416.72056273051226</v>
      </c>
      <c r="E55" s="108">
        <f t="shared" si="7"/>
        <v>1476.4537065461791</v>
      </c>
    </row>
    <row r="56" spans="1:5">
      <c r="A56" s="22">
        <v>2017</v>
      </c>
      <c r="B56" s="24">
        <f t="shared" si="4"/>
        <v>37680.485869431075</v>
      </c>
      <c r="C56" s="107">
        <f t="shared" si="5"/>
        <v>11523.819529667662</v>
      </c>
      <c r="D56" s="107">
        <f t="shared" si="6"/>
        <v>390.06982906751438</v>
      </c>
      <c r="E56" s="108">
        <f t="shared" si="7"/>
        <v>1382.0293415926444</v>
      </c>
    </row>
    <row r="57" spans="1:5">
      <c r="A57" s="22">
        <v>2018</v>
      </c>
      <c r="B57" s="24">
        <f t="shared" si="4"/>
        <v>50552.701539112502</v>
      </c>
      <c r="C57" s="107">
        <f t="shared" si="5"/>
        <v>15460.5280646473</v>
      </c>
      <c r="D57" s="107">
        <f t="shared" si="6"/>
        <v>523.32349738250377</v>
      </c>
      <c r="E57" s="108">
        <f t="shared" si="7"/>
        <v>1854.1511663603178</v>
      </c>
    </row>
    <row r="58" spans="1:5">
      <c r="A58" s="22">
        <v>2019</v>
      </c>
      <c r="B58" s="24">
        <f t="shared" si="4"/>
        <v>34169.881595881598</v>
      </c>
      <c r="C58" s="107">
        <f t="shared" si="5"/>
        <v>10450.171747400491</v>
      </c>
      <c r="D58" s="107">
        <f t="shared" si="6"/>
        <v>353.72791952706274</v>
      </c>
      <c r="E58" s="108">
        <f t="shared" si="7"/>
        <v>1253.2688439287335</v>
      </c>
    </row>
    <row r="59" spans="1:5">
      <c r="A59" s="22">
        <v>2020</v>
      </c>
      <c r="B59" s="24">
        <f t="shared" si="4"/>
        <v>34637.962165688194</v>
      </c>
      <c r="C59" s="107">
        <f t="shared" si="5"/>
        <v>10593.324785036113</v>
      </c>
      <c r="D59" s="107">
        <f t="shared" si="6"/>
        <v>358.57350746578959</v>
      </c>
      <c r="E59" s="108">
        <f t="shared" si="7"/>
        <v>1270.4369102839214</v>
      </c>
    </row>
    <row r="60" spans="1:5" ht="14.65" thickBot="1">
      <c r="A60" s="25">
        <v>2021</v>
      </c>
      <c r="B60" s="26">
        <f t="shared" si="4"/>
        <v>22935.947920523264</v>
      </c>
      <c r="C60" s="109">
        <f t="shared" si="5"/>
        <v>7014.4988441455334</v>
      </c>
      <c r="D60" s="109">
        <f t="shared" si="6"/>
        <v>237.43380899761746</v>
      </c>
      <c r="E60" s="110">
        <f t="shared" si="7"/>
        <v>841.23525140421827</v>
      </c>
    </row>
    <row r="62" spans="1:5" s="14" customFormat="1"/>
    <row r="64" spans="1:5" ht="14.65" thickBot="1">
      <c r="A64" s="190" t="s">
        <v>136</v>
      </c>
      <c r="B64" s="190"/>
      <c r="C64" s="190"/>
      <c r="D64" s="190"/>
      <c r="E64" s="190"/>
    </row>
    <row r="65" spans="1:5" ht="28.5">
      <c r="A65" s="19"/>
      <c r="B65" s="98" t="s">
        <v>126</v>
      </c>
      <c r="C65" s="98" t="s">
        <v>129</v>
      </c>
      <c r="D65" s="98" t="s">
        <v>130</v>
      </c>
      <c r="E65" s="99" t="s">
        <v>131</v>
      </c>
    </row>
    <row r="66" spans="1:5">
      <c r="A66" s="22">
        <v>2012</v>
      </c>
      <c r="B66" s="24">
        <f t="shared" ref="B66:E75" si="8">B51+B22</f>
        <v>132018.58423414858</v>
      </c>
      <c r="C66" s="107">
        <f t="shared" si="8"/>
        <v>37244.328651352844</v>
      </c>
      <c r="D66" s="107">
        <f t="shared" si="8"/>
        <v>908.54773851129119</v>
      </c>
      <c r="E66" s="108">
        <f t="shared" si="8"/>
        <v>5982.5508169304612</v>
      </c>
    </row>
    <row r="67" spans="1:5">
      <c r="A67" s="22">
        <v>2013</v>
      </c>
      <c r="B67" s="24">
        <f t="shared" si="8"/>
        <v>85663.20825984166</v>
      </c>
      <c r="C67" s="107">
        <f t="shared" si="8"/>
        <v>24161.398182515793</v>
      </c>
      <c r="D67" s="107">
        <f t="shared" si="8"/>
        <v>588.73893455531675</v>
      </c>
      <c r="E67" s="108">
        <f t="shared" si="8"/>
        <v>3883.8847882754189</v>
      </c>
    </row>
    <row r="68" spans="1:5">
      <c r="A68" s="22">
        <v>2014</v>
      </c>
      <c r="B68" s="24">
        <f t="shared" si="8"/>
        <v>124801.83431078089</v>
      </c>
      <c r="C68" s="107">
        <f t="shared" si="8"/>
        <v>32302.405925276595</v>
      </c>
      <c r="D68" s="107">
        <f t="shared" si="8"/>
        <v>433.68012051605638</v>
      </c>
      <c r="E68" s="108">
        <f t="shared" si="8"/>
        <v>6714.014437153588</v>
      </c>
    </row>
    <row r="69" spans="1:5">
      <c r="A69" s="22">
        <v>2015</v>
      </c>
      <c r="B69" s="24">
        <f t="shared" si="8"/>
        <v>149512.4637255643</v>
      </c>
      <c r="C69" s="107">
        <f t="shared" si="8"/>
        <v>39916.238028923952</v>
      </c>
      <c r="D69" s="107">
        <f t="shared" si="8"/>
        <v>697.76466317667166</v>
      </c>
      <c r="E69" s="108">
        <f t="shared" si="8"/>
        <v>7599.7305888968949</v>
      </c>
    </row>
    <row r="70" spans="1:5">
      <c r="A70" s="22">
        <v>2016</v>
      </c>
      <c r="B70" s="24">
        <f t="shared" si="8"/>
        <v>178080.51824088424</v>
      </c>
      <c r="C70" s="107">
        <f t="shared" si="8"/>
        <v>44711.283688146752</v>
      </c>
      <c r="D70" s="107">
        <f t="shared" si="8"/>
        <v>416.72056273051226</v>
      </c>
      <c r="E70" s="108">
        <f t="shared" si="8"/>
        <v>10083.377441769066</v>
      </c>
    </row>
    <row r="71" spans="1:5">
      <c r="A71" s="22">
        <v>2017</v>
      </c>
      <c r="B71" s="24">
        <f t="shared" si="8"/>
        <v>157111.55739439736</v>
      </c>
      <c r="C71" s="107">
        <f t="shared" si="8"/>
        <v>39599.747688786527</v>
      </c>
      <c r="D71" s="107">
        <f t="shared" si="8"/>
        <v>390.06982906751438</v>
      </c>
      <c r="E71" s="108">
        <f t="shared" si="8"/>
        <v>8840.2533906832705</v>
      </c>
    </row>
    <row r="72" spans="1:5">
      <c r="A72" s="22">
        <v>2018</v>
      </c>
      <c r="B72" s="24">
        <f t="shared" si="8"/>
        <v>82543.167126157045</v>
      </c>
      <c r="C72" s="107">
        <f t="shared" si="8"/>
        <v>22980.865964411281</v>
      </c>
      <c r="D72" s="107">
        <f t="shared" si="8"/>
        <v>523.32349738250377</v>
      </c>
      <c r="E72" s="108">
        <f t="shared" si="8"/>
        <v>3851.8897509381636</v>
      </c>
    </row>
    <row r="73" spans="1:5">
      <c r="A73" s="22">
        <v>2019</v>
      </c>
      <c r="B73" s="24">
        <f t="shared" si="8"/>
        <v>79756.295057420066</v>
      </c>
      <c r="C73" s="107">
        <f t="shared" si="8"/>
        <v>21166.653254564168</v>
      </c>
      <c r="D73" s="107">
        <f t="shared" si="8"/>
        <v>353.72791952706274</v>
      </c>
      <c r="E73" s="108">
        <f t="shared" si="8"/>
        <v>4100.0463269521642</v>
      </c>
    </row>
    <row r="74" spans="1:5">
      <c r="A74" s="22">
        <v>2020</v>
      </c>
      <c r="B74" s="24">
        <f t="shared" si="8"/>
        <v>117813.17269200399</v>
      </c>
      <c r="C74" s="107">
        <f t="shared" si="8"/>
        <v>30146.203324422466</v>
      </c>
      <c r="D74" s="107">
        <f t="shared" si="8"/>
        <v>358.57350746578959</v>
      </c>
      <c r="E74" s="108">
        <f t="shared" si="8"/>
        <v>6464.5572301863212</v>
      </c>
    </row>
    <row r="75" spans="1:5" ht="14.65" thickBot="1">
      <c r="A75" s="25">
        <v>2021</v>
      </c>
      <c r="B75" s="26">
        <f t="shared" si="8"/>
        <v>96247.431557500327</v>
      </c>
      <c r="C75" s="109">
        <f t="shared" si="8"/>
        <v>24248.606531104655</v>
      </c>
      <c r="D75" s="109">
        <f t="shared" si="8"/>
        <v>237.43380899761746</v>
      </c>
      <c r="E75" s="110">
        <f t="shared" si="8"/>
        <v>5419.3861743951156</v>
      </c>
    </row>
  </sheetData>
  <mergeCells count="5">
    <mergeCell ref="A7:H7"/>
    <mergeCell ref="A20:E20"/>
    <mergeCell ref="A36:H36"/>
    <mergeCell ref="A49:E49"/>
    <mergeCell ref="A64:E64"/>
  </mergeCells>
  <phoneticPr fontId="1" type="noConversion"/>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EBC6749-0D6E-46AC-A275-B0B8C08A1B30}">
  <dimension ref="A1:O83"/>
  <sheetViews>
    <sheetView tabSelected="1" zoomScaleNormal="100" workbookViewId="0">
      <selection activeCell="H76" sqref="H76"/>
    </sheetView>
  </sheetViews>
  <sheetFormatPr defaultColWidth="13.19921875" defaultRowHeight="14.25"/>
  <cols>
    <col min="1" max="2" width="13.19921875" style="28"/>
    <col min="3" max="3" width="14.796875" style="28" customWidth="1"/>
    <col min="4" max="4" width="19.33203125" style="28" customWidth="1"/>
    <col min="5" max="5" width="16.46484375" style="28" customWidth="1"/>
    <col min="6" max="6" width="19.1328125" style="28" customWidth="1"/>
    <col min="7" max="7" width="14.46484375" style="28" customWidth="1"/>
    <col min="8" max="8" width="19.19921875" style="28" customWidth="1"/>
    <col min="9" max="9" width="13.19921875" style="28"/>
    <col min="10" max="10" width="18.86328125" style="28" customWidth="1"/>
    <col min="11" max="11" width="14.86328125" style="28" customWidth="1"/>
    <col min="12" max="12" width="17.1328125" style="28" customWidth="1"/>
    <col min="13" max="13" width="13.19921875" style="28"/>
    <col min="14" max="14" width="13.1328125" style="28" customWidth="1"/>
    <col min="15" max="16384" width="13.19921875" style="28"/>
  </cols>
  <sheetData>
    <row r="1" spans="1:15" ht="21">
      <c r="A1" s="113" t="s">
        <v>159</v>
      </c>
    </row>
    <row r="2" spans="1:15">
      <c r="A2" s="115" t="s">
        <v>139</v>
      </c>
      <c r="B2" s="115"/>
      <c r="C2" s="115"/>
      <c r="D2" s="115"/>
      <c r="E2" s="115"/>
    </row>
    <row r="3" spans="1:15">
      <c r="A3" s="115" t="s">
        <v>46</v>
      </c>
      <c r="B3" s="115"/>
      <c r="C3" s="115"/>
      <c r="D3" s="115"/>
      <c r="E3" s="115"/>
    </row>
    <row r="4" spans="1:15">
      <c r="A4" s="115" t="s">
        <v>137</v>
      </c>
      <c r="B4" s="115"/>
      <c r="C4" s="115"/>
      <c r="D4" s="115"/>
      <c r="E4" s="115"/>
    </row>
    <row r="5" spans="1:15">
      <c r="A5" s="116" t="s">
        <v>138</v>
      </c>
      <c r="B5" s="115"/>
      <c r="C5" s="115"/>
      <c r="D5" s="115"/>
      <c r="E5" s="115"/>
    </row>
    <row r="7" spans="1:15">
      <c r="A7" s="178" t="s">
        <v>140</v>
      </c>
      <c r="B7" s="178"/>
      <c r="C7" s="178"/>
    </row>
    <row r="8" spans="1:15" ht="14.65" thickBot="1">
      <c r="A8" s="28" t="s">
        <v>149</v>
      </c>
    </row>
    <row r="9" spans="1:15" ht="42.75">
      <c r="A9" s="126" t="s">
        <v>47</v>
      </c>
      <c r="B9" s="127" t="s">
        <v>48</v>
      </c>
      <c r="C9" s="127" t="s">
        <v>141</v>
      </c>
      <c r="D9" s="128" t="s">
        <v>49</v>
      </c>
      <c r="E9" s="127" t="s">
        <v>142</v>
      </c>
      <c r="F9" s="128" t="s">
        <v>49</v>
      </c>
      <c r="G9" s="127" t="s">
        <v>143</v>
      </c>
      <c r="H9" s="128" t="s">
        <v>49</v>
      </c>
      <c r="I9" s="127" t="s">
        <v>144</v>
      </c>
      <c r="J9" s="128" t="s">
        <v>145</v>
      </c>
      <c r="K9" s="127" t="s">
        <v>146</v>
      </c>
      <c r="L9" s="128" t="s">
        <v>49</v>
      </c>
      <c r="M9" s="127" t="s">
        <v>50</v>
      </c>
      <c r="N9" s="128" t="s">
        <v>145</v>
      </c>
      <c r="O9" s="129" t="s">
        <v>51</v>
      </c>
    </row>
    <row r="10" spans="1:15">
      <c r="A10" s="120">
        <v>2014</v>
      </c>
      <c r="B10" s="30" t="s">
        <v>52</v>
      </c>
      <c r="C10" s="30">
        <f>[1]Sum_R!K3</f>
        <v>5815</v>
      </c>
      <c r="D10" s="117">
        <f>C10* (50/2)</f>
        <v>145375</v>
      </c>
      <c r="E10" s="30">
        <f>[1]Sum_R!L3</f>
        <v>16083</v>
      </c>
      <c r="F10" s="117">
        <f t="shared" ref="F10:F33" si="0">E10*((75+51)/2)</f>
        <v>1013229</v>
      </c>
      <c r="G10" s="30">
        <f>[1]Sum_R!M3</f>
        <v>16228</v>
      </c>
      <c r="H10" s="117">
        <f t="shared" ref="H10:H33" si="1">G10*((76+100)/2)</f>
        <v>1428064</v>
      </c>
      <c r="I10" s="30">
        <f>[1]Sum_R!N3</f>
        <v>12721</v>
      </c>
      <c r="J10" s="117">
        <f t="shared" ref="J10:J33" si="2">I10*((101+150)/2)</f>
        <v>1596485.5</v>
      </c>
      <c r="K10" s="30">
        <f>[1]Sum_R!O3</f>
        <v>3725</v>
      </c>
      <c r="L10" s="117">
        <f t="shared" ref="L10:L33" si="3">K10*((151+250)/2)</f>
        <v>746862.5</v>
      </c>
      <c r="M10" s="30">
        <f>[1]Sum_R!P3</f>
        <v>727</v>
      </c>
      <c r="N10" s="117">
        <f t="shared" ref="N10:N33" si="4">M10*250</f>
        <v>181750</v>
      </c>
      <c r="O10" s="121">
        <f t="shared" ref="O10:O33" si="5">N10+L10+J10+H10+F10+D10</f>
        <v>5111766</v>
      </c>
    </row>
    <row r="11" spans="1:15">
      <c r="A11" s="120"/>
      <c r="B11" s="30" t="s">
        <v>53</v>
      </c>
      <c r="C11" s="30">
        <f>[1]Sum_R!K4</f>
        <v>69</v>
      </c>
      <c r="D11" s="117">
        <f t="shared" ref="D11:D33" si="6">C11* (50/2)</f>
        <v>1725</v>
      </c>
      <c r="E11" s="30">
        <f>[1]Sum_R!L4</f>
        <v>50</v>
      </c>
      <c r="F11" s="117">
        <f t="shared" si="0"/>
        <v>3150</v>
      </c>
      <c r="G11" s="30">
        <f>[1]Sum_R!M4</f>
        <v>120</v>
      </c>
      <c r="H11" s="117">
        <f t="shared" si="1"/>
        <v>10560</v>
      </c>
      <c r="I11" s="30">
        <f>[1]Sum_R!N4</f>
        <v>96</v>
      </c>
      <c r="J11" s="117">
        <f t="shared" si="2"/>
        <v>12048</v>
      </c>
      <c r="K11" s="30">
        <f>[1]Sum_R!O4</f>
        <v>21</v>
      </c>
      <c r="L11" s="117">
        <f t="shared" si="3"/>
        <v>4210.5</v>
      </c>
      <c r="M11" s="30">
        <f>[1]Sum_R!P4</f>
        <v>0</v>
      </c>
      <c r="N11" s="117">
        <f t="shared" si="4"/>
        <v>0</v>
      </c>
      <c r="O11" s="121">
        <f t="shared" si="5"/>
        <v>31693.5</v>
      </c>
    </row>
    <row r="12" spans="1:15">
      <c r="A12" s="120"/>
      <c r="B12" s="30" t="s">
        <v>54</v>
      </c>
      <c r="C12" s="30">
        <f>[1]Sum_R!K5</f>
        <v>657</v>
      </c>
      <c r="D12" s="117">
        <f t="shared" si="6"/>
        <v>16425</v>
      </c>
      <c r="E12" s="30">
        <f>[1]Sum_R!L5</f>
        <v>124</v>
      </c>
      <c r="F12" s="117">
        <f t="shared" si="0"/>
        <v>7812</v>
      </c>
      <c r="G12" s="30">
        <f>[1]Sum_R!M5</f>
        <v>86</v>
      </c>
      <c r="H12" s="117">
        <f t="shared" si="1"/>
        <v>7568</v>
      </c>
      <c r="I12" s="30">
        <f>[1]Sum_R!N5</f>
        <v>90</v>
      </c>
      <c r="J12" s="117">
        <f t="shared" si="2"/>
        <v>11295</v>
      </c>
      <c r="K12" s="30">
        <f>[1]Sum_R!O5</f>
        <v>36</v>
      </c>
      <c r="L12" s="117">
        <f t="shared" si="3"/>
        <v>7218</v>
      </c>
      <c r="M12" s="30">
        <f>[1]Sum_R!P5</f>
        <v>41</v>
      </c>
      <c r="N12" s="117">
        <f t="shared" si="4"/>
        <v>10250</v>
      </c>
      <c r="O12" s="121">
        <f t="shared" si="5"/>
        <v>60568</v>
      </c>
    </row>
    <row r="13" spans="1:15">
      <c r="A13" s="120">
        <v>2015</v>
      </c>
      <c r="B13" s="30" t="s">
        <v>52</v>
      </c>
      <c r="C13" s="30">
        <f>[1]Sum_R!K6</f>
        <v>6020</v>
      </c>
      <c r="D13" s="117">
        <f t="shared" si="6"/>
        <v>150500</v>
      </c>
      <c r="E13" s="30">
        <f>[1]Sum_R!L6</f>
        <v>16064</v>
      </c>
      <c r="F13" s="117">
        <f t="shared" si="0"/>
        <v>1012032</v>
      </c>
      <c r="G13" s="30">
        <f>[1]Sum_R!M6</f>
        <v>16268</v>
      </c>
      <c r="H13" s="117">
        <f t="shared" si="1"/>
        <v>1431584</v>
      </c>
      <c r="I13" s="30">
        <f>[1]Sum_R!N6</f>
        <v>12792</v>
      </c>
      <c r="J13" s="117">
        <f t="shared" si="2"/>
        <v>1605396</v>
      </c>
      <c r="K13" s="30">
        <f>[1]Sum_R!O6</f>
        <v>3763</v>
      </c>
      <c r="L13" s="117">
        <f t="shared" si="3"/>
        <v>754481.5</v>
      </c>
      <c r="M13" s="30">
        <f>[1]Sum_R!P6</f>
        <v>718</v>
      </c>
      <c r="N13" s="117">
        <f t="shared" si="4"/>
        <v>179500</v>
      </c>
      <c r="O13" s="121">
        <f t="shared" si="5"/>
        <v>5133493.5</v>
      </c>
    </row>
    <row r="14" spans="1:15">
      <c r="A14" s="120"/>
      <c r="B14" s="30" t="s">
        <v>53</v>
      </c>
      <c r="C14" s="30">
        <f>[1]Sum_R!K7</f>
        <v>0</v>
      </c>
      <c r="D14" s="117">
        <f t="shared" si="6"/>
        <v>0</v>
      </c>
      <c r="E14" s="30">
        <f>[1]Sum_R!L7</f>
        <v>6</v>
      </c>
      <c r="F14" s="117">
        <f t="shared" si="0"/>
        <v>378</v>
      </c>
      <c r="G14" s="30">
        <f>[1]Sum_R!M7</f>
        <v>15</v>
      </c>
      <c r="H14" s="117">
        <f t="shared" si="1"/>
        <v>1320</v>
      </c>
      <c r="I14" s="30">
        <f>[1]Sum_R!N7</f>
        <v>32</v>
      </c>
      <c r="J14" s="117">
        <f t="shared" si="2"/>
        <v>4016</v>
      </c>
      <c r="K14" s="30">
        <f>[1]Sum_R!O7</f>
        <v>10</v>
      </c>
      <c r="L14" s="117">
        <f t="shared" si="3"/>
        <v>2005</v>
      </c>
      <c r="M14" s="30">
        <f>[1]Sum_R!P7</f>
        <v>0</v>
      </c>
      <c r="N14" s="117">
        <f t="shared" si="4"/>
        <v>0</v>
      </c>
      <c r="O14" s="121">
        <f t="shared" si="5"/>
        <v>7719</v>
      </c>
    </row>
    <row r="15" spans="1:15">
      <c r="A15" s="120"/>
      <c r="B15" s="30" t="s">
        <v>54</v>
      </c>
      <c r="C15" s="30">
        <f>[1]Sum_R!K8</f>
        <v>691</v>
      </c>
      <c r="D15" s="117">
        <f t="shared" si="6"/>
        <v>17275</v>
      </c>
      <c r="E15" s="30">
        <f>[1]Sum_R!L8</f>
        <v>322</v>
      </c>
      <c r="F15" s="117">
        <f t="shared" si="0"/>
        <v>20286</v>
      </c>
      <c r="G15" s="30">
        <f>[1]Sum_R!M8</f>
        <v>360</v>
      </c>
      <c r="H15" s="117">
        <f t="shared" si="1"/>
        <v>31680</v>
      </c>
      <c r="I15" s="30">
        <f>[1]Sum_R!N8</f>
        <v>257</v>
      </c>
      <c r="J15" s="117">
        <f t="shared" si="2"/>
        <v>32253.5</v>
      </c>
      <c r="K15" s="30">
        <f>[1]Sum_R!O8</f>
        <v>39</v>
      </c>
      <c r="L15" s="117">
        <f t="shared" si="3"/>
        <v>7819.5</v>
      </c>
      <c r="M15" s="30">
        <f>[1]Sum_R!P8</f>
        <v>42</v>
      </c>
      <c r="N15" s="117">
        <f t="shared" si="4"/>
        <v>10500</v>
      </c>
      <c r="O15" s="121">
        <f t="shared" si="5"/>
        <v>119814</v>
      </c>
    </row>
    <row r="16" spans="1:15">
      <c r="A16" s="120">
        <v>2016</v>
      </c>
      <c r="B16" s="30" t="s">
        <v>52</v>
      </c>
      <c r="C16" s="30">
        <f>[1]Sum_R!K9</f>
        <v>6312</v>
      </c>
      <c r="D16" s="117">
        <f t="shared" si="6"/>
        <v>157800</v>
      </c>
      <c r="E16" s="30">
        <f>[1]Sum_R!L9</f>
        <v>16088</v>
      </c>
      <c r="F16" s="117">
        <f t="shared" si="0"/>
        <v>1013544</v>
      </c>
      <c r="G16" s="30">
        <f>[1]Sum_R!M9</f>
        <v>16193</v>
      </c>
      <c r="H16" s="117">
        <f t="shared" si="1"/>
        <v>1424984</v>
      </c>
      <c r="I16" s="30">
        <f>[1]Sum_R!N9</f>
        <v>12855</v>
      </c>
      <c r="J16" s="117">
        <f t="shared" si="2"/>
        <v>1613302.5</v>
      </c>
      <c r="K16" s="30">
        <f>[1]Sum_R!O9</f>
        <v>3836</v>
      </c>
      <c r="L16" s="117">
        <f t="shared" si="3"/>
        <v>769118</v>
      </c>
      <c r="M16" s="30">
        <f>[1]Sum_R!P9</f>
        <v>742</v>
      </c>
      <c r="N16" s="117">
        <f t="shared" si="4"/>
        <v>185500</v>
      </c>
      <c r="O16" s="121">
        <f t="shared" si="5"/>
        <v>5164248.5</v>
      </c>
    </row>
    <row r="17" spans="1:15">
      <c r="A17" s="120"/>
      <c r="B17" s="30" t="s">
        <v>53</v>
      </c>
      <c r="C17" s="30">
        <f>[1]Sum_R!K10</f>
        <v>660</v>
      </c>
      <c r="D17" s="117">
        <f t="shared" si="6"/>
        <v>16500</v>
      </c>
      <c r="E17" s="30">
        <f>[1]Sum_R!L10</f>
        <v>217</v>
      </c>
      <c r="F17" s="117">
        <f t="shared" si="0"/>
        <v>13671</v>
      </c>
      <c r="G17" s="30">
        <f>[1]Sum_R!M10</f>
        <v>87</v>
      </c>
      <c r="H17" s="117">
        <f t="shared" si="1"/>
        <v>7656</v>
      </c>
      <c r="I17" s="30">
        <f>[1]Sum_R!N10</f>
        <v>223</v>
      </c>
      <c r="J17" s="117">
        <f t="shared" si="2"/>
        <v>27986.5</v>
      </c>
      <c r="K17" s="30">
        <f>[1]Sum_R!O10</f>
        <v>6</v>
      </c>
      <c r="L17" s="117">
        <f t="shared" si="3"/>
        <v>1203</v>
      </c>
      <c r="M17" s="30">
        <f>[1]Sum_R!P10</f>
        <v>0</v>
      </c>
      <c r="N17" s="117">
        <f t="shared" si="4"/>
        <v>0</v>
      </c>
      <c r="O17" s="121">
        <f t="shared" si="5"/>
        <v>67016.5</v>
      </c>
    </row>
    <row r="18" spans="1:15">
      <c r="A18" s="120"/>
      <c r="B18" s="30" t="s">
        <v>54</v>
      </c>
      <c r="C18" s="30">
        <f>[1]Sum_R!K11</f>
        <v>117</v>
      </c>
      <c r="D18" s="117">
        <f t="shared" si="6"/>
        <v>2925</v>
      </c>
      <c r="E18" s="30">
        <f>[1]Sum_R!L11</f>
        <v>304</v>
      </c>
      <c r="F18" s="117">
        <f t="shared" si="0"/>
        <v>19152</v>
      </c>
      <c r="G18" s="30">
        <f>[1]Sum_R!M11</f>
        <v>551</v>
      </c>
      <c r="H18" s="117">
        <f t="shared" si="1"/>
        <v>48488</v>
      </c>
      <c r="I18" s="30">
        <f>[1]Sum_R!N11</f>
        <v>356</v>
      </c>
      <c r="J18" s="117">
        <f t="shared" si="2"/>
        <v>44678</v>
      </c>
      <c r="K18" s="30">
        <f>[1]Sum_R!O11</f>
        <v>62</v>
      </c>
      <c r="L18" s="117">
        <f t="shared" si="3"/>
        <v>12431</v>
      </c>
      <c r="M18" s="30">
        <f>[1]Sum_R!P11</f>
        <v>43</v>
      </c>
      <c r="N18" s="117">
        <f t="shared" si="4"/>
        <v>10750</v>
      </c>
      <c r="O18" s="121">
        <f t="shared" si="5"/>
        <v>138424</v>
      </c>
    </row>
    <row r="19" spans="1:15">
      <c r="A19" s="120">
        <v>2017</v>
      </c>
      <c r="B19" s="30" t="s">
        <v>52</v>
      </c>
      <c r="C19" s="30">
        <f>[1]Sum_R!K12</f>
        <v>6968</v>
      </c>
      <c r="D19" s="117">
        <f t="shared" si="6"/>
        <v>174200</v>
      </c>
      <c r="E19" s="30">
        <f>[1]Sum_R!L12</f>
        <v>16505</v>
      </c>
      <c r="F19" s="117">
        <f t="shared" si="0"/>
        <v>1039815</v>
      </c>
      <c r="G19" s="30">
        <f>[1]Sum_R!M12</f>
        <v>16281</v>
      </c>
      <c r="H19" s="117">
        <f t="shared" si="1"/>
        <v>1432728</v>
      </c>
      <c r="I19" s="30">
        <f>[1]Sum_R!N12</f>
        <v>13078</v>
      </c>
      <c r="J19" s="117">
        <f t="shared" si="2"/>
        <v>1641289</v>
      </c>
      <c r="K19" s="30">
        <f>[1]Sum_R!O12</f>
        <v>3846</v>
      </c>
      <c r="L19" s="117">
        <f t="shared" si="3"/>
        <v>771123</v>
      </c>
      <c r="M19" s="30">
        <f>[1]Sum_R!P12</f>
        <v>752</v>
      </c>
      <c r="N19" s="117">
        <f t="shared" si="4"/>
        <v>188000</v>
      </c>
      <c r="O19" s="121">
        <f t="shared" si="5"/>
        <v>5247155</v>
      </c>
    </row>
    <row r="20" spans="1:15">
      <c r="A20" s="120"/>
      <c r="B20" s="30" t="s">
        <v>53</v>
      </c>
      <c r="C20" s="30">
        <f>[1]Sum_R!K13</f>
        <v>28</v>
      </c>
      <c r="D20" s="117">
        <f t="shared" si="6"/>
        <v>700</v>
      </c>
      <c r="E20" s="30">
        <f>[1]Sum_R!L13</f>
        <v>142</v>
      </c>
      <c r="F20" s="117">
        <f t="shared" si="0"/>
        <v>8946</v>
      </c>
      <c r="G20" s="30">
        <f>[1]Sum_R!M13</f>
        <v>317</v>
      </c>
      <c r="H20" s="117">
        <f t="shared" si="1"/>
        <v>27896</v>
      </c>
      <c r="I20" s="30">
        <f>[1]Sum_R!N13</f>
        <v>211</v>
      </c>
      <c r="J20" s="117">
        <f t="shared" si="2"/>
        <v>26480.5</v>
      </c>
      <c r="K20" s="30">
        <f>[1]Sum_R!O13</f>
        <v>15</v>
      </c>
      <c r="L20" s="117">
        <f t="shared" si="3"/>
        <v>3007.5</v>
      </c>
      <c r="M20" s="30">
        <f>[1]Sum_R!P13</f>
        <v>3</v>
      </c>
      <c r="N20" s="117">
        <f t="shared" si="4"/>
        <v>750</v>
      </c>
      <c r="O20" s="121">
        <f t="shared" si="5"/>
        <v>67780</v>
      </c>
    </row>
    <row r="21" spans="1:15">
      <c r="A21" s="120"/>
      <c r="B21" s="30" t="s">
        <v>54</v>
      </c>
      <c r="C21" s="30">
        <f>[1]Sum_R!K14</f>
        <v>293</v>
      </c>
      <c r="D21" s="117">
        <f t="shared" si="6"/>
        <v>7325</v>
      </c>
      <c r="E21" s="30">
        <f>[1]Sum_R!L14</f>
        <v>298</v>
      </c>
      <c r="F21" s="117">
        <f t="shared" si="0"/>
        <v>18774</v>
      </c>
      <c r="G21" s="30">
        <f>[1]Sum_R!M14</f>
        <v>396</v>
      </c>
      <c r="H21" s="117">
        <f t="shared" si="1"/>
        <v>34848</v>
      </c>
      <c r="I21" s="30">
        <f>[1]Sum_R!N14</f>
        <v>237</v>
      </c>
      <c r="J21" s="117">
        <f t="shared" si="2"/>
        <v>29743.5</v>
      </c>
      <c r="K21" s="30">
        <f>[1]Sum_R!O14</f>
        <v>47</v>
      </c>
      <c r="L21" s="117">
        <f t="shared" si="3"/>
        <v>9423.5</v>
      </c>
      <c r="M21" s="30">
        <f>[1]Sum_R!P14</f>
        <v>38</v>
      </c>
      <c r="N21" s="117">
        <f t="shared" si="4"/>
        <v>9500</v>
      </c>
      <c r="O21" s="121">
        <f t="shared" si="5"/>
        <v>109614</v>
      </c>
    </row>
    <row r="22" spans="1:15">
      <c r="A22" s="120">
        <v>2018</v>
      </c>
      <c r="B22" s="30" t="s">
        <v>52</v>
      </c>
      <c r="C22" s="30">
        <f>[1]Sum_R!K15</f>
        <v>6860</v>
      </c>
      <c r="D22" s="117">
        <f t="shared" si="6"/>
        <v>171500</v>
      </c>
      <c r="E22" s="30">
        <f>[1]Sum_R!L15</f>
        <v>16767</v>
      </c>
      <c r="F22" s="117">
        <f t="shared" si="0"/>
        <v>1056321</v>
      </c>
      <c r="G22" s="30">
        <f>[1]Sum_R!M15</f>
        <v>16660</v>
      </c>
      <c r="H22" s="117">
        <f t="shared" si="1"/>
        <v>1466080</v>
      </c>
      <c r="I22" s="30">
        <f>[1]Sum_R!N15</f>
        <v>13346</v>
      </c>
      <c r="J22" s="117">
        <f t="shared" si="2"/>
        <v>1674923</v>
      </c>
      <c r="K22" s="30">
        <f>[1]Sum_R!O15</f>
        <v>3897</v>
      </c>
      <c r="L22" s="117">
        <f t="shared" si="3"/>
        <v>781348.5</v>
      </c>
      <c r="M22" s="30">
        <f>[1]Sum_R!P15</f>
        <v>760</v>
      </c>
      <c r="N22" s="117">
        <f t="shared" si="4"/>
        <v>190000</v>
      </c>
      <c r="O22" s="121">
        <f t="shared" si="5"/>
        <v>5340172.5</v>
      </c>
    </row>
    <row r="23" spans="1:15">
      <c r="A23" s="120"/>
      <c r="B23" s="30" t="s">
        <v>53</v>
      </c>
      <c r="C23" s="30">
        <f>[1]Sum_R!K16</f>
        <v>136</v>
      </c>
      <c r="D23" s="117">
        <f t="shared" si="6"/>
        <v>3400</v>
      </c>
      <c r="E23" s="30">
        <f>[1]Sum_R!L16</f>
        <v>170</v>
      </c>
      <c r="F23" s="117">
        <f t="shared" si="0"/>
        <v>10710</v>
      </c>
      <c r="G23" s="30">
        <f>[1]Sum_R!M16</f>
        <v>144</v>
      </c>
      <c r="H23" s="117">
        <f t="shared" si="1"/>
        <v>12672</v>
      </c>
      <c r="I23" s="30">
        <f>[1]Sum_R!N16</f>
        <v>66</v>
      </c>
      <c r="J23" s="117">
        <f t="shared" si="2"/>
        <v>8283</v>
      </c>
      <c r="K23" s="30">
        <f>[1]Sum_R!O16</f>
        <v>17</v>
      </c>
      <c r="L23" s="117">
        <f t="shared" si="3"/>
        <v>3408.5</v>
      </c>
      <c r="M23" s="30">
        <f>[1]Sum_R!P16</f>
        <v>0</v>
      </c>
      <c r="N23" s="117">
        <f t="shared" si="4"/>
        <v>0</v>
      </c>
      <c r="O23" s="121">
        <f t="shared" si="5"/>
        <v>38473.5</v>
      </c>
    </row>
    <row r="24" spans="1:15">
      <c r="A24" s="120"/>
      <c r="B24" s="30" t="s">
        <v>54</v>
      </c>
      <c r="C24" s="30">
        <f>[1]Sum_R!K17</f>
        <v>802</v>
      </c>
      <c r="D24" s="117">
        <f t="shared" si="6"/>
        <v>20050</v>
      </c>
      <c r="E24" s="30">
        <f>[1]Sum_R!L17</f>
        <v>307</v>
      </c>
      <c r="F24" s="117">
        <f t="shared" si="0"/>
        <v>19341</v>
      </c>
      <c r="G24" s="30">
        <f>[1]Sum_R!M17</f>
        <v>297</v>
      </c>
      <c r="H24" s="117">
        <f t="shared" si="1"/>
        <v>26136</v>
      </c>
      <c r="I24" s="30">
        <f>[1]Sum_R!N17</f>
        <v>225</v>
      </c>
      <c r="J24" s="117">
        <f t="shared" si="2"/>
        <v>28237.5</v>
      </c>
      <c r="K24" s="30">
        <f>[1]Sum_R!O17</f>
        <v>30</v>
      </c>
      <c r="L24" s="117">
        <f t="shared" si="3"/>
        <v>6015</v>
      </c>
      <c r="M24" s="30">
        <f>[1]Sum_R!P17</f>
        <v>38</v>
      </c>
      <c r="N24" s="117">
        <f t="shared" si="4"/>
        <v>9500</v>
      </c>
      <c r="O24" s="121">
        <f t="shared" si="5"/>
        <v>109279.5</v>
      </c>
    </row>
    <row r="25" spans="1:15">
      <c r="A25" s="120">
        <v>2019</v>
      </c>
      <c r="B25" s="30" t="s">
        <v>52</v>
      </c>
      <c r="C25" s="30">
        <f>[1]Sum_R!K18</f>
        <v>7140</v>
      </c>
      <c r="D25" s="117">
        <f t="shared" si="6"/>
        <v>178500</v>
      </c>
      <c r="E25" s="30">
        <f>[1]Sum_R!L18</f>
        <v>16956</v>
      </c>
      <c r="F25" s="117">
        <f t="shared" si="0"/>
        <v>1068228</v>
      </c>
      <c r="G25" s="30">
        <f>[1]Sum_R!M18</f>
        <v>16773</v>
      </c>
      <c r="H25" s="117">
        <f t="shared" si="1"/>
        <v>1476024</v>
      </c>
      <c r="I25" s="30">
        <f>[1]Sum_R!N18</f>
        <v>13414</v>
      </c>
      <c r="J25" s="117">
        <f t="shared" si="2"/>
        <v>1683457</v>
      </c>
      <c r="K25" s="30">
        <f>[1]Sum_R!O18</f>
        <v>3930</v>
      </c>
      <c r="L25" s="117">
        <f t="shared" si="3"/>
        <v>787965</v>
      </c>
      <c r="M25" s="30">
        <f>[1]Sum_R!P18</f>
        <v>761</v>
      </c>
      <c r="N25" s="117">
        <f t="shared" si="4"/>
        <v>190250</v>
      </c>
      <c r="O25" s="121">
        <f t="shared" si="5"/>
        <v>5384424</v>
      </c>
    </row>
    <row r="26" spans="1:15">
      <c r="A26" s="120"/>
      <c r="B26" s="30" t="s">
        <v>53</v>
      </c>
      <c r="C26" s="30">
        <f>[1]Sum_R!K19</f>
        <v>267</v>
      </c>
      <c r="D26" s="117">
        <f t="shared" si="6"/>
        <v>6675</v>
      </c>
      <c r="E26" s="30">
        <f>[1]Sum_R!L19</f>
        <v>140</v>
      </c>
      <c r="F26" s="117">
        <f t="shared" si="0"/>
        <v>8820</v>
      </c>
      <c r="G26" s="30">
        <f>[1]Sum_R!M19</f>
        <v>189</v>
      </c>
      <c r="H26" s="117">
        <f t="shared" si="1"/>
        <v>16632</v>
      </c>
      <c r="I26" s="30">
        <f>[1]Sum_R!N19</f>
        <v>69</v>
      </c>
      <c r="J26" s="117">
        <f t="shared" si="2"/>
        <v>8659.5</v>
      </c>
      <c r="K26" s="30">
        <f>[1]Sum_R!O19</f>
        <v>26</v>
      </c>
      <c r="L26" s="117">
        <f t="shared" si="3"/>
        <v>5213</v>
      </c>
      <c r="M26" s="30">
        <f>[1]Sum_R!P19</f>
        <v>0</v>
      </c>
      <c r="N26" s="117">
        <f t="shared" si="4"/>
        <v>0</v>
      </c>
      <c r="O26" s="121">
        <f t="shared" si="5"/>
        <v>45999.5</v>
      </c>
    </row>
    <row r="27" spans="1:15">
      <c r="A27" s="120"/>
      <c r="B27" s="30" t="s">
        <v>54</v>
      </c>
      <c r="C27" s="30">
        <f>[1]Sum_R!K20</f>
        <v>1310</v>
      </c>
      <c r="D27" s="117">
        <f t="shared" si="6"/>
        <v>32750</v>
      </c>
      <c r="E27" s="30">
        <f>[1]Sum_R!L20</f>
        <v>250</v>
      </c>
      <c r="F27" s="117">
        <f t="shared" si="0"/>
        <v>15750</v>
      </c>
      <c r="G27" s="30">
        <f>[1]Sum_R!M20</f>
        <v>161</v>
      </c>
      <c r="H27" s="117">
        <f t="shared" si="1"/>
        <v>14168</v>
      </c>
      <c r="I27" s="30">
        <f>[1]Sum_R!N20</f>
        <v>196</v>
      </c>
      <c r="J27" s="117">
        <f t="shared" si="2"/>
        <v>24598</v>
      </c>
      <c r="K27" s="30">
        <f>[1]Sum_R!O20</f>
        <v>17</v>
      </c>
      <c r="L27" s="117">
        <f t="shared" si="3"/>
        <v>3408.5</v>
      </c>
      <c r="M27" s="30">
        <f>[1]Sum_R!P20</f>
        <v>0</v>
      </c>
      <c r="N27" s="117">
        <f t="shared" si="4"/>
        <v>0</v>
      </c>
      <c r="O27" s="121">
        <f t="shared" si="5"/>
        <v>90674.5</v>
      </c>
    </row>
    <row r="28" spans="1:15">
      <c r="A28" s="120">
        <v>2020</v>
      </c>
      <c r="B28" s="30" t="s">
        <v>52</v>
      </c>
      <c r="C28" s="30">
        <f>[1]Sum_R!K21</f>
        <v>7587</v>
      </c>
      <c r="D28" s="117">
        <f t="shared" si="6"/>
        <v>189675</v>
      </c>
      <c r="E28" s="30">
        <f>[1]Sum_R!L21</f>
        <v>17079</v>
      </c>
      <c r="F28" s="117">
        <f t="shared" si="0"/>
        <v>1075977</v>
      </c>
      <c r="G28" s="30">
        <f>[1]Sum_R!M21</f>
        <v>16922</v>
      </c>
      <c r="H28" s="117">
        <f t="shared" si="1"/>
        <v>1489136</v>
      </c>
      <c r="I28" s="30">
        <f>[1]Sum_R!N21</f>
        <v>13454</v>
      </c>
      <c r="J28" s="117">
        <f t="shared" si="2"/>
        <v>1688477</v>
      </c>
      <c r="K28" s="30">
        <f>[1]Sum_R!O21</f>
        <v>3921</v>
      </c>
      <c r="L28" s="117">
        <f t="shared" si="3"/>
        <v>786160.5</v>
      </c>
      <c r="M28" s="30">
        <f>[1]Sum_R!P21</f>
        <v>702</v>
      </c>
      <c r="N28" s="117">
        <f t="shared" si="4"/>
        <v>175500</v>
      </c>
      <c r="O28" s="121">
        <f t="shared" si="5"/>
        <v>5404925.5</v>
      </c>
    </row>
    <row r="29" spans="1:15">
      <c r="A29" s="120"/>
      <c r="B29" s="30" t="s">
        <v>53</v>
      </c>
      <c r="C29" s="30">
        <f>[1]Sum_R!K22</f>
        <v>497</v>
      </c>
      <c r="D29" s="117">
        <f t="shared" si="6"/>
        <v>12425</v>
      </c>
      <c r="E29" s="30">
        <f>[1]Sum_R!L22</f>
        <v>8</v>
      </c>
      <c r="F29" s="117">
        <f t="shared" si="0"/>
        <v>504</v>
      </c>
      <c r="G29" s="30">
        <f>[1]Sum_R!M22</f>
        <v>28</v>
      </c>
      <c r="H29" s="117">
        <f t="shared" si="1"/>
        <v>2464</v>
      </c>
      <c r="I29" s="30">
        <f>[1]Sum_R!N22</f>
        <v>24</v>
      </c>
      <c r="J29" s="117">
        <f t="shared" si="2"/>
        <v>3012</v>
      </c>
      <c r="K29" s="30">
        <f>[1]Sum_R!O22</f>
        <v>0</v>
      </c>
      <c r="L29" s="117">
        <f t="shared" si="3"/>
        <v>0</v>
      </c>
      <c r="M29" s="30">
        <f>[1]Sum_R!P22</f>
        <v>0</v>
      </c>
      <c r="N29" s="117">
        <f t="shared" si="4"/>
        <v>0</v>
      </c>
      <c r="O29" s="121">
        <f t="shared" si="5"/>
        <v>18405</v>
      </c>
    </row>
    <row r="30" spans="1:15">
      <c r="A30" s="120"/>
      <c r="B30" s="30" t="s">
        <v>54</v>
      </c>
      <c r="C30" s="30">
        <f>[1]Sum_R!K23</f>
        <v>942</v>
      </c>
      <c r="D30" s="117">
        <f t="shared" si="6"/>
        <v>23550</v>
      </c>
      <c r="E30" s="30">
        <f>[1]Sum_R!L23</f>
        <v>468</v>
      </c>
      <c r="F30" s="117">
        <f t="shared" si="0"/>
        <v>29484</v>
      </c>
      <c r="G30" s="30">
        <f>[1]Sum_R!M23</f>
        <v>199</v>
      </c>
      <c r="H30" s="117">
        <f t="shared" si="1"/>
        <v>17512</v>
      </c>
      <c r="I30" s="30">
        <f>[1]Sum_R!N23</f>
        <v>177</v>
      </c>
      <c r="J30" s="117">
        <f t="shared" si="2"/>
        <v>22213.5</v>
      </c>
      <c r="K30" s="30">
        <f>[1]Sum_R!O23</f>
        <v>23</v>
      </c>
      <c r="L30" s="117">
        <f t="shared" si="3"/>
        <v>4611.5</v>
      </c>
      <c r="M30" s="30">
        <f>[1]Sum_R!P23</f>
        <v>0</v>
      </c>
      <c r="N30" s="117">
        <f t="shared" si="4"/>
        <v>0</v>
      </c>
      <c r="O30" s="121">
        <f t="shared" si="5"/>
        <v>97371</v>
      </c>
    </row>
    <row r="31" spans="1:15">
      <c r="A31" s="120">
        <v>2021</v>
      </c>
      <c r="B31" s="30" t="s">
        <v>52</v>
      </c>
      <c r="C31" s="30">
        <f>[1]Sum_R!K24</f>
        <v>8318</v>
      </c>
      <c r="D31" s="117">
        <f t="shared" si="6"/>
        <v>207950</v>
      </c>
      <c r="E31" s="30">
        <f>[1]Sum_R!L24</f>
        <v>17113</v>
      </c>
      <c r="F31" s="117">
        <f t="shared" si="0"/>
        <v>1078119</v>
      </c>
      <c r="G31" s="30">
        <f>[1]Sum_R!M24</f>
        <v>16946</v>
      </c>
      <c r="H31" s="117">
        <f t="shared" si="1"/>
        <v>1491248</v>
      </c>
      <c r="I31" s="30">
        <f>[1]Sum_R!N24</f>
        <v>13531</v>
      </c>
      <c r="J31" s="117">
        <f t="shared" si="2"/>
        <v>1698140.5</v>
      </c>
      <c r="K31" s="30">
        <f>[1]Sum_R!O24</f>
        <v>3964</v>
      </c>
      <c r="L31" s="117">
        <f t="shared" si="3"/>
        <v>794782</v>
      </c>
      <c r="M31" s="30">
        <f>[1]Sum_R!P24</f>
        <v>768</v>
      </c>
      <c r="N31" s="117">
        <f t="shared" si="4"/>
        <v>192000</v>
      </c>
      <c r="O31" s="121">
        <f t="shared" si="5"/>
        <v>5462239.5</v>
      </c>
    </row>
    <row r="32" spans="1:15">
      <c r="A32" s="120"/>
      <c r="B32" s="30" t="s">
        <v>53</v>
      </c>
      <c r="C32" s="30">
        <f>[1]Sum_R!K25</f>
        <v>157</v>
      </c>
      <c r="D32" s="117">
        <f t="shared" si="6"/>
        <v>3925</v>
      </c>
      <c r="E32" s="30">
        <f>[1]Sum_R!L25</f>
        <v>175</v>
      </c>
      <c r="F32" s="117">
        <f t="shared" si="0"/>
        <v>11025</v>
      </c>
      <c r="G32" s="30">
        <f>[1]Sum_R!M25</f>
        <v>81</v>
      </c>
      <c r="H32" s="117">
        <f t="shared" si="1"/>
        <v>7128</v>
      </c>
      <c r="I32" s="30">
        <f>[1]Sum_R!N25</f>
        <v>145</v>
      </c>
      <c r="J32" s="117">
        <f t="shared" si="2"/>
        <v>18197.5</v>
      </c>
      <c r="K32" s="30">
        <f>[1]Sum_R!O25</f>
        <v>13</v>
      </c>
      <c r="L32" s="117">
        <f t="shared" si="3"/>
        <v>2606.5</v>
      </c>
      <c r="M32" s="30">
        <f>[1]Sum_R!P25</f>
        <v>0</v>
      </c>
      <c r="N32" s="117">
        <f t="shared" si="4"/>
        <v>0</v>
      </c>
      <c r="O32" s="121">
        <f t="shared" si="5"/>
        <v>42882</v>
      </c>
    </row>
    <row r="33" spans="1:15" ht="14.65" thickBot="1">
      <c r="A33" s="122"/>
      <c r="B33" s="123" t="s">
        <v>54</v>
      </c>
      <c r="C33" s="123">
        <f>[1]Sum_R!K26</f>
        <v>1879</v>
      </c>
      <c r="D33" s="124">
        <f t="shared" si="6"/>
        <v>46975</v>
      </c>
      <c r="E33" s="123">
        <f>[1]Sum_R!L26</f>
        <v>443</v>
      </c>
      <c r="F33" s="124">
        <f t="shared" si="0"/>
        <v>27909</v>
      </c>
      <c r="G33" s="123">
        <f>[1]Sum_R!M26</f>
        <v>473</v>
      </c>
      <c r="H33" s="124">
        <f t="shared" si="1"/>
        <v>41624</v>
      </c>
      <c r="I33" s="123">
        <f>[1]Sum_R!N26</f>
        <v>216</v>
      </c>
      <c r="J33" s="124">
        <f t="shared" si="2"/>
        <v>27108</v>
      </c>
      <c r="K33" s="123">
        <f>[1]Sum_R!O26</f>
        <v>59</v>
      </c>
      <c r="L33" s="124">
        <f t="shared" si="3"/>
        <v>11829.5</v>
      </c>
      <c r="M33" s="123">
        <f>[1]Sum_R!P26</f>
        <v>1</v>
      </c>
      <c r="N33" s="124">
        <f t="shared" si="4"/>
        <v>250</v>
      </c>
      <c r="O33" s="125">
        <f t="shared" si="5"/>
        <v>155695.5</v>
      </c>
    </row>
    <row r="36" spans="1:15">
      <c r="A36" s="114" t="s">
        <v>55</v>
      </c>
    </row>
    <row r="37" spans="1:15">
      <c r="A37" s="28" t="s">
        <v>56</v>
      </c>
      <c r="B37" s="116" t="s">
        <v>57</v>
      </c>
    </row>
    <row r="39" spans="1:15" ht="14.65" thickBot="1">
      <c r="A39" s="178" t="s">
        <v>147</v>
      </c>
      <c r="B39" s="178"/>
      <c r="C39" s="178"/>
      <c r="D39" s="178"/>
      <c r="E39" s="178"/>
    </row>
    <row r="40" spans="1:15">
      <c r="A40" s="130" t="str">
        <f>'[1]for R_type_assumption'!B23</f>
        <v>Apartment</v>
      </c>
      <c r="B40" s="131" t="str">
        <f>'[1]for R_type_assumption'!C23</f>
        <v>High rise</v>
      </c>
      <c r="C40" s="131" t="str">
        <f>'[1]for R_type_assumption'!D23</f>
        <v>Row house</v>
      </c>
      <c r="D40" s="132" t="str">
        <f>'[1]for R_type_assumption'!E23</f>
        <v>Single house</v>
      </c>
    </row>
    <row r="41" spans="1:15" ht="14.65" thickBot="1">
      <c r="A41" s="133">
        <f>'[1]for R_type_assumption'!B24</f>
        <v>0.60542080853954727</v>
      </c>
      <c r="B41" s="134">
        <f>'[1]for R_type_assumption'!C24</f>
        <v>0.134981608432688</v>
      </c>
      <c r="C41" s="134">
        <f>'[1]for R_type_assumption'!D24</f>
        <v>0.25349339239317303</v>
      </c>
      <c r="D41" s="135">
        <f>'[1]for R_type_assumption'!E24</f>
        <v>6.1041906345916585E-3</v>
      </c>
    </row>
    <row r="42" spans="1:15">
      <c r="A42" s="136"/>
      <c r="B42" s="136"/>
      <c r="C42" s="136"/>
      <c r="D42" s="136"/>
    </row>
    <row r="43" spans="1:15" ht="14.65" thickBot="1">
      <c r="A43" s="194" t="s">
        <v>148</v>
      </c>
      <c r="B43" s="194"/>
      <c r="C43" s="194"/>
      <c r="D43" s="194"/>
      <c r="E43" s="194"/>
    </row>
    <row r="44" spans="1:15">
      <c r="A44" s="118" t="s">
        <v>47</v>
      </c>
      <c r="B44" s="119" t="s">
        <v>48</v>
      </c>
      <c r="C44" s="119" t="str">
        <f t="shared" ref="C44:C68" si="7">O9</f>
        <v>Total - m2</v>
      </c>
      <c r="D44" s="119" t="s">
        <v>58</v>
      </c>
      <c r="E44" s="119" t="s">
        <v>59</v>
      </c>
      <c r="F44" s="119" t="s">
        <v>60</v>
      </c>
      <c r="G44" s="138" t="s">
        <v>61</v>
      </c>
    </row>
    <row r="45" spans="1:15">
      <c r="A45" s="120">
        <v>2014</v>
      </c>
      <c r="B45" s="30" t="s">
        <v>52</v>
      </c>
      <c r="C45" s="30">
        <f t="shared" si="7"/>
        <v>5111766</v>
      </c>
      <c r="D45" s="137">
        <f t="shared" ref="D45:D68" si="8">C45*$A$41</f>
        <v>3094769.5047849673</v>
      </c>
      <c r="E45" s="137">
        <f t="shared" ref="E45:E68" si="9">C45*$B$41</f>
        <v>689994.39661152777</v>
      </c>
      <c r="F45" s="137">
        <f t="shared" ref="F45:F68" si="10">C45*$C$41</f>
        <v>1295798.9044600804</v>
      </c>
      <c r="G45" s="139">
        <f t="shared" ref="G45:G68" si="11">C45*$D$41</f>
        <v>31203.194143424065</v>
      </c>
    </row>
    <row r="46" spans="1:15">
      <c r="A46" s="120"/>
      <c r="B46" s="30" t="s">
        <v>53</v>
      </c>
      <c r="C46" s="30">
        <f t="shared" si="7"/>
        <v>31693.5</v>
      </c>
      <c r="D46" s="137">
        <f t="shared" si="8"/>
        <v>19187.904395448142</v>
      </c>
      <c r="E46" s="137">
        <f t="shared" si="9"/>
        <v>4278.0396068613973</v>
      </c>
      <c r="F46" s="137">
        <f t="shared" si="10"/>
        <v>8034.09283181303</v>
      </c>
      <c r="G46" s="139">
        <f t="shared" si="11"/>
        <v>193.46316587743073</v>
      </c>
      <c r="J46" s="29"/>
      <c r="K46" s="29"/>
      <c r="L46" s="29"/>
      <c r="M46" s="29"/>
      <c r="N46" s="29"/>
    </row>
    <row r="47" spans="1:15">
      <c r="A47" s="120"/>
      <c r="B47" s="30" t="s">
        <v>54</v>
      </c>
      <c r="C47" s="30">
        <f t="shared" si="7"/>
        <v>60568</v>
      </c>
      <c r="D47" s="137">
        <f t="shared" si="8"/>
        <v>36669.1275316233</v>
      </c>
      <c r="E47" s="137">
        <f t="shared" si="9"/>
        <v>8175.5660595510471</v>
      </c>
      <c r="F47" s="137">
        <f t="shared" si="10"/>
        <v>15353.587790469704</v>
      </c>
      <c r="G47" s="139">
        <f t="shared" si="11"/>
        <v>369.71861835594757</v>
      </c>
      <c r="J47" s="29"/>
      <c r="K47" s="29"/>
      <c r="L47" s="29"/>
      <c r="M47" s="29"/>
      <c r="N47" s="29"/>
    </row>
    <row r="48" spans="1:15">
      <c r="A48" s="120">
        <v>2015</v>
      </c>
      <c r="B48" s="30" t="s">
        <v>52</v>
      </c>
      <c r="C48" s="30">
        <f t="shared" si="7"/>
        <v>5133493.5</v>
      </c>
      <c r="D48" s="137">
        <f t="shared" si="8"/>
        <v>3107923.7854025103</v>
      </c>
      <c r="E48" s="137">
        <f t="shared" si="9"/>
        <v>692927.20950874907</v>
      </c>
      <c r="F48" s="137">
        <f t="shared" si="10"/>
        <v>1301306.6821433031</v>
      </c>
      <c r="G48" s="139">
        <f t="shared" si="11"/>
        <v>31335.822945437154</v>
      </c>
      <c r="J48" s="29"/>
      <c r="K48" s="29"/>
      <c r="L48" s="29"/>
      <c r="M48" s="29"/>
      <c r="N48" s="29"/>
    </row>
    <row r="49" spans="1:14">
      <c r="A49" s="120"/>
      <c r="B49" s="30" t="s">
        <v>53</v>
      </c>
      <c r="C49" s="30">
        <f t="shared" si="7"/>
        <v>7719</v>
      </c>
      <c r="D49" s="137">
        <f t="shared" si="8"/>
        <v>4673.2432211167652</v>
      </c>
      <c r="E49" s="137">
        <f t="shared" si="9"/>
        <v>1041.9230354919187</v>
      </c>
      <c r="F49" s="137">
        <f t="shared" si="10"/>
        <v>1956.7154958829026</v>
      </c>
      <c r="G49" s="139">
        <f t="shared" si="11"/>
        <v>47.118247508413013</v>
      </c>
      <c r="J49" s="29"/>
      <c r="K49" s="29"/>
      <c r="L49" s="29"/>
      <c r="M49" s="29"/>
      <c r="N49" s="29"/>
    </row>
    <row r="50" spans="1:14">
      <c r="A50" s="120"/>
      <c r="B50" s="30" t="s">
        <v>54</v>
      </c>
      <c r="C50" s="30">
        <f t="shared" si="7"/>
        <v>119814</v>
      </c>
      <c r="D50" s="137">
        <f t="shared" si="8"/>
        <v>72537.888754357322</v>
      </c>
      <c r="E50" s="137">
        <f t="shared" si="9"/>
        <v>16172.686432754081</v>
      </c>
      <c r="F50" s="137">
        <f t="shared" si="10"/>
        <v>30372.057316195634</v>
      </c>
      <c r="G50" s="139">
        <f t="shared" si="11"/>
        <v>731.36749669296501</v>
      </c>
      <c r="J50" s="29"/>
      <c r="K50" s="29"/>
      <c r="L50" s="29"/>
      <c r="M50" s="29"/>
      <c r="N50" s="29"/>
    </row>
    <row r="51" spans="1:14">
      <c r="A51" s="120">
        <v>2016</v>
      </c>
      <c r="B51" s="30" t="s">
        <v>52</v>
      </c>
      <c r="C51" s="30">
        <f t="shared" si="7"/>
        <v>5164248.5</v>
      </c>
      <c r="D51" s="137">
        <f t="shared" si="8"/>
        <v>3126543.502369144</v>
      </c>
      <c r="E51" s="137">
        <f t="shared" si="9"/>
        <v>697078.5688760964</v>
      </c>
      <c r="F51" s="137">
        <f t="shared" si="10"/>
        <v>1309102.8714263553</v>
      </c>
      <c r="G51" s="139">
        <f t="shared" si="11"/>
        <v>31523.557328404022</v>
      </c>
      <c r="J51" s="29"/>
      <c r="K51" s="29"/>
      <c r="L51" s="29"/>
      <c r="M51" s="29"/>
      <c r="N51" s="29"/>
    </row>
    <row r="52" spans="1:14">
      <c r="A52" s="120"/>
      <c r="B52" s="30" t="s">
        <v>53</v>
      </c>
      <c r="C52" s="30">
        <f t="shared" si="7"/>
        <v>67016.5</v>
      </c>
      <c r="D52" s="137">
        <f t="shared" si="8"/>
        <v>40573.183615490569</v>
      </c>
      <c r="E52" s="137">
        <f t="shared" si="9"/>
        <v>9045.9949615292353</v>
      </c>
      <c r="F52" s="137">
        <f t="shared" si="10"/>
        <v>16988.239931317079</v>
      </c>
      <c r="G52" s="139">
        <f t="shared" si="11"/>
        <v>409.08149166311188</v>
      </c>
      <c r="J52" s="29"/>
      <c r="K52" s="29"/>
      <c r="L52" s="29"/>
      <c r="M52" s="29"/>
      <c r="N52" s="29"/>
    </row>
    <row r="53" spans="1:14">
      <c r="A53" s="120"/>
      <c r="B53" s="30" t="s">
        <v>54</v>
      </c>
      <c r="C53" s="30">
        <f t="shared" si="7"/>
        <v>138424</v>
      </c>
      <c r="D53" s="137">
        <f t="shared" si="8"/>
        <v>83804.770001278288</v>
      </c>
      <c r="E53" s="137">
        <f t="shared" si="9"/>
        <v>18684.694165686404</v>
      </c>
      <c r="F53" s="137">
        <f t="shared" si="10"/>
        <v>35089.569348632584</v>
      </c>
      <c r="G53" s="139">
        <f t="shared" si="11"/>
        <v>844.96648440271576</v>
      </c>
      <c r="J53" s="29"/>
      <c r="K53" s="29"/>
      <c r="L53" s="29"/>
      <c r="M53" s="29"/>
      <c r="N53" s="29"/>
    </row>
    <row r="54" spans="1:14">
      <c r="A54" s="120">
        <v>2017</v>
      </c>
      <c r="B54" s="30" t="s">
        <v>52</v>
      </c>
      <c r="C54" s="30">
        <f t="shared" si="7"/>
        <v>5247155</v>
      </c>
      <c r="D54" s="137">
        <f t="shared" si="8"/>
        <v>3176736.8226323281</v>
      </c>
      <c r="E54" s="137">
        <f t="shared" si="9"/>
        <v>708269.42159562104</v>
      </c>
      <c r="F54" s="137">
        <f t="shared" si="10"/>
        <v>1330119.1213627998</v>
      </c>
      <c r="G54" s="139">
        <f t="shared" si="11"/>
        <v>32029.634409250793</v>
      </c>
      <c r="J54" s="29"/>
      <c r="K54" s="29"/>
      <c r="L54" s="29"/>
      <c r="M54" s="29"/>
      <c r="N54" s="29"/>
    </row>
    <row r="55" spans="1:14">
      <c r="A55" s="120"/>
      <c r="B55" s="30" t="s">
        <v>53</v>
      </c>
      <c r="C55" s="30">
        <f t="shared" si="7"/>
        <v>67780</v>
      </c>
      <c r="D55" s="137">
        <f t="shared" si="8"/>
        <v>41035.422402810516</v>
      </c>
      <c r="E55" s="137">
        <f t="shared" si="9"/>
        <v>9149.0534195675918</v>
      </c>
      <c r="F55" s="137">
        <f t="shared" si="10"/>
        <v>17181.782136409267</v>
      </c>
      <c r="G55" s="139">
        <f t="shared" si="11"/>
        <v>413.74204121262261</v>
      </c>
      <c r="J55" s="29"/>
      <c r="K55" s="29"/>
      <c r="L55" s="29"/>
      <c r="M55" s="29"/>
      <c r="N55" s="29"/>
    </row>
    <row r="56" spans="1:14">
      <c r="A56" s="120"/>
      <c r="B56" s="30" t="s">
        <v>54</v>
      </c>
      <c r="C56" s="30">
        <f t="shared" si="7"/>
        <v>109614</v>
      </c>
      <c r="D56" s="137">
        <f t="shared" si="8"/>
        <v>66362.59650725394</v>
      </c>
      <c r="E56" s="137">
        <f t="shared" si="9"/>
        <v>14795.874026740663</v>
      </c>
      <c r="F56" s="137">
        <f t="shared" si="10"/>
        <v>27786.424713785269</v>
      </c>
      <c r="G56" s="139">
        <f t="shared" si="11"/>
        <v>669.10475222013008</v>
      </c>
      <c r="J56" s="29"/>
      <c r="K56" s="29"/>
      <c r="L56" s="29"/>
      <c r="M56" s="29"/>
      <c r="N56" s="29"/>
    </row>
    <row r="57" spans="1:14">
      <c r="A57" s="120">
        <v>2018</v>
      </c>
      <c r="B57" s="30" t="s">
        <v>52</v>
      </c>
      <c r="C57" s="30">
        <f t="shared" si="7"/>
        <v>5340172.5</v>
      </c>
      <c r="D57" s="137">
        <f t="shared" si="8"/>
        <v>3233051.5526906555</v>
      </c>
      <c r="E57" s="137">
        <f t="shared" si="9"/>
        <v>720825.07335800852</v>
      </c>
      <c r="F57" s="137">
        <f t="shared" si="10"/>
        <v>1353698.4429897319</v>
      </c>
      <c r="G57" s="139">
        <f t="shared" si="11"/>
        <v>32597.430961603925</v>
      </c>
    </row>
    <row r="58" spans="1:14">
      <c r="A58" s="120"/>
      <c r="B58" s="30" t="s">
        <v>53</v>
      </c>
      <c r="C58" s="30">
        <f t="shared" si="7"/>
        <v>38473.5</v>
      </c>
      <c r="D58" s="137">
        <f t="shared" si="8"/>
        <v>23292.657477346271</v>
      </c>
      <c r="E58" s="137">
        <f t="shared" si="9"/>
        <v>5193.2149120350214</v>
      </c>
      <c r="F58" s="137">
        <f t="shared" si="10"/>
        <v>9752.7780322387425</v>
      </c>
      <c r="G58" s="139">
        <f t="shared" si="11"/>
        <v>234.84957837996217</v>
      </c>
    </row>
    <row r="59" spans="1:14">
      <c r="A59" s="120"/>
      <c r="B59" s="30" t="s">
        <v>54</v>
      </c>
      <c r="C59" s="30">
        <f t="shared" si="7"/>
        <v>109279.5</v>
      </c>
      <c r="D59" s="137">
        <f t="shared" si="8"/>
        <v>66160.083246797454</v>
      </c>
      <c r="E59" s="137">
        <f t="shared" si="9"/>
        <v>14750.722678719929</v>
      </c>
      <c r="F59" s="137">
        <f t="shared" si="10"/>
        <v>27701.631174029753</v>
      </c>
      <c r="G59" s="139">
        <f t="shared" si="11"/>
        <v>667.06290045285914</v>
      </c>
    </row>
    <row r="60" spans="1:14">
      <c r="A60" s="120">
        <v>2019</v>
      </c>
      <c r="B60" s="30" t="s">
        <v>52</v>
      </c>
      <c r="C60" s="30">
        <f t="shared" si="7"/>
        <v>5384424</v>
      </c>
      <c r="D60" s="137">
        <f t="shared" si="8"/>
        <v>3259842.3315997431</v>
      </c>
      <c r="E60" s="137">
        <f t="shared" si="9"/>
        <v>726798.21200356761</v>
      </c>
      <c r="F60" s="137">
        <f t="shared" si="10"/>
        <v>1364915.9058432183</v>
      </c>
      <c r="G60" s="139">
        <f t="shared" si="11"/>
        <v>32867.550553470559</v>
      </c>
    </row>
    <row r="61" spans="1:14">
      <c r="A61" s="120"/>
      <c r="B61" s="30" t="s">
        <v>53</v>
      </c>
      <c r="C61" s="30">
        <f t="shared" si="7"/>
        <v>45999.5</v>
      </c>
      <c r="D61" s="137">
        <f t="shared" si="8"/>
        <v>27849.054482414904</v>
      </c>
      <c r="E61" s="137">
        <f t="shared" si="9"/>
        <v>6209.0864970994317</v>
      </c>
      <c r="F61" s="137">
        <f t="shared" si="10"/>
        <v>11660.569303389762</v>
      </c>
      <c r="G61" s="139">
        <f t="shared" si="11"/>
        <v>280.78971709589899</v>
      </c>
    </row>
    <row r="62" spans="1:14">
      <c r="A62" s="120"/>
      <c r="B62" s="30" t="s">
        <v>54</v>
      </c>
      <c r="C62" s="30">
        <f t="shared" si="7"/>
        <v>90674.5</v>
      </c>
      <c r="D62" s="137">
        <f t="shared" si="8"/>
        <v>54896.229103919177</v>
      </c>
      <c r="E62" s="137">
        <f t="shared" si="9"/>
        <v>12239.389853829767</v>
      </c>
      <c r="F62" s="137">
        <f t="shared" si="10"/>
        <v>22985.386608554767</v>
      </c>
      <c r="G62" s="139">
        <f t="shared" si="11"/>
        <v>553.49443369628136</v>
      </c>
    </row>
    <row r="63" spans="1:14">
      <c r="A63" s="120">
        <v>2020</v>
      </c>
      <c r="B63" s="30" t="s">
        <v>52</v>
      </c>
      <c r="C63" s="30">
        <f t="shared" si="7"/>
        <v>5404925.5</v>
      </c>
      <c r="D63" s="137">
        <f t="shared" si="8"/>
        <v>3272254.3663060167</v>
      </c>
      <c r="E63" s="137">
        <f t="shared" si="9"/>
        <v>729565.53744885034</v>
      </c>
      <c r="F63" s="137">
        <f t="shared" si="10"/>
        <v>1370112.900627367</v>
      </c>
      <c r="G63" s="139">
        <f t="shared" si="11"/>
        <v>32992.695617765639</v>
      </c>
    </row>
    <row r="64" spans="1:14">
      <c r="A64" s="120"/>
      <c r="B64" s="30" t="s">
        <v>53</v>
      </c>
      <c r="C64" s="30">
        <f t="shared" si="7"/>
        <v>18405</v>
      </c>
      <c r="D64" s="137">
        <f t="shared" si="8"/>
        <v>11142.769981170368</v>
      </c>
      <c r="E64" s="137">
        <f t="shared" si="9"/>
        <v>2484.3365032036227</v>
      </c>
      <c r="F64" s="137">
        <f t="shared" si="10"/>
        <v>4665.5458869963495</v>
      </c>
      <c r="G64" s="139">
        <f t="shared" si="11"/>
        <v>112.34762862965948</v>
      </c>
    </row>
    <row r="65" spans="1:7">
      <c r="A65" s="120"/>
      <c r="B65" s="30" t="s">
        <v>54</v>
      </c>
      <c r="C65" s="30">
        <f t="shared" si="7"/>
        <v>97371</v>
      </c>
      <c r="D65" s="137">
        <f t="shared" si="8"/>
        <v>58950.429548304259</v>
      </c>
      <c r="E65" s="137">
        <f t="shared" si="9"/>
        <v>13143.294194699263</v>
      </c>
      <c r="F65" s="137">
        <f t="shared" si="10"/>
        <v>24682.905110715652</v>
      </c>
      <c r="G65" s="139">
        <f t="shared" si="11"/>
        <v>594.37114628082441</v>
      </c>
    </row>
    <row r="66" spans="1:7">
      <c r="A66" s="120">
        <v>2021</v>
      </c>
      <c r="B66" s="30" t="s">
        <v>52</v>
      </c>
      <c r="C66" s="30">
        <f t="shared" si="7"/>
        <v>5462239.5</v>
      </c>
      <c r="D66" s="137">
        <f t="shared" si="8"/>
        <v>3306953.4545266526</v>
      </c>
      <c r="E66" s="137">
        <f t="shared" si="9"/>
        <v>737301.87335456151</v>
      </c>
      <c r="F66" s="137">
        <f t="shared" si="10"/>
        <v>1384641.6209189892</v>
      </c>
      <c r="G66" s="139">
        <f t="shared" si="11"/>
        <v>33342.551199796624</v>
      </c>
    </row>
    <row r="67" spans="1:7">
      <c r="A67" s="120"/>
      <c r="B67" s="30" t="s">
        <v>53</v>
      </c>
      <c r="C67" s="30">
        <f t="shared" si="7"/>
        <v>42882</v>
      </c>
      <c r="D67" s="137">
        <f t="shared" si="8"/>
        <v>25961.655111792865</v>
      </c>
      <c r="E67" s="137">
        <f t="shared" si="9"/>
        <v>5788.2813328105267</v>
      </c>
      <c r="F67" s="137">
        <f t="shared" si="10"/>
        <v>10870.303652604047</v>
      </c>
      <c r="G67" s="139">
        <f t="shared" si="11"/>
        <v>261.7599027925595</v>
      </c>
    </row>
    <row r="68" spans="1:7" ht="14.65" thickBot="1">
      <c r="A68" s="122"/>
      <c r="B68" s="123" t="s">
        <v>54</v>
      </c>
      <c r="C68" s="123">
        <f t="shared" si="7"/>
        <v>155695.5</v>
      </c>
      <c r="D68" s="140">
        <f t="shared" si="8"/>
        <v>94261.295495969083</v>
      </c>
      <c r="E68" s="140">
        <f t="shared" si="9"/>
        <v>21016.029015731576</v>
      </c>
      <c r="F68" s="140">
        <f t="shared" si="10"/>
        <v>39467.780475351276</v>
      </c>
      <c r="G68" s="141">
        <f t="shared" si="11"/>
        <v>950.39501294806553</v>
      </c>
    </row>
    <row r="69" spans="1:7">
      <c r="D69" s="29"/>
      <c r="E69" s="29"/>
      <c r="F69" s="29"/>
      <c r="G69" s="29"/>
    </row>
    <row r="71" spans="1:7">
      <c r="A71" s="195" t="s">
        <v>150</v>
      </c>
      <c r="B71" s="195"/>
      <c r="C71" s="195"/>
      <c r="D71" s="195"/>
      <c r="E71" s="195"/>
    </row>
    <row r="72" spans="1:7" ht="14.65" thickBot="1">
      <c r="A72" s="28" t="s">
        <v>151</v>
      </c>
    </row>
    <row r="73" spans="1:7">
      <c r="A73" s="118"/>
      <c r="B73" s="119" t="s">
        <v>152</v>
      </c>
      <c r="C73" s="119" t="s">
        <v>99</v>
      </c>
      <c r="D73" s="119" t="s">
        <v>153</v>
      </c>
      <c r="E73" s="119" t="s">
        <v>154</v>
      </c>
      <c r="F73" s="138" t="s">
        <v>126</v>
      </c>
    </row>
    <row r="74" spans="1:7">
      <c r="A74" s="120">
        <v>2012</v>
      </c>
      <c r="B74" s="144">
        <f>D46+D47</f>
        <v>55857.031927071439</v>
      </c>
      <c r="C74" s="144">
        <f>E46+E47</f>
        <v>12453.605666412444</v>
      </c>
      <c r="D74" s="144">
        <f>F46+F47</f>
        <v>23387.680622282736</v>
      </c>
      <c r="E74" s="144">
        <f>G46+G47</f>
        <v>563.18178423337827</v>
      </c>
      <c r="F74" s="142">
        <f>SUM(B74:E74)</f>
        <v>92261.500000000015</v>
      </c>
      <c r="G74" s="29"/>
    </row>
    <row r="75" spans="1:7">
      <c r="A75" s="120">
        <v>2013</v>
      </c>
      <c r="B75" s="144">
        <f>D49+D50</f>
        <v>77211.131975474083</v>
      </c>
      <c r="C75" s="144">
        <f t="shared" ref="C75:E75" si="12">E49+E50</f>
        <v>17214.609468245999</v>
      </c>
      <c r="D75" s="144">
        <f t="shared" si="12"/>
        <v>32328.772812078536</v>
      </c>
      <c r="E75" s="144">
        <f t="shared" si="12"/>
        <v>778.485744201378</v>
      </c>
      <c r="F75" s="142">
        <f t="shared" ref="F75:F83" si="13">SUM(B75:E75)</f>
        <v>127532.99999999999</v>
      </c>
      <c r="G75" s="29"/>
    </row>
    <row r="76" spans="1:7">
      <c r="A76" s="120">
        <v>2014</v>
      </c>
      <c r="B76" s="144">
        <f>D46+D47</f>
        <v>55857.031927071439</v>
      </c>
      <c r="C76" s="144">
        <f>E46+E47</f>
        <v>12453.605666412444</v>
      </c>
      <c r="D76" s="144">
        <f>F46+F47</f>
        <v>23387.680622282736</v>
      </c>
      <c r="E76" s="144">
        <f>G46+G47</f>
        <v>563.18178423337827</v>
      </c>
      <c r="F76" s="142">
        <f t="shared" si="13"/>
        <v>92261.500000000015</v>
      </c>
      <c r="G76" s="29"/>
    </row>
    <row r="77" spans="1:7">
      <c r="A77" s="120">
        <v>2015</v>
      </c>
      <c r="B77" s="144">
        <f>D49+D50</f>
        <v>77211.131975474083</v>
      </c>
      <c r="C77" s="144">
        <f>E49+E50</f>
        <v>17214.609468245999</v>
      </c>
      <c r="D77" s="144">
        <f>F49+F50</f>
        <v>32328.772812078536</v>
      </c>
      <c r="E77" s="144">
        <f>G49+G50</f>
        <v>778.485744201378</v>
      </c>
      <c r="F77" s="142">
        <f t="shared" si="13"/>
        <v>127532.99999999999</v>
      </c>
      <c r="G77" s="29"/>
    </row>
    <row r="78" spans="1:7">
      <c r="A78" s="120">
        <v>2016</v>
      </c>
      <c r="B78" s="144">
        <f>D52+D53</f>
        <v>124377.95361676885</v>
      </c>
      <c r="C78" s="144">
        <f>E52+E53</f>
        <v>27730.689127215639</v>
      </c>
      <c r="D78" s="144">
        <f>F52+F53</f>
        <v>52077.809279949666</v>
      </c>
      <c r="E78" s="144">
        <f>G52+G53</f>
        <v>1254.0479760658277</v>
      </c>
      <c r="F78" s="142">
        <f t="shared" si="13"/>
        <v>205440.5</v>
      </c>
      <c r="G78" s="29"/>
    </row>
    <row r="79" spans="1:7">
      <c r="A79" s="120">
        <v>2017</v>
      </c>
      <c r="B79" s="144">
        <f>D55+D56</f>
        <v>107398.01891006445</v>
      </c>
      <c r="C79" s="144">
        <f>E55+E56</f>
        <v>23944.927446308255</v>
      </c>
      <c r="D79" s="144">
        <f>F55+F56</f>
        <v>44968.206850194532</v>
      </c>
      <c r="E79" s="144">
        <f>G55+G56</f>
        <v>1082.8467934327527</v>
      </c>
      <c r="F79" s="142">
        <f t="shared" si="13"/>
        <v>177393.99999999997</v>
      </c>
      <c r="G79" s="29"/>
    </row>
    <row r="80" spans="1:7">
      <c r="A80" s="120">
        <v>2018</v>
      </c>
      <c r="B80" s="144">
        <f>D58+D59</f>
        <v>89452.740724143718</v>
      </c>
      <c r="C80" s="144">
        <f>E58+E59</f>
        <v>19943.937590754951</v>
      </c>
      <c r="D80" s="144">
        <f>F58+F59</f>
        <v>37454.409206268494</v>
      </c>
      <c r="E80" s="144">
        <f>G58+G59</f>
        <v>901.91247883282131</v>
      </c>
      <c r="F80" s="142">
        <f t="shared" si="13"/>
        <v>147753</v>
      </c>
      <c r="G80" s="29"/>
    </row>
    <row r="81" spans="1:7">
      <c r="A81" s="120">
        <v>2019</v>
      </c>
      <c r="B81" s="144">
        <f>D61+D62</f>
        <v>82745.283586334088</v>
      </c>
      <c r="C81" s="144">
        <f>E61+E62</f>
        <v>18448.476350929199</v>
      </c>
      <c r="D81" s="144">
        <f>F61+F62</f>
        <v>34645.955911944533</v>
      </c>
      <c r="E81" s="144">
        <f>G61+G62</f>
        <v>834.2841507921803</v>
      </c>
      <c r="F81" s="142">
        <f t="shared" si="13"/>
        <v>136674</v>
      </c>
      <c r="G81" s="29"/>
    </row>
    <row r="82" spans="1:7">
      <c r="A82" s="120">
        <v>2020</v>
      </c>
      <c r="B82" s="144">
        <f>D64+D65</f>
        <v>70093.19952947463</v>
      </c>
      <c r="C82" s="144">
        <f>E64+E65</f>
        <v>15627.630697902885</v>
      </c>
      <c r="D82" s="144">
        <f>F64+F65</f>
        <v>29348.450997712003</v>
      </c>
      <c r="E82" s="144">
        <f>G64+G65</f>
        <v>706.71877491048394</v>
      </c>
      <c r="F82" s="142">
        <f t="shared" si="13"/>
        <v>115776</v>
      </c>
      <c r="G82" s="29"/>
    </row>
    <row r="83" spans="1:7" ht="14.65" thickBot="1">
      <c r="A83" s="122">
        <v>2021</v>
      </c>
      <c r="B83" s="145">
        <f>D67+D68</f>
        <v>120222.95060776194</v>
      </c>
      <c r="C83" s="145">
        <f>E67+E68</f>
        <v>26804.310348542102</v>
      </c>
      <c r="D83" s="145">
        <f>F67+F68</f>
        <v>50338.084127955321</v>
      </c>
      <c r="E83" s="145">
        <f>G67+G68</f>
        <v>1212.154915740625</v>
      </c>
      <c r="F83" s="143">
        <f t="shared" si="13"/>
        <v>198577.49999999997</v>
      </c>
      <c r="G83" s="29"/>
    </row>
  </sheetData>
  <mergeCells count="4">
    <mergeCell ref="A7:C7"/>
    <mergeCell ref="A39:E39"/>
    <mergeCell ref="A43:E43"/>
    <mergeCell ref="A71:E71"/>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7E89C9-C8D6-4FC9-8D50-2C7299DD5FE0}">
  <dimension ref="A1:Q30"/>
  <sheetViews>
    <sheetView topLeftCell="A16" zoomScaleNormal="100" workbookViewId="0">
      <selection activeCell="K46" sqref="K46"/>
    </sheetView>
  </sheetViews>
  <sheetFormatPr defaultColWidth="8.86328125" defaultRowHeight="14.25"/>
  <cols>
    <col min="1" max="1" width="8.86328125" style="27"/>
    <col min="2" max="2" width="11.1328125" style="27" customWidth="1"/>
    <col min="3" max="16384" width="8.86328125" style="27"/>
  </cols>
  <sheetData>
    <row r="1" spans="1:17" ht="18">
      <c r="A1" s="31" t="s">
        <v>155</v>
      </c>
      <c r="B1"/>
      <c r="C1"/>
      <c r="D1"/>
      <c r="E1"/>
      <c r="F1"/>
      <c r="G1"/>
      <c r="H1"/>
      <c r="I1"/>
      <c r="J1"/>
      <c r="K1"/>
    </row>
    <row r="2" spans="1:17">
      <c r="A2" t="s">
        <v>160</v>
      </c>
      <c r="B2"/>
      <c r="C2"/>
      <c r="D2"/>
      <c r="E2"/>
      <c r="F2"/>
      <c r="G2"/>
      <c r="H2"/>
      <c r="I2"/>
      <c r="J2"/>
      <c r="K2"/>
    </row>
    <row r="3" spans="1:17">
      <c r="A3" s="59" t="s">
        <v>128</v>
      </c>
      <c r="B3" s="59"/>
      <c r="C3" s="59"/>
      <c r="D3" s="59"/>
      <c r="E3" s="59"/>
      <c r="F3" s="59"/>
      <c r="G3" s="59"/>
      <c r="H3" s="59"/>
      <c r="I3" s="59"/>
      <c r="J3"/>
      <c r="K3"/>
    </row>
    <row r="4" spans="1:17">
      <c r="A4" t="s">
        <v>184</v>
      </c>
      <c r="B4"/>
      <c r="C4"/>
      <c r="D4"/>
      <c r="E4"/>
      <c r="F4"/>
      <c r="G4"/>
      <c r="H4"/>
      <c r="I4"/>
      <c r="J4"/>
      <c r="K4"/>
    </row>
    <row r="6" spans="1:17" ht="14.65" thickBot="1">
      <c r="A6" s="189" t="s">
        <v>161</v>
      </c>
      <c r="B6" s="189"/>
      <c r="C6" s="189"/>
      <c r="D6" s="189"/>
      <c r="E6" s="189"/>
      <c r="F6" s="189"/>
      <c r="G6" s="189"/>
      <c r="H6" s="189"/>
    </row>
    <row r="7" spans="1:17" ht="42.75">
      <c r="A7" s="149"/>
      <c r="B7" s="156" t="s">
        <v>162</v>
      </c>
      <c r="C7" s="150" t="s">
        <v>163</v>
      </c>
      <c r="D7" s="150" t="s">
        <v>130</v>
      </c>
      <c r="E7" s="150" t="s">
        <v>131</v>
      </c>
      <c r="F7" s="156" t="s">
        <v>99</v>
      </c>
      <c r="G7" s="150" t="s">
        <v>163</v>
      </c>
      <c r="H7" s="150" t="s">
        <v>130</v>
      </c>
      <c r="I7" s="150" t="s">
        <v>131</v>
      </c>
      <c r="J7" s="156" t="s">
        <v>98</v>
      </c>
      <c r="K7" s="150" t="s">
        <v>163</v>
      </c>
      <c r="L7" s="150" t="s">
        <v>130</v>
      </c>
      <c r="M7" s="150" t="s">
        <v>131</v>
      </c>
      <c r="N7" s="156" t="s">
        <v>154</v>
      </c>
      <c r="O7" s="150" t="s">
        <v>163</v>
      </c>
      <c r="P7" s="150" t="s">
        <v>130</v>
      </c>
      <c r="Q7" s="151" t="s">
        <v>131</v>
      </c>
    </row>
    <row r="8" spans="1:17">
      <c r="A8" s="147">
        <f>'[1]R_surface area calculation'!A73</f>
        <v>2012</v>
      </c>
      <c r="B8" s="157">
        <f>'[1]R_surface area calculation'!B73</f>
        <v>87116.668597719501</v>
      </c>
      <c r="C8" s="152">
        <f>B8*0.001*[1]MI!$E$42</f>
        <v>27030.265299926028</v>
      </c>
      <c r="D8" s="152">
        <f>B8*0.001*[1]MI!$G$42</f>
        <v>0</v>
      </c>
      <c r="E8" s="152">
        <f>B8*0.001*[1]MI!$H$42</f>
        <v>4277.0135794288526</v>
      </c>
      <c r="F8" s="157">
        <f>'[1]R_surface area calculation'!C73</f>
        <v>19423.098583255072</v>
      </c>
      <c r="G8" s="152">
        <f>F8*0.001*[1]MI!$E$37</f>
        <v>4773.8082604326346</v>
      </c>
      <c r="H8" s="152">
        <f>F8*0.001*[1]MI!$G$37</f>
        <v>0</v>
      </c>
      <c r="I8" s="152">
        <f>F8*0.001*[1]MI!$H$37</f>
        <v>1186.4914681267178</v>
      </c>
      <c r="J8" s="157">
        <f>'[1]R_surface area calculation'!D73</f>
        <v>36476.281530692031</v>
      </c>
      <c r="K8" s="152">
        <f>J8*0.001*[1]MI!$E$27</f>
        <v>4526.5761875649341</v>
      </c>
      <c r="L8" s="152">
        <f>J8*0.001*[1]MI!$G$27</f>
        <v>0</v>
      </c>
      <c r="M8" s="152">
        <f>J8*0.001*[1]MI!$H$27</f>
        <v>2526.6159979113572</v>
      </c>
      <c r="N8" s="157">
        <f>'[1]R_surface area calculation'!E73</f>
        <v>878.35889528446546</v>
      </c>
      <c r="O8" s="152">
        <f>N8*0.001*[1]MI!$E$32</f>
        <v>558.01623935718987</v>
      </c>
      <c r="P8" s="152">
        <f>N8*0.001*[1]MI!$G$32</f>
        <v>0</v>
      </c>
      <c r="Q8" s="153">
        <f>N8*0.001*[1]MI!$H$32</f>
        <v>216.69077080025824</v>
      </c>
    </row>
    <row r="9" spans="1:17">
      <c r="A9" s="147">
        <f>'[1]R_surface area calculation'!A74</f>
        <v>2013</v>
      </c>
      <c r="B9" s="157">
        <f>'[1]R_surface area calculation'!B74</f>
        <v>83185.906006216945</v>
      </c>
      <c r="C9" s="152">
        <f>B9*0.001*[1]MI!$E$42</f>
        <v>25810.641577054237</v>
      </c>
      <c r="D9" s="152">
        <f>B9*0.001*[1]MI!$G$42</f>
        <v>0</v>
      </c>
      <c r="E9" s="152">
        <f>B9*0.001*[1]MI!$H$42</f>
        <v>4084.0318544388842</v>
      </c>
      <c r="F9" s="157">
        <f>'[1]R_surface area calculation'!C74</f>
        <v>18546.715331334854</v>
      </c>
      <c r="G9" s="152">
        <f>F9*0.001*[1]MI!$E$37</f>
        <v>4558.410825806608</v>
      </c>
      <c r="H9" s="152">
        <f>F9*0.001*[1]MI!$G$37</f>
        <v>0</v>
      </c>
      <c r="I9" s="152">
        <f>F9*0.001*[1]MI!$H$37</f>
        <v>1132.9561762804967</v>
      </c>
      <c r="J9" s="157">
        <f>'[1]R_surface area calculation'!D74</f>
        <v>34830.44721188851</v>
      </c>
      <c r="K9" s="152">
        <f>J9*0.001*[1]MI!$E$27</f>
        <v>4322.3340300987302</v>
      </c>
      <c r="L9" s="152">
        <f>J9*0.001*[1]MI!$G$27</f>
        <v>0</v>
      </c>
      <c r="M9" s="152">
        <f>J9*0.001*[1]MI!$H$27</f>
        <v>2412.6133873025551</v>
      </c>
      <c r="N9" s="157">
        <f>'[1]R_surface area calculation'!E74</f>
        <v>838.7267520554708</v>
      </c>
      <c r="O9" s="152">
        <f>N9*0.001*[1]MI!$E$32</f>
        <v>532.83817189406386</v>
      </c>
      <c r="P9" s="152">
        <f>N9*0.001*[1]MI!$G$32</f>
        <v>0</v>
      </c>
      <c r="Q9" s="153">
        <f>N9*0.001*[1]MI!$H$32</f>
        <v>206.91353770014169</v>
      </c>
    </row>
    <row r="10" spans="1:17">
      <c r="A10" s="147">
        <f>'[1]R_surface area calculation'!A75</f>
        <v>2014</v>
      </c>
      <c r="B10" s="157">
        <f>'[1]R_surface area calculation'!B75</f>
        <v>55857.031927071439</v>
      </c>
      <c r="C10" s="152">
        <f>B10*0.001*[1]MI!$E$42</f>
        <v>17331.13095528429</v>
      </c>
      <c r="D10" s="152">
        <f>B10*0.001*[1]MI!$G$42</f>
        <v>0</v>
      </c>
      <c r="E10" s="152">
        <f>B10*0.001*[1]MI!$H$42</f>
        <v>2742.3142769824576</v>
      </c>
      <c r="F10" s="157">
        <f>'[1]R_surface area calculation'!C75</f>
        <v>12453.605666412444</v>
      </c>
      <c r="G10" s="152">
        <f>F10*0.001*[1]MI!$E$37</f>
        <v>3060.8466176320621</v>
      </c>
      <c r="H10" s="152">
        <f>F10*0.001*[1]MI!$G$37</f>
        <v>0</v>
      </c>
      <c r="I10" s="152">
        <f>F10*0.001*[1]MI!$H$37</f>
        <v>760.74869348352058</v>
      </c>
      <c r="J10" s="157">
        <f>'[1]R_surface area calculation'!D75</f>
        <v>23387.680622282736</v>
      </c>
      <c r="K10" s="152">
        <f>J10*0.001*[1]MI!$E$27</f>
        <v>2902.3275878085469</v>
      </c>
      <c r="L10" s="152">
        <f>J10*0.001*[1]MI!$G$27</f>
        <v>0</v>
      </c>
      <c r="M10" s="152">
        <f>J10*0.001*[1]MI!$H$27</f>
        <v>1620.0030686949221</v>
      </c>
      <c r="N10" s="157">
        <f>'[1]R_surface area calculation'!E75</f>
        <v>563.18178423337827</v>
      </c>
      <c r="O10" s="152">
        <f>N10*0.001*[1]MI!$E$32</f>
        <v>357.78607468944028</v>
      </c>
      <c r="P10" s="152">
        <f>N10*0.001*[1]MI!$G$32</f>
        <v>0</v>
      </c>
      <c r="Q10" s="153">
        <f>N10*0.001*[1]MI!$H$32</f>
        <v>138.93670979067477</v>
      </c>
    </row>
    <row r="11" spans="1:17">
      <c r="A11" s="147">
        <f>'[1]R_surface area calculation'!A76</f>
        <v>2015</v>
      </c>
      <c r="B11" s="157">
        <f>'[1]R_surface area calculation'!B76</f>
        <v>77211.131975474083</v>
      </c>
      <c r="C11" s="152">
        <f>B11*0.001*[1]MI!$E$42</f>
        <v>23956.808897755531</v>
      </c>
      <c r="D11" s="152">
        <f>B11*0.001*[1]MI!$G$42</f>
        <v>0</v>
      </c>
      <c r="E11" s="152">
        <f>B11*0.001*[1]MI!$H$42</f>
        <v>3790.6989013445896</v>
      </c>
      <c r="F11" s="157">
        <f>'[1]R_surface area calculation'!C76</f>
        <v>17214.609468245999</v>
      </c>
      <c r="G11" s="152">
        <f>F11*0.001*[1]MI!$E$37</f>
        <v>4231.0059091437897</v>
      </c>
      <c r="H11" s="152">
        <f>F11*0.001*[1]MI!$G$37</f>
        <v>0</v>
      </c>
      <c r="I11" s="152">
        <f>F11*0.001*[1]MI!$H$37</f>
        <v>1051.5823298562652</v>
      </c>
      <c r="J11" s="157">
        <f>'[1]R_surface area calculation'!D76</f>
        <v>32328.772812078536</v>
      </c>
      <c r="K11" s="152">
        <f>J11*0.001*[1]MI!$E$27</f>
        <v>4011.8851769805106</v>
      </c>
      <c r="L11" s="152">
        <f>J11*0.001*[1]MI!$G$27</f>
        <v>0</v>
      </c>
      <c r="M11" s="152">
        <f>J11*0.001*[1]MI!$H$27</f>
        <v>2239.3289872793034</v>
      </c>
      <c r="N11" s="157">
        <f>'[1]R_surface area calculation'!E76</f>
        <v>778.485744201378</v>
      </c>
      <c r="O11" s="152">
        <f>N11*0.001*[1]MI!$E$32</f>
        <v>494.56741396322838</v>
      </c>
      <c r="P11" s="152">
        <f>N11*0.001*[1]MI!$G$32</f>
        <v>0</v>
      </c>
      <c r="Q11" s="153">
        <f>N11*0.001*[1]MI!$H$32</f>
        <v>192.05210634700418</v>
      </c>
    </row>
    <row r="12" spans="1:17">
      <c r="A12" s="147">
        <f>'[1]R_surface area calculation'!A77</f>
        <v>2016</v>
      </c>
      <c r="B12" s="157">
        <f>'[1]R_surface area calculation'!B77</f>
        <v>124377.95361676885</v>
      </c>
      <c r="C12" s="152">
        <f>B12*0.001*[1]MI!$E$42</f>
        <v>38591.570796259351</v>
      </c>
      <c r="D12" s="152">
        <f>B12*0.001*[1]MI!$G$42</f>
        <v>0</v>
      </c>
      <c r="E12" s="152">
        <f>B12*0.001*[1]MI!$H$42</f>
        <v>6106.3652359913349</v>
      </c>
      <c r="F12" s="157">
        <f>'[1]R_surface area calculation'!C77</f>
        <v>27730.689127215639</v>
      </c>
      <c r="G12" s="152">
        <f>F12*0.001*[1]MI!$E$37</f>
        <v>6815.6474753785669</v>
      </c>
      <c r="H12" s="152">
        <f>F12*0.001*[1]MI!$G$37</f>
        <v>0</v>
      </c>
      <c r="I12" s="152">
        <f>F12*0.001*[1]MI!$H$37</f>
        <v>1693.9741058144643</v>
      </c>
      <c r="J12" s="157">
        <f>'[1]R_surface area calculation'!D77</f>
        <v>52077.809279949666</v>
      </c>
      <c r="K12" s="152">
        <f>J12*0.001*[1]MI!$E$27</f>
        <v>6462.670028161062</v>
      </c>
      <c r="L12" s="152">
        <f>J12*0.001*[1]MI!$G$27</f>
        <v>0</v>
      </c>
      <c r="M12" s="152">
        <f>J12*0.001*[1]MI!$H$27</f>
        <v>3607.2927541197482</v>
      </c>
      <c r="N12" s="157">
        <f>'[1]R_surface area calculation'!E77</f>
        <v>1254.0479760658277</v>
      </c>
      <c r="O12" s="152">
        <f>N12*0.001*[1]MI!$E$32</f>
        <v>796.6893024418199</v>
      </c>
      <c r="P12" s="152">
        <f>N12*0.001*[1]MI!$G$32</f>
        <v>0</v>
      </c>
      <c r="Q12" s="153">
        <f>N12*0.001*[1]MI!$H$32</f>
        <v>309.37310934410476</v>
      </c>
    </row>
    <row r="13" spans="1:17">
      <c r="A13" s="147">
        <f>'[1]R_surface area calculation'!A78</f>
        <v>2017</v>
      </c>
      <c r="B13" s="157">
        <f>'[1]R_surface area calculation'!B78</f>
        <v>107398.01891006445</v>
      </c>
      <c r="C13" s="152">
        <f>B13*0.001*[1]MI!$E$42</f>
        <v>33323.094082382158</v>
      </c>
      <c r="D13" s="152">
        <f>B13*0.001*[1]MI!$G$42</f>
        <v>0</v>
      </c>
      <c r="E13" s="152">
        <f>B13*0.001*[1]MI!$H$42</f>
        <v>5272.731300174245</v>
      </c>
      <c r="F13" s="157">
        <f>'[1]R_surface area calculation'!C78</f>
        <v>23944.927446308255</v>
      </c>
      <c r="G13" s="152">
        <f>F13*0.001*[1]MI!$E$37</f>
        <v>5885.1831466887279</v>
      </c>
      <c r="H13" s="152">
        <f>F13*0.001*[1]MI!$G$37</f>
        <v>0</v>
      </c>
      <c r="I13" s="152">
        <f>F13*0.001*[1]MI!$H$37</f>
        <v>1462.7147155835926</v>
      </c>
      <c r="J13" s="157">
        <f>'[1]R_surface area calculation'!D78</f>
        <v>44968.206850194532</v>
      </c>
      <c r="K13" s="152">
        <f>J13*0.001*[1]MI!$E$27</f>
        <v>5580.3937732608865</v>
      </c>
      <c r="L13" s="152">
        <f>J13*0.001*[1]MI!$G$27</f>
        <v>0</v>
      </c>
      <c r="M13" s="152">
        <f>J13*0.001*[1]MI!$H$27</f>
        <v>3114.8293098211821</v>
      </c>
      <c r="N13" s="157">
        <f>'[1]R_surface area calculation'!E78</f>
        <v>1082.8467934327527</v>
      </c>
      <c r="O13" s="152">
        <f>N13*0.001*[1]MI!$E$32</f>
        <v>687.92619818080766</v>
      </c>
      <c r="P13" s="152">
        <f>N13*0.001*[1]MI!$G$32</f>
        <v>0</v>
      </c>
      <c r="Q13" s="153">
        <f>N13*0.001*[1]MI!$H$32</f>
        <v>267.13784944540208</v>
      </c>
    </row>
    <row r="14" spans="1:17">
      <c r="A14" s="147">
        <f>'[1]R_surface area calculation'!A79</f>
        <v>2018</v>
      </c>
      <c r="B14" s="157">
        <f>'[1]R_surface area calculation'!B79</f>
        <v>89452.740724143718</v>
      </c>
      <c r="C14" s="152">
        <f>B14*0.001*[1]MI!$E$42</f>
        <v>27755.093858609711</v>
      </c>
      <c r="D14" s="152">
        <f>B14*0.001*[1]MI!$G$42</f>
        <v>0</v>
      </c>
      <c r="E14" s="152">
        <f>B14*0.001*[1]MI!$H$42</f>
        <v>4391.7035964837887</v>
      </c>
      <c r="F14" s="157">
        <f>'[1]R_surface area calculation'!C79</f>
        <v>19943.937590754951</v>
      </c>
      <c r="G14" s="152">
        <f>F14*0.001*[1]MI!$E$37</f>
        <v>4901.8200473110683</v>
      </c>
      <c r="H14" s="152">
        <f>F14*0.001*[1]MI!$G$37</f>
        <v>0</v>
      </c>
      <c r="I14" s="152">
        <f>F14*0.001*[1]MI!$H$37</f>
        <v>1218.3077633495077</v>
      </c>
      <c r="J14" s="157">
        <f>'[1]R_surface area calculation'!D79</f>
        <v>37454.409206268494</v>
      </c>
      <c r="K14" s="152">
        <f>J14*0.001*[1]MI!$E$27</f>
        <v>4647.9583367003161</v>
      </c>
      <c r="L14" s="152">
        <f>J14*0.001*[1]MI!$G$27</f>
        <v>0</v>
      </c>
      <c r="M14" s="152">
        <f>J14*0.001*[1]MI!$H$27</f>
        <v>2594.3683270798851</v>
      </c>
      <c r="N14" s="157">
        <f>'[1]R_surface area calculation'!E79</f>
        <v>901.91247883282131</v>
      </c>
      <c r="O14" s="152">
        <f>N14*0.001*[1]MI!$E$32</f>
        <v>572.9796924349688</v>
      </c>
      <c r="P14" s="152">
        <f>N14*0.001*[1]MI!$G$32</f>
        <v>0</v>
      </c>
      <c r="Q14" s="153">
        <f>N14*0.001*[1]MI!$H$32</f>
        <v>222.501429975684</v>
      </c>
    </row>
    <row r="15" spans="1:17">
      <c r="A15" s="147">
        <f>'[1]R_surface area calculation'!A80</f>
        <v>2019</v>
      </c>
      <c r="B15" s="157">
        <f>'[1]R_surface area calculation'!B80</f>
        <v>82745.283586334088</v>
      </c>
      <c r="C15" s="152">
        <f>B15*0.001*[1]MI!$E$42</f>
        <v>25673.926742818247</v>
      </c>
      <c r="D15" s="152">
        <f>B15*0.001*[1]MI!$G$42</f>
        <v>0</v>
      </c>
      <c r="E15" s="152">
        <f>B15*0.001*[1]MI!$H$42</f>
        <v>4062.3993918622664</v>
      </c>
      <c r="F15" s="157">
        <f>'[1]R_surface area calculation'!C80</f>
        <v>18448.476350929199</v>
      </c>
      <c r="G15" s="152">
        <f>F15*0.001*[1]MI!$E$37</f>
        <v>4534.2656538019046</v>
      </c>
      <c r="H15" s="152">
        <f>F15*0.001*[1]MI!$G$37</f>
        <v>0</v>
      </c>
      <c r="I15" s="152">
        <f>F15*0.001*[1]MI!$H$37</f>
        <v>1126.9550888850351</v>
      </c>
      <c r="J15" s="157">
        <f>'[1]R_surface area calculation'!D80</f>
        <v>34645.955911944533</v>
      </c>
      <c r="K15" s="152">
        <f>J15*0.001*[1]MI!$E$27</f>
        <v>4299.4393190674909</v>
      </c>
      <c r="L15" s="152">
        <f>J15*0.001*[1]MI!$G$27</f>
        <v>0</v>
      </c>
      <c r="M15" s="152">
        <f>J15*0.001*[1]MI!$H$27</f>
        <v>2399.8341606283207</v>
      </c>
      <c r="N15" s="157">
        <f>'[1]R_surface area calculation'!E80</f>
        <v>834.2841507921803</v>
      </c>
      <c r="O15" s="152">
        <f>N15*0.001*[1]MI!$E$32</f>
        <v>530.01581344444389</v>
      </c>
      <c r="P15" s="152">
        <f>N15*0.001*[1]MI!$G$32</f>
        <v>0</v>
      </c>
      <c r="Q15" s="153">
        <f>N15*0.001*[1]MI!$H$32</f>
        <v>205.81754983314474</v>
      </c>
    </row>
    <row r="16" spans="1:17">
      <c r="A16" s="147">
        <f>'[1]R_surface area calculation'!A81</f>
        <v>2020</v>
      </c>
      <c r="B16" s="157">
        <f>'[1]R_surface area calculation'!B81</f>
        <v>70093.19952947463</v>
      </c>
      <c r="C16" s="152">
        <f>B16*0.001*[1]MI!$E$42</f>
        <v>21748.280891585269</v>
      </c>
      <c r="D16" s="152">
        <f>B16*0.001*[1]MI!$G$42</f>
        <v>0</v>
      </c>
      <c r="E16" s="152">
        <f>B16*0.001*[1]MI!$H$42</f>
        <v>3441.2423137703277</v>
      </c>
      <c r="F16" s="157">
        <f>'[1]R_surface area calculation'!C81</f>
        <v>15627.630697902885</v>
      </c>
      <c r="G16" s="152">
        <f>F16*0.001*[1]MI!$E$37</f>
        <v>3840.9583412687807</v>
      </c>
      <c r="H16" s="152">
        <f>F16*0.001*[1]MI!$G$37</f>
        <v>0</v>
      </c>
      <c r="I16" s="152">
        <f>F16*0.001*[1]MI!$H$37</f>
        <v>954.63915866041702</v>
      </c>
      <c r="J16" s="157">
        <f>'[1]R_surface area calculation'!D81</f>
        <v>29348.450997712003</v>
      </c>
      <c r="K16" s="152">
        <f>J16*0.001*[1]MI!$E$27</f>
        <v>3642.0378901938766</v>
      </c>
      <c r="L16" s="152">
        <f>J16*0.001*[1]MI!$G$27</f>
        <v>0</v>
      </c>
      <c r="M16" s="152">
        <f>J16*0.001*[1]MI!$H$27</f>
        <v>2032.8899408878385</v>
      </c>
      <c r="N16" s="157">
        <f>'[1]R_surface area calculation'!E81</f>
        <v>706.71877491048394</v>
      </c>
      <c r="O16" s="152">
        <f>N16*0.001*[1]MI!$E$32</f>
        <v>448.97428053136628</v>
      </c>
      <c r="P16" s="152">
        <f>N16*0.001*[1]MI!$G$32</f>
        <v>0</v>
      </c>
      <c r="Q16" s="153">
        <f>N16*0.001*[1]MI!$H$32</f>
        <v>174.34722514510563</v>
      </c>
    </row>
    <row r="17" spans="1:17" ht="14.65" thickBot="1">
      <c r="A17" s="148">
        <f>'[1]R_surface area calculation'!A82</f>
        <v>2021</v>
      </c>
      <c r="B17" s="158">
        <f>'[1]R_surface area calculation'!B82</f>
        <v>120222.95060776194</v>
      </c>
      <c r="C17" s="154">
        <f>B17*0.001*[1]MI!$E$42</f>
        <v>37302.370515035705</v>
      </c>
      <c r="D17" s="154">
        <f>B17*0.001*[1]MI!$G$42</f>
        <v>0</v>
      </c>
      <c r="E17" s="154">
        <f>B17*0.001*[1]MI!$H$42</f>
        <v>5902.3743743325658</v>
      </c>
      <c r="F17" s="158">
        <f>'[1]R_surface area calculation'!C82</f>
        <v>26804.310348542102</v>
      </c>
      <c r="G17" s="154">
        <f>F17*0.001*[1]MI!$E$37</f>
        <v>6587.9621425278237</v>
      </c>
      <c r="H17" s="154">
        <f>F17*0.001*[1]MI!$G$37</f>
        <v>0</v>
      </c>
      <c r="I17" s="154">
        <f>F17*0.001*[1]MI!$H$37</f>
        <v>1637.3847561574848</v>
      </c>
      <c r="J17" s="158">
        <f>'[1]R_surface area calculation'!D82</f>
        <v>50338.084127955321</v>
      </c>
      <c r="K17" s="154">
        <f>J17*0.001*[1]MI!$E$27</f>
        <v>6246.776353820951</v>
      </c>
      <c r="L17" s="154">
        <f>J17*0.001*[1]MI!$G$27</f>
        <v>0</v>
      </c>
      <c r="M17" s="154">
        <f>J17*0.001*[1]MI!$H$27</f>
        <v>3486.7865726632008</v>
      </c>
      <c r="N17" s="158">
        <f>'[1]R_surface area calculation'!E82</f>
        <v>1212.154915740625</v>
      </c>
      <c r="O17" s="154">
        <f>N17*0.001*[1]MI!$E$32</f>
        <v>770.0748876469853</v>
      </c>
      <c r="P17" s="154">
        <f>N17*0.001*[1]MI!$G$32</f>
        <v>0</v>
      </c>
      <c r="Q17" s="155">
        <f>N17*0.001*[1]MI!$H$32</f>
        <v>299.03810894531</v>
      </c>
    </row>
    <row r="19" spans="1:17" ht="14.65" thickBot="1">
      <c r="A19" s="190" t="s">
        <v>164</v>
      </c>
      <c r="B19" s="190"/>
      <c r="C19" s="190"/>
      <c r="D19" s="190"/>
      <c r="E19" s="190"/>
      <c r="F19" s="190"/>
    </row>
    <row r="20" spans="1:17" ht="28.5">
      <c r="A20" s="146"/>
      <c r="B20" s="98" t="s">
        <v>126</v>
      </c>
      <c r="C20" s="98" t="s">
        <v>163</v>
      </c>
      <c r="D20" s="98" t="s">
        <v>130</v>
      </c>
      <c r="E20" s="99" t="s">
        <v>131</v>
      </c>
    </row>
    <row r="21" spans="1:17">
      <c r="A21" s="147">
        <v>2012</v>
      </c>
      <c r="B21" s="159">
        <f t="shared" ref="B21:B30" si="0">B8+F8+J8+N8</f>
        <v>143894.40760695108</v>
      </c>
      <c r="C21" s="161">
        <f t="shared" ref="C21:C30" si="1">C8+G8+K8+O8</f>
        <v>36888.665987280787</v>
      </c>
      <c r="D21" s="161">
        <f t="shared" ref="D21:D30" si="2">D8+H8+L8+P8</f>
        <v>0</v>
      </c>
      <c r="E21" s="162">
        <f t="shared" ref="E21:E30" si="3">E8+I8+M8+Q8</f>
        <v>8206.8118162671872</v>
      </c>
    </row>
    <row r="22" spans="1:17">
      <c r="A22" s="147">
        <v>2013</v>
      </c>
      <c r="B22" s="159">
        <f t="shared" si="0"/>
        <v>137401.79530149576</v>
      </c>
      <c r="C22" s="161">
        <f t="shared" si="1"/>
        <v>35224.22460485364</v>
      </c>
      <c r="D22" s="161">
        <f t="shared" si="2"/>
        <v>0</v>
      </c>
      <c r="E22" s="162">
        <f t="shared" si="3"/>
        <v>7836.5149557220775</v>
      </c>
    </row>
    <row r="23" spans="1:17">
      <c r="A23" s="147">
        <v>2014</v>
      </c>
      <c r="B23" s="159">
        <f t="shared" si="0"/>
        <v>92261.500000000015</v>
      </c>
      <c r="C23" s="161">
        <f t="shared" si="1"/>
        <v>23652.09123541434</v>
      </c>
      <c r="D23" s="161">
        <f t="shared" si="2"/>
        <v>0</v>
      </c>
      <c r="E23" s="162">
        <f t="shared" si="3"/>
        <v>5262.0027489515751</v>
      </c>
    </row>
    <row r="24" spans="1:17">
      <c r="A24" s="147">
        <v>2015</v>
      </c>
      <c r="B24" s="159">
        <f t="shared" si="0"/>
        <v>127532.99999999999</v>
      </c>
      <c r="C24" s="161">
        <f t="shared" si="1"/>
        <v>32694.267397843061</v>
      </c>
      <c r="D24" s="161">
        <f t="shared" si="2"/>
        <v>0</v>
      </c>
      <c r="E24" s="162">
        <f t="shared" si="3"/>
        <v>7273.6623248271626</v>
      </c>
    </row>
    <row r="25" spans="1:17">
      <c r="A25" s="147">
        <v>2016</v>
      </c>
      <c r="B25" s="159">
        <f t="shared" si="0"/>
        <v>205440.5</v>
      </c>
      <c r="C25" s="161">
        <f t="shared" si="1"/>
        <v>52666.577602240795</v>
      </c>
      <c r="D25" s="161">
        <f t="shared" si="2"/>
        <v>0</v>
      </c>
      <c r="E25" s="162">
        <f t="shared" si="3"/>
        <v>11717.005205269654</v>
      </c>
    </row>
    <row r="26" spans="1:17">
      <c r="A26" s="147">
        <v>2017</v>
      </c>
      <c r="B26" s="159">
        <f t="shared" si="0"/>
        <v>177393.99999999997</v>
      </c>
      <c r="C26" s="161">
        <f t="shared" si="1"/>
        <v>45476.59720051258</v>
      </c>
      <c r="D26" s="161">
        <f t="shared" si="2"/>
        <v>0</v>
      </c>
      <c r="E26" s="162">
        <f t="shared" si="3"/>
        <v>10117.413175024421</v>
      </c>
    </row>
    <row r="27" spans="1:17">
      <c r="A27" s="147">
        <v>2018</v>
      </c>
      <c r="B27" s="159">
        <f t="shared" si="0"/>
        <v>147753</v>
      </c>
      <c r="C27" s="161">
        <f t="shared" si="1"/>
        <v>37877.851935056067</v>
      </c>
      <c r="D27" s="161">
        <f t="shared" si="2"/>
        <v>0</v>
      </c>
      <c r="E27" s="162">
        <f t="shared" si="3"/>
        <v>8426.881116888866</v>
      </c>
    </row>
    <row r="28" spans="1:17">
      <c r="A28" s="147">
        <v>2019</v>
      </c>
      <c r="B28" s="159">
        <f t="shared" si="0"/>
        <v>136674</v>
      </c>
      <c r="C28" s="161">
        <f t="shared" si="1"/>
        <v>35037.647529132082</v>
      </c>
      <c r="D28" s="161">
        <f t="shared" si="2"/>
        <v>0</v>
      </c>
      <c r="E28" s="162">
        <f t="shared" si="3"/>
        <v>7795.0061912087667</v>
      </c>
    </row>
    <row r="29" spans="1:17">
      <c r="A29" s="147">
        <v>2020</v>
      </c>
      <c r="B29" s="159">
        <f t="shared" si="0"/>
        <v>115776</v>
      </c>
      <c r="C29" s="161">
        <f t="shared" si="1"/>
        <v>29680.251403579292</v>
      </c>
      <c r="D29" s="161">
        <f t="shared" si="2"/>
        <v>0</v>
      </c>
      <c r="E29" s="162">
        <f t="shared" si="3"/>
        <v>6603.1186384636894</v>
      </c>
    </row>
    <row r="30" spans="1:17" ht="14.65" thickBot="1">
      <c r="A30" s="148">
        <v>2021</v>
      </c>
      <c r="B30" s="160">
        <f t="shared" si="0"/>
        <v>198577.49999999997</v>
      </c>
      <c r="C30" s="163">
        <f t="shared" si="1"/>
        <v>50907.183899031472</v>
      </c>
      <c r="D30" s="163">
        <f t="shared" si="2"/>
        <v>0</v>
      </c>
      <c r="E30" s="164">
        <f t="shared" si="3"/>
        <v>11325.583812098561</v>
      </c>
    </row>
  </sheetData>
  <mergeCells count="2">
    <mergeCell ref="A6:H6"/>
    <mergeCell ref="A19:F19"/>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EC41BA-6634-45BF-9736-6D6C4C04DF54}">
  <dimension ref="A1:K44"/>
  <sheetViews>
    <sheetView topLeftCell="A35" workbookViewId="0">
      <selection activeCell="B31" sqref="B31"/>
    </sheetView>
  </sheetViews>
  <sheetFormatPr defaultRowHeight="14.25"/>
  <cols>
    <col min="2" max="2" width="12.1328125" customWidth="1"/>
    <col min="3" max="3" width="19.19921875" customWidth="1"/>
    <col min="4" max="4" width="16.796875" customWidth="1"/>
    <col min="5" max="5" width="15.6640625" customWidth="1"/>
    <col min="7" max="7" width="15.33203125" bestFit="1" customWidth="1"/>
    <col min="8" max="8" width="15.19921875" customWidth="1"/>
    <col min="9" max="11" width="9.1328125" bestFit="1" customWidth="1"/>
  </cols>
  <sheetData>
    <row r="1" spans="1:11" ht="21">
      <c r="A1" s="113" t="s">
        <v>165</v>
      </c>
      <c r="B1" s="28"/>
      <c r="C1" s="28"/>
      <c r="D1" s="28"/>
      <c r="E1" s="28"/>
    </row>
    <row r="2" spans="1:11">
      <c r="A2" s="115" t="s">
        <v>166</v>
      </c>
      <c r="B2" s="115"/>
      <c r="C2" s="115"/>
      <c r="D2" s="115"/>
      <c r="E2" s="115"/>
    </row>
    <row r="3" spans="1:11">
      <c r="A3" s="115"/>
      <c r="B3" s="115"/>
      <c r="C3" s="115"/>
      <c r="D3" s="115"/>
      <c r="E3" s="115"/>
    </row>
    <row r="4" spans="1:11" ht="14.65" thickBot="1">
      <c r="A4" s="194" t="s">
        <v>167</v>
      </c>
      <c r="B4" s="194"/>
      <c r="C4" s="194"/>
      <c r="D4" s="194"/>
      <c r="E4" s="194"/>
    </row>
    <row r="5" spans="1:11">
      <c r="A5" s="19"/>
      <c r="B5" s="20" t="s">
        <v>48</v>
      </c>
      <c r="C5" s="20" t="str">
        <f>[2]class_U!C33</f>
        <v>Commercial - area m2</v>
      </c>
      <c r="D5" s="20" t="str">
        <f>[2]class_U!E33</f>
        <v>Office - area m2</v>
      </c>
      <c r="E5" s="21" t="str">
        <f>[2]class_U!G33</f>
        <v>Other - area m2</v>
      </c>
    </row>
    <row r="6" spans="1:11">
      <c r="A6" s="22">
        <v>2014</v>
      </c>
      <c r="B6" s="12" t="s">
        <v>52</v>
      </c>
      <c r="C6" s="12">
        <f>[2]class_U!C34</f>
        <v>1266893</v>
      </c>
      <c r="D6" s="12">
        <f>[2]class_U!E34</f>
        <v>3009516</v>
      </c>
      <c r="E6" s="23">
        <f>[2]class_U!G34</f>
        <v>3009745</v>
      </c>
    </row>
    <row r="7" spans="1:11">
      <c r="A7" s="22"/>
      <c r="B7" s="12" t="s">
        <v>53</v>
      </c>
      <c r="C7" s="12">
        <f>[2]class_U!C35</f>
        <v>13177</v>
      </c>
      <c r="D7" s="12">
        <f>[2]class_U!E35</f>
        <v>37105</v>
      </c>
      <c r="E7" s="23">
        <f>[2]class_U!G35</f>
        <v>104178</v>
      </c>
    </row>
    <row r="8" spans="1:11">
      <c r="A8" s="22"/>
      <c r="B8" s="12" t="s">
        <v>54</v>
      </c>
      <c r="C8" s="12">
        <f>[2]class_U!C36</f>
        <v>4458</v>
      </c>
      <c r="D8" s="12">
        <f>[2]class_U!E36</f>
        <v>37463</v>
      </c>
      <c r="E8" s="23">
        <f>[2]class_U!G36</f>
        <v>172757</v>
      </c>
    </row>
    <row r="9" spans="1:11">
      <c r="A9" s="22">
        <v>2015</v>
      </c>
      <c r="B9" s="12" t="s">
        <v>52</v>
      </c>
      <c r="C9" s="12">
        <f>[2]class_U!C37</f>
        <v>625849</v>
      </c>
      <c r="D9" s="12">
        <f>[2]class_U!E37</f>
        <v>2010324</v>
      </c>
      <c r="E9" s="23">
        <f>[2]class_U!G37</f>
        <v>1778266</v>
      </c>
    </row>
    <row r="10" spans="1:11">
      <c r="A10" s="22"/>
      <c r="B10" s="12" t="s">
        <v>53</v>
      </c>
      <c r="C10" s="12">
        <f>[2]class_U!C38</f>
        <v>2393</v>
      </c>
      <c r="D10" s="12">
        <f>[2]class_U!E38</f>
        <v>270</v>
      </c>
      <c r="E10" s="23">
        <f>[2]class_U!G38</f>
        <v>31437</v>
      </c>
    </row>
    <row r="11" spans="1:11">
      <c r="A11" s="22"/>
      <c r="B11" s="12" t="s">
        <v>54</v>
      </c>
      <c r="C11" s="12">
        <f>[2]class_U!C39</f>
        <v>2220</v>
      </c>
      <c r="D11" s="12">
        <f>[2]class_U!E39</f>
        <v>40398</v>
      </c>
      <c r="E11" s="23">
        <f>[2]class_U!G39</f>
        <v>165150</v>
      </c>
      <c r="H11" s="2"/>
      <c r="I11" s="2"/>
      <c r="J11" s="2"/>
      <c r="K11" s="2"/>
    </row>
    <row r="12" spans="1:11">
      <c r="A12" s="22">
        <v>2016</v>
      </c>
      <c r="B12" s="12" t="s">
        <v>52</v>
      </c>
      <c r="C12" s="12">
        <f>[2]class_U!C40</f>
        <v>626304</v>
      </c>
      <c r="D12" s="12">
        <f>[2]class_U!E40</f>
        <v>1950086</v>
      </c>
      <c r="E12" s="23">
        <f>[2]class_U!G40</f>
        <v>1724370</v>
      </c>
      <c r="H12" s="2"/>
      <c r="I12" s="2"/>
      <c r="J12" s="2"/>
      <c r="K12" s="2"/>
    </row>
    <row r="13" spans="1:11">
      <c r="A13" s="22"/>
      <c r="B13" s="12" t="s">
        <v>53</v>
      </c>
      <c r="C13" s="12">
        <f>[2]class_U!C41</f>
        <v>327</v>
      </c>
      <c r="D13" s="12">
        <f>[2]class_U!E41</f>
        <v>26298</v>
      </c>
      <c r="E13" s="23">
        <f>[2]class_U!G41</f>
        <v>34527</v>
      </c>
      <c r="H13" s="2"/>
      <c r="I13" s="2"/>
      <c r="J13" s="2"/>
      <c r="K13" s="2"/>
    </row>
    <row r="14" spans="1:11">
      <c r="A14" s="22"/>
      <c r="B14" s="12" t="s">
        <v>54</v>
      </c>
      <c r="C14" s="12">
        <f>[2]class_U!C42</f>
        <v>6013</v>
      </c>
      <c r="D14" s="12">
        <f>[2]class_U!E42</f>
        <v>46824</v>
      </c>
      <c r="E14" s="23">
        <f>[2]class_U!G42</f>
        <v>212337</v>
      </c>
      <c r="H14" s="2"/>
      <c r="I14" s="2"/>
      <c r="J14" s="2"/>
      <c r="K14" s="2"/>
    </row>
    <row r="15" spans="1:11">
      <c r="A15" s="22">
        <v>2017</v>
      </c>
      <c r="B15" s="12" t="s">
        <v>52</v>
      </c>
      <c r="C15" s="12">
        <f>[2]class_U!C43</f>
        <v>627220</v>
      </c>
      <c r="D15" s="12">
        <f>[2]class_U!E43</f>
        <v>1991221</v>
      </c>
      <c r="E15" s="23">
        <f>[2]class_U!G43</f>
        <v>1688049</v>
      </c>
      <c r="H15" s="2"/>
      <c r="I15" s="2"/>
      <c r="J15" s="2"/>
      <c r="K15" s="2"/>
    </row>
    <row r="16" spans="1:11">
      <c r="A16" s="22"/>
      <c r="B16" s="12" t="s">
        <v>53</v>
      </c>
      <c r="C16" s="12">
        <f>[2]class_U!C44</f>
        <v>1893</v>
      </c>
      <c r="D16" s="12">
        <f>[2]class_U!E44</f>
        <v>43041</v>
      </c>
      <c r="E16" s="23">
        <f>[2]class_U!G44</f>
        <v>67822</v>
      </c>
      <c r="H16" s="2"/>
      <c r="I16" s="2"/>
      <c r="J16" s="2"/>
      <c r="K16" s="2"/>
    </row>
    <row r="17" spans="1:11">
      <c r="A17" s="22"/>
      <c r="B17" s="12" t="s">
        <v>54</v>
      </c>
      <c r="C17" s="12">
        <f>[2]class_U!C45</f>
        <v>8314</v>
      </c>
      <c r="D17" s="12">
        <f>[2]class_U!E45</f>
        <v>7230</v>
      </c>
      <c r="E17" s="23">
        <f>[2]class_U!G45</f>
        <v>179388</v>
      </c>
      <c r="H17" s="2"/>
      <c r="I17" s="2"/>
      <c r="J17" s="2"/>
      <c r="K17" s="2"/>
    </row>
    <row r="18" spans="1:11">
      <c r="A18" s="22">
        <v>2018</v>
      </c>
      <c r="B18" s="12" t="s">
        <v>52</v>
      </c>
      <c r="C18" s="12">
        <f>[2]class_U!C46</f>
        <v>615137</v>
      </c>
      <c r="D18" s="12">
        <f>[2]class_U!E46</f>
        <v>2008655</v>
      </c>
      <c r="E18" s="23">
        <f>[2]class_U!G46</f>
        <v>1717549</v>
      </c>
      <c r="H18" s="2"/>
      <c r="I18" s="2"/>
      <c r="J18" s="2"/>
      <c r="K18" s="2"/>
    </row>
    <row r="19" spans="1:11">
      <c r="A19" s="22"/>
      <c r="B19" s="12" t="s">
        <v>53</v>
      </c>
      <c r="C19" s="12">
        <f>[2]class_U!C47</f>
        <v>3256</v>
      </c>
      <c r="D19" s="12">
        <f>[2]class_U!E47</f>
        <v>144</v>
      </c>
      <c r="E19" s="23">
        <f>[2]class_U!G47</f>
        <v>59634</v>
      </c>
      <c r="H19" s="2"/>
      <c r="I19" s="2"/>
      <c r="J19" s="2"/>
      <c r="K19" s="2"/>
    </row>
    <row r="20" spans="1:11">
      <c r="A20" s="22"/>
      <c r="B20" s="12" t="s">
        <v>54</v>
      </c>
      <c r="C20" s="12">
        <f>[2]class_U!C48</f>
        <v>8877</v>
      </c>
      <c r="D20" s="12">
        <f>[2]class_U!E48</f>
        <v>12855</v>
      </c>
      <c r="E20" s="23">
        <f>[2]class_U!G48</f>
        <v>166424</v>
      </c>
      <c r="H20" s="2"/>
      <c r="I20" s="2"/>
      <c r="J20" s="2"/>
      <c r="K20" s="2"/>
    </row>
    <row r="21" spans="1:11">
      <c r="A21" s="22">
        <v>2019</v>
      </c>
      <c r="B21" s="12" t="s">
        <v>52</v>
      </c>
      <c r="C21" s="12">
        <f>[2]class_U!C49</f>
        <v>620460</v>
      </c>
      <c r="D21" s="12">
        <f>[2]class_U!E49</f>
        <v>1970310</v>
      </c>
      <c r="E21" s="23">
        <f>[2]class_U!G49</f>
        <v>1646222</v>
      </c>
      <c r="H21" s="2"/>
      <c r="I21" s="2"/>
      <c r="J21" s="2"/>
      <c r="K21" s="2"/>
    </row>
    <row r="22" spans="1:11">
      <c r="A22" s="22"/>
      <c r="B22" s="12" t="s">
        <v>53</v>
      </c>
      <c r="C22" s="12">
        <f>[2]class_U!C50</f>
        <v>3015</v>
      </c>
      <c r="D22" s="12">
        <f>[2]class_U!E50</f>
        <v>11578</v>
      </c>
      <c r="E22" s="23">
        <f>[2]class_U!G50</f>
        <v>33255</v>
      </c>
    </row>
    <row r="23" spans="1:11">
      <c r="A23" s="22"/>
      <c r="B23" s="12" t="s">
        <v>54</v>
      </c>
      <c r="C23" s="12">
        <f>[2]class_U!C51</f>
        <v>6056</v>
      </c>
      <c r="D23" s="12">
        <f>[2]class_U!E51</f>
        <v>8674</v>
      </c>
      <c r="E23" s="23">
        <f>[2]class_U!G51</f>
        <v>126388</v>
      </c>
    </row>
    <row r="24" spans="1:11">
      <c r="A24" s="22">
        <v>2020</v>
      </c>
      <c r="B24" s="12" t="s">
        <v>52</v>
      </c>
      <c r="C24" s="12">
        <f>[2]class_U!C52</f>
        <v>543271</v>
      </c>
      <c r="D24" s="12">
        <f>[2]class_U!E52</f>
        <v>1848426</v>
      </c>
      <c r="E24" s="23">
        <f>[2]class_U!G52</f>
        <v>1552102</v>
      </c>
    </row>
    <row r="25" spans="1:11">
      <c r="A25" s="22"/>
      <c r="B25" s="12" t="s">
        <v>53</v>
      </c>
      <c r="C25" s="12">
        <f>[2]class_U!C53</f>
        <v>233</v>
      </c>
      <c r="D25" s="12">
        <f>[2]class_U!E53</f>
        <v>1121</v>
      </c>
      <c r="E25" s="23">
        <f>[2]class_U!G53</f>
        <v>5080</v>
      </c>
    </row>
    <row r="26" spans="1:11">
      <c r="A26" s="22"/>
      <c r="B26" s="12" t="s">
        <v>54</v>
      </c>
      <c r="C26" s="12">
        <f>[2]class_U!C54</f>
        <v>7531</v>
      </c>
      <c r="D26" s="12">
        <f>[2]class_U!E54</f>
        <v>6927</v>
      </c>
      <c r="E26" s="23">
        <f>[2]class_U!G54</f>
        <v>185992</v>
      </c>
    </row>
    <row r="27" spans="1:11">
      <c r="A27" s="22">
        <v>2021</v>
      </c>
      <c r="B27" s="12" t="s">
        <v>52</v>
      </c>
      <c r="C27" s="12">
        <f>[2]class_U!C55</f>
        <v>632353</v>
      </c>
      <c r="D27" s="12">
        <f>[2]class_U!E55</f>
        <v>1942304</v>
      </c>
      <c r="E27" s="23">
        <f>[2]class_U!G55</f>
        <v>1688138</v>
      </c>
    </row>
    <row r="28" spans="1:11">
      <c r="A28" s="22"/>
      <c r="B28" s="12" t="s">
        <v>53</v>
      </c>
      <c r="C28" s="12">
        <f>[2]class_U!C56</f>
        <v>1952</v>
      </c>
      <c r="D28" s="12">
        <f>[2]class_U!E56</f>
        <v>17520</v>
      </c>
      <c r="E28" s="23">
        <f>[2]class_U!G56</f>
        <v>95908</v>
      </c>
    </row>
    <row r="29" spans="1:11" ht="14.65" thickBot="1">
      <c r="A29" s="25"/>
      <c r="B29" s="74" t="s">
        <v>54</v>
      </c>
      <c r="C29" s="74">
        <f>[2]class_U!C57</f>
        <v>8590</v>
      </c>
      <c r="D29" s="74">
        <f>[2]class_U!E57</f>
        <v>12918</v>
      </c>
      <c r="E29" s="82">
        <f>[2]class_U!G57</f>
        <v>216654</v>
      </c>
    </row>
    <row r="32" spans="1:11">
      <c r="A32" s="195" t="s">
        <v>168</v>
      </c>
      <c r="B32" s="195"/>
      <c r="C32" s="195"/>
      <c r="D32" s="195"/>
      <c r="E32" s="195"/>
    </row>
    <row r="33" spans="1:5" ht="14.65" thickBot="1">
      <c r="A33" s="28" t="s">
        <v>169</v>
      </c>
      <c r="B33" s="28"/>
      <c r="C33" s="28"/>
      <c r="D33" s="28"/>
      <c r="E33" s="28"/>
    </row>
    <row r="34" spans="1:5" ht="28.5">
      <c r="A34" s="97"/>
      <c r="B34" s="98" t="s">
        <v>170</v>
      </c>
      <c r="C34" s="98" t="s">
        <v>171</v>
      </c>
      <c r="D34" s="98" t="s">
        <v>172</v>
      </c>
      <c r="E34" s="99" t="s">
        <v>173</v>
      </c>
    </row>
    <row r="35" spans="1:5">
      <c r="A35" s="22">
        <v>2012</v>
      </c>
      <c r="B35" s="167">
        <f>[2]Clean_U_summary!B35</f>
        <v>18185.973090523566</v>
      </c>
      <c r="C35" s="167">
        <f>[2]Clean_U_summary!C35</f>
        <v>66988.410278598836</v>
      </c>
      <c r="D35" s="167">
        <f>[2]Clean_U_summary!D35</f>
        <v>448238.94972307095</v>
      </c>
      <c r="E35" s="165">
        <f>[2]Clean_U_summary!E35</f>
        <v>533413.33309219335</v>
      </c>
    </row>
    <row r="36" spans="1:5">
      <c r="A36" s="22">
        <v>2013</v>
      </c>
      <c r="B36" s="167">
        <f>[2]Clean_U_summary!B36</f>
        <v>18732.919649637061</v>
      </c>
      <c r="C36" s="167">
        <f>[2]Clean_U_summary!C36</f>
        <v>69003.099309534155</v>
      </c>
      <c r="D36" s="167">
        <f>[2]Clean_U_summary!D36</f>
        <v>461719.82039143407</v>
      </c>
      <c r="E36" s="165">
        <f>[2]Clean_U_summary!E36</f>
        <v>549455.83935060527</v>
      </c>
    </row>
    <row r="37" spans="1:5">
      <c r="A37" s="22">
        <v>2014</v>
      </c>
      <c r="B37" s="167">
        <f>C7+C8</f>
        <v>17635</v>
      </c>
      <c r="C37" s="167">
        <f>D7+D8</f>
        <v>74568</v>
      </c>
      <c r="D37" s="167">
        <f>E7+E8</f>
        <v>276935</v>
      </c>
      <c r="E37" s="165">
        <f>SUM(B37:D37)</f>
        <v>369138</v>
      </c>
    </row>
    <row r="38" spans="1:5">
      <c r="A38" s="22">
        <v>2015</v>
      </c>
      <c r="B38" s="167">
        <f>C10+C11</f>
        <v>4613</v>
      </c>
      <c r="C38" s="167">
        <f>D10+D11</f>
        <v>40668</v>
      </c>
      <c r="D38" s="167">
        <f>E10+E11</f>
        <v>196587</v>
      </c>
      <c r="E38" s="165">
        <f t="shared" ref="E38:E44" si="0">SUM(B38:D38)</f>
        <v>241868</v>
      </c>
    </row>
    <row r="39" spans="1:5">
      <c r="A39" s="22">
        <v>2016</v>
      </c>
      <c r="B39" s="167">
        <f>C13+C14</f>
        <v>6340</v>
      </c>
      <c r="C39" s="167">
        <f>D13+D14</f>
        <v>73122</v>
      </c>
      <c r="D39" s="167">
        <f>E13+E14</f>
        <v>246864</v>
      </c>
      <c r="E39" s="165">
        <f t="shared" si="0"/>
        <v>326326</v>
      </c>
    </row>
    <row r="40" spans="1:5">
      <c r="A40" s="22">
        <v>2017</v>
      </c>
      <c r="B40" s="167">
        <f>C16+C17</f>
        <v>10207</v>
      </c>
      <c r="C40" s="167">
        <f>D16+D17</f>
        <v>50271</v>
      </c>
      <c r="D40" s="167">
        <f>E16+E17</f>
        <v>247210</v>
      </c>
      <c r="E40" s="165">
        <f t="shared" si="0"/>
        <v>307688</v>
      </c>
    </row>
    <row r="41" spans="1:5">
      <c r="A41" s="22">
        <v>2018</v>
      </c>
      <c r="B41" s="167">
        <f>C19+C20</f>
        <v>12133</v>
      </c>
      <c r="C41" s="167">
        <f>D19+D20</f>
        <v>12999</v>
      </c>
      <c r="D41" s="167">
        <f>E19+E20</f>
        <v>226058</v>
      </c>
      <c r="E41" s="165">
        <f t="shared" si="0"/>
        <v>251190</v>
      </c>
    </row>
    <row r="42" spans="1:5">
      <c r="A42" s="22">
        <v>2019</v>
      </c>
      <c r="B42" s="167">
        <f>C22+C23</f>
        <v>9071</v>
      </c>
      <c r="C42" s="167">
        <f>D22+D23</f>
        <v>20252</v>
      </c>
      <c r="D42" s="167">
        <f>E22+E23</f>
        <v>159643</v>
      </c>
      <c r="E42" s="165">
        <f t="shared" si="0"/>
        <v>188966</v>
      </c>
    </row>
    <row r="43" spans="1:5">
      <c r="A43" s="22">
        <v>2020</v>
      </c>
      <c r="B43" s="167">
        <f>C25+C26</f>
        <v>7764</v>
      </c>
      <c r="C43" s="167">
        <f>D25+D26</f>
        <v>8048</v>
      </c>
      <c r="D43" s="167">
        <f>E25+E26</f>
        <v>191072</v>
      </c>
      <c r="E43" s="165">
        <f t="shared" si="0"/>
        <v>206884</v>
      </c>
    </row>
    <row r="44" spans="1:5" ht="14.65" thickBot="1">
      <c r="A44" s="25">
        <v>2021</v>
      </c>
      <c r="B44" s="168">
        <f>C28+C29</f>
        <v>10542</v>
      </c>
      <c r="C44" s="168">
        <f>D28+D29</f>
        <v>30438</v>
      </c>
      <c r="D44" s="168">
        <f>E28+E29</f>
        <v>312562</v>
      </c>
      <c r="E44" s="166">
        <f t="shared" si="0"/>
        <v>353542</v>
      </c>
    </row>
  </sheetData>
  <mergeCells count="2">
    <mergeCell ref="A4:E4"/>
    <mergeCell ref="A32:E3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8A120E8-DEC7-45CF-AD03-5EB8CBC666DB}">
  <dimension ref="A1:N31"/>
  <sheetViews>
    <sheetView topLeftCell="A14" workbookViewId="0">
      <selection activeCell="P20" sqref="P20"/>
    </sheetView>
  </sheetViews>
  <sheetFormatPr defaultRowHeight="14.25"/>
  <cols>
    <col min="2" max="2" width="10.19921875" customWidth="1"/>
    <col min="3" max="4" width="9.53125" bestFit="1" customWidth="1"/>
    <col min="5" max="6" width="9" bestFit="1" customWidth="1"/>
    <col min="8" max="8" width="11.6640625" bestFit="1" customWidth="1"/>
    <col min="13" max="14" width="9.53125" bestFit="1" customWidth="1"/>
    <col min="15" max="16" width="9" bestFit="1" customWidth="1"/>
  </cols>
  <sheetData>
    <row r="1" spans="1:14" ht="18">
      <c r="A1" s="31" t="s">
        <v>174</v>
      </c>
    </row>
    <row r="2" spans="1:14">
      <c r="A2" t="s">
        <v>175</v>
      </c>
    </row>
    <row r="3" spans="1:14">
      <c r="A3" s="59" t="s">
        <v>128</v>
      </c>
      <c r="B3" s="59"/>
      <c r="C3" s="59"/>
      <c r="D3" s="59"/>
      <c r="E3" s="59"/>
      <c r="F3" s="59"/>
      <c r="G3" s="59"/>
      <c r="H3" s="59"/>
      <c r="I3" s="59"/>
    </row>
    <row r="4" spans="1:14">
      <c r="A4" t="s">
        <v>184</v>
      </c>
    </row>
    <row r="6" spans="1:14" ht="14.65" thickBot="1">
      <c r="A6" s="189" t="s">
        <v>179</v>
      </c>
      <c r="B6" s="189"/>
      <c r="C6" s="189"/>
      <c r="D6" s="189"/>
      <c r="E6" s="189"/>
      <c r="F6" s="189"/>
      <c r="G6" s="189"/>
      <c r="H6" s="189"/>
    </row>
    <row r="7" spans="1:14" ht="28.5">
      <c r="A7" s="97"/>
      <c r="B7" s="104" t="s">
        <v>176</v>
      </c>
      <c r="C7" s="150" t="s">
        <v>163</v>
      </c>
      <c r="D7" s="150" t="s">
        <v>130</v>
      </c>
      <c r="E7" s="150" t="s">
        <v>131</v>
      </c>
      <c r="F7" s="104" t="s">
        <v>177</v>
      </c>
      <c r="G7" s="150" t="s">
        <v>163</v>
      </c>
      <c r="H7" s="150" t="s">
        <v>130</v>
      </c>
      <c r="I7" s="150" t="s">
        <v>131</v>
      </c>
      <c r="J7" s="104" t="s">
        <v>178</v>
      </c>
      <c r="K7" s="150" t="s">
        <v>163</v>
      </c>
      <c r="L7" s="150" t="s">
        <v>130</v>
      </c>
      <c r="M7" s="151" t="s">
        <v>131</v>
      </c>
    </row>
    <row r="8" spans="1:14">
      <c r="A8" s="65">
        <v>2012</v>
      </c>
      <c r="B8" s="174">
        <f>[2]Clean_U_summary!B35</f>
        <v>18185.973090523566</v>
      </c>
      <c r="C8" s="169">
        <f>B8*0.001*[2]MI!$E$17</f>
        <v>2700.0384242804039</v>
      </c>
      <c r="D8" s="169">
        <f>B8*0.001*[2]MI!$G$17</f>
        <v>60.053887594182534</v>
      </c>
      <c r="E8" s="169">
        <f>B8*0.001*[2]MI!$H$17</f>
        <v>912.21823345220764</v>
      </c>
      <c r="F8" s="174">
        <f>[2]Clean_U_summary!C35</f>
        <v>66988.410278598836</v>
      </c>
      <c r="G8" s="169">
        <f>F8*0.001*[2]MI!$E$12</f>
        <v>24362.747437841266</v>
      </c>
      <c r="H8" s="169">
        <f>F8*0.001*[2]MI!$G$12</f>
        <v>1024.0272180844618</v>
      </c>
      <c r="I8" s="169">
        <f>F8*0.001*[2]MI!$H$12</f>
        <v>1627.2011549159292</v>
      </c>
      <c r="J8" s="174">
        <f>[2]Clean_U_summary!D35</f>
        <v>448238.94972307095</v>
      </c>
      <c r="K8" s="169">
        <f>J8*0.001*[2]MI!$E$22</f>
        <v>142132.0485738221</v>
      </c>
      <c r="L8" s="169">
        <f>J8*0.001*[2]MI!$G$22</f>
        <v>4684.2435356544975</v>
      </c>
      <c r="M8" s="170">
        <f>J8*0.001*[2]MI!$H$22</f>
        <v>16585.266913322594</v>
      </c>
      <c r="N8" s="1"/>
    </row>
    <row r="9" spans="1:14">
      <c r="A9" s="65">
        <v>2013</v>
      </c>
      <c r="B9" s="174">
        <f>[2]Clean_U_summary!B36</f>
        <v>18732.919649637061</v>
      </c>
      <c r="C9" s="169">
        <f>B9*0.001*[2]MI!$E$17</f>
        <v>2781.242587416657</v>
      </c>
      <c r="D9" s="169">
        <f>B9*0.001*[2]MI!$G$17</f>
        <v>61.860019551902319</v>
      </c>
      <c r="E9" s="169">
        <f>B9*0.001*[2]MI!$H$17</f>
        <v>939.6533682928756</v>
      </c>
      <c r="F9" s="174">
        <f>[2]Clean_U_summary!C36</f>
        <v>69003.099309534155</v>
      </c>
      <c r="G9" s="169">
        <f>F9*0.001*[2]MI!$E$12</f>
        <v>25095.461646498152</v>
      </c>
      <c r="H9" s="169">
        <f>F9*0.001*[2]MI!$G$12</f>
        <v>1054.8250291546713</v>
      </c>
      <c r="I9" s="169">
        <f>F9*0.001*[2]MI!$H$12</f>
        <v>1676.139535514905</v>
      </c>
      <c r="J9" s="174">
        <f>[2]Clean_U_summary!D36</f>
        <v>461719.82039143407</v>
      </c>
      <c r="K9" s="169">
        <f>J9*0.001*[2]MI!$E$22</f>
        <v>146406.6966512303</v>
      </c>
      <c r="L9" s="169">
        <f>J9*0.001*[2]MI!$G$22</f>
        <v>4825.1230404862126</v>
      </c>
      <c r="M9" s="170">
        <f>J9*0.001*[2]MI!$H$22</f>
        <v>17084.071933272149</v>
      </c>
      <c r="N9" s="1"/>
    </row>
    <row r="10" spans="1:14">
      <c r="A10" s="65">
        <f>[2]Clean_U_summary!A37</f>
        <v>2014</v>
      </c>
      <c r="B10" s="175">
        <f>[2]Clean_U_summary!B37</f>
        <v>17635</v>
      </c>
      <c r="C10" s="169">
        <f>B10*0.001*[2]MI!$E$17</f>
        <v>2618.2364493322857</v>
      </c>
      <c r="D10" s="169">
        <f>B10*0.001*[2]MI!$G$17</f>
        <v>58.234459187408781</v>
      </c>
      <c r="E10" s="169">
        <f>B10*0.001*[2]MI!$H$17</f>
        <v>884.58112562106203</v>
      </c>
      <c r="F10" s="175">
        <f>[2]Clean_U_summary!C37</f>
        <v>74568</v>
      </c>
      <c r="G10" s="169">
        <f>F10*0.001*[2]MI!$E$12</f>
        <v>27119.338156996582</v>
      </c>
      <c r="H10" s="169">
        <f>F10*0.001*[2]MI!$G$12</f>
        <v>1139.8936216063212</v>
      </c>
      <c r="I10" s="169">
        <f>F10*0.001*[2]MI!$H$12</f>
        <v>1811.3153486571882</v>
      </c>
      <c r="J10" s="175">
        <f>[2]Clean_U_summary!D37</f>
        <v>276935</v>
      </c>
      <c r="K10" s="169">
        <f>J10*0.001*[2]MI!$E$22</f>
        <v>87813.294440631435</v>
      </c>
      <c r="L10" s="169">
        <f>J10*0.001*[2]MI!$G$22</f>
        <v>2894.0612687673124</v>
      </c>
      <c r="M10" s="170">
        <f>J10*0.001*[2]MI!$H$22</f>
        <v>10246.858055237381</v>
      </c>
      <c r="N10" s="1"/>
    </row>
    <row r="11" spans="1:14">
      <c r="A11" s="65">
        <f>[2]Clean_U_summary!A38</f>
        <v>2015</v>
      </c>
      <c r="B11" s="175">
        <f>[2]Clean_U_summary!B38</f>
        <v>4613</v>
      </c>
      <c r="C11" s="169">
        <f>B11*0.001*[2]MI!$E$17</f>
        <v>684.88373919874311</v>
      </c>
      <c r="D11" s="169">
        <f>B11*0.001*[2]MI!$G$17</f>
        <v>15.233091025319917</v>
      </c>
      <c r="E11" s="169">
        <f>B11*0.001*[2]MI!$H$17</f>
        <v>231.39057173178108</v>
      </c>
      <c r="F11" s="175">
        <f>[2]Clean_U_summary!C38</f>
        <v>40668</v>
      </c>
      <c r="G11" s="169">
        <f>F11*0.001*[2]MI!$E$12</f>
        <v>14790.382525597268</v>
      </c>
      <c r="H11" s="169">
        <f>F11*0.001*[2]MI!$G$12</f>
        <v>621.67677560730976</v>
      </c>
      <c r="I11" s="169">
        <f>F11*0.001*[2]MI!$H$12</f>
        <v>987.85769497895251</v>
      </c>
      <c r="J11" s="175">
        <f>[2]Clean_U_summary!D38</f>
        <v>196587</v>
      </c>
      <c r="K11" s="169">
        <f>J11*0.001*[2]MI!$E$22</f>
        <v>62335.754289636243</v>
      </c>
      <c r="L11" s="169">
        <f>J11*0.001*[2]MI!$G$22</f>
        <v>2054.3984062800282</v>
      </c>
      <c r="M11" s="170">
        <f>J11*0.001*[2]MI!$H$22</f>
        <v>7273.9057342154338</v>
      </c>
      <c r="N11" s="1"/>
    </row>
    <row r="12" spans="1:14">
      <c r="A12" s="65">
        <f>[2]Clean_U_summary!A39</f>
        <v>2016</v>
      </c>
      <c r="B12" s="175">
        <f>[2]Clean_U_summary!B39</f>
        <v>6340</v>
      </c>
      <c r="C12" s="169">
        <f>B12*0.001*[2]MI!$E$17</f>
        <v>941.28829536527871</v>
      </c>
      <c r="D12" s="169">
        <f>B12*0.001*[2]MI!$G$17</f>
        <v>20.936006308373781</v>
      </c>
      <c r="E12" s="169">
        <f>B12*0.001*[2]MI!$H$17</f>
        <v>318.01782457825533</v>
      </c>
      <c r="F12" s="175">
        <f>[2]Clean_U_summary!C39</f>
        <v>73122</v>
      </c>
      <c r="G12" s="169">
        <f>F12*0.001*[2]MI!$E$12</f>
        <v>26593.448191126277</v>
      </c>
      <c r="H12" s="169">
        <f>F12*0.001*[2]MI!$G$12</f>
        <v>1117.7891508300802</v>
      </c>
      <c r="I12" s="169">
        <f>F12*0.001*[2]MI!$H$12</f>
        <v>1776.1908717480812</v>
      </c>
      <c r="J12" s="175">
        <f>[2]Clean_U_summary!D39</f>
        <v>246864</v>
      </c>
      <c r="K12" s="169">
        <f>J12*0.001*[2]MI!$E$22</f>
        <v>78278.083733699386</v>
      </c>
      <c r="L12" s="169">
        <f>J12*0.001*[2]MI!$G$22</f>
        <v>2579.8094897827064</v>
      </c>
      <c r="M12" s="170">
        <f>J12*0.001*[2]MI!$H$22</f>
        <v>9134.2024913720579</v>
      </c>
      <c r="N12" s="1"/>
    </row>
    <row r="13" spans="1:14">
      <c r="A13" s="65">
        <f>[2]Clean_U_summary!A40</f>
        <v>2017</v>
      </c>
      <c r="B13" s="175">
        <f>[2]Clean_U_summary!B40</f>
        <v>10207</v>
      </c>
      <c r="C13" s="169">
        <f>B13*0.001*[2]MI!$E$17</f>
        <v>1515.4147682639434</v>
      </c>
      <c r="D13" s="169">
        <f>B13*0.001*[2]MI!$G$17</f>
        <v>33.705649272803029</v>
      </c>
      <c r="E13" s="169">
        <f>B13*0.001*[2]MI!$H$17</f>
        <v>511.98863335492939</v>
      </c>
      <c r="F13" s="175">
        <f>[2]Clean_U_summary!C40</f>
        <v>50271</v>
      </c>
      <c r="G13" s="169">
        <f>F13*0.001*[2]MI!$E$12</f>
        <v>18282.859249146757</v>
      </c>
      <c r="H13" s="169">
        <f>F13*0.001*[2]MI!$G$12</f>
        <v>768.47430870844573</v>
      </c>
      <c r="I13" s="169">
        <f>F13*0.001*[2]MI!$H$12</f>
        <v>1221.1221152819642</v>
      </c>
      <c r="J13" s="175">
        <f>[2]Clean_U_summary!D40</f>
        <v>247210</v>
      </c>
      <c r="K13" s="169">
        <f>J13*0.001*[2]MI!$E$22</f>
        <v>78387.796842827738</v>
      </c>
      <c r="L13" s="169">
        <f>J13*0.001*[2]MI!$G$22</f>
        <v>2583.4253028760081</v>
      </c>
      <c r="M13" s="170">
        <f>J13*0.001*[2]MI!$H$22</f>
        <v>9147.004820030812</v>
      </c>
      <c r="N13" s="1"/>
    </row>
    <row r="14" spans="1:14">
      <c r="A14" s="65">
        <f>[2]Clean_U_summary!A41</f>
        <v>2018</v>
      </c>
      <c r="B14" s="175">
        <f>[2]Clean_U_summary!B41</f>
        <v>12133</v>
      </c>
      <c r="C14" s="169">
        <f>B14*0.001*[2]MI!$E$17</f>
        <v>1801.3644933228593</v>
      </c>
      <c r="D14" s="169">
        <f>B14*0.001*[2]MI!$G$17</f>
        <v>40.065704186040868</v>
      </c>
      <c r="E14" s="169">
        <f>B14*0.001*[2]MI!$H$17</f>
        <v>608.59783369210925</v>
      </c>
      <c r="F14" s="175">
        <f>[2]Clean_U_summary!C41</f>
        <v>12999</v>
      </c>
      <c r="G14" s="169">
        <f>F14*0.001*[2]MI!$E$12</f>
        <v>4727.5544027303749</v>
      </c>
      <c r="H14" s="169">
        <f>F14*0.001*[2]MI!$G$12</f>
        <v>198.71093749678911</v>
      </c>
      <c r="I14" s="169">
        <f>F14*0.001*[2]MI!$H$12</f>
        <v>315.7559303883005</v>
      </c>
      <c r="J14" s="175">
        <f>[2]Clean_U_summary!D41</f>
        <v>226058</v>
      </c>
      <c r="K14" s="169">
        <f>J14*0.001*[2]MI!$E$22</f>
        <v>71680.711050102953</v>
      </c>
      <c r="L14" s="169">
        <f>J14*0.001*[2]MI!$G$22</f>
        <v>2362.3799891490821</v>
      </c>
      <c r="M14" s="170">
        <f>J14*0.001*[2]MI!$H$22</f>
        <v>8364.36072815228</v>
      </c>
      <c r="N14" s="1"/>
    </row>
    <row r="15" spans="1:14">
      <c r="A15" s="65">
        <f>[2]Clean_U_summary!A42</f>
        <v>2019</v>
      </c>
      <c r="B15" s="175">
        <f>[2]Clean_U_summary!B42</f>
        <v>9071</v>
      </c>
      <c r="C15" s="169">
        <f>B15*0.001*[2]MI!$E$17</f>
        <v>1346.7549096622149</v>
      </c>
      <c r="D15" s="169">
        <f>B15*0.001*[2]MI!$G$17</f>
        <v>29.954339625119648</v>
      </c>
      <c r="E15" s="169">
        <f>B15*0.001*[2]MI!$H$17</f>
        <v>455.00625973964577</v>
      </c>
      <c r="F15" s="175">
        <f>[2]Clean_U_summary!C42</f>
        <v>20252</v>
      </c>
      <c r="G15" s="169">
        <f>F15*0.001*[2]MI!$E$12</f>
        <v>7365.3690102389064</v>
      </c>
      <c r="H15" s="169">
        <f>F15*0.001*[2]MI!$G$12</f>
        <v>309.584883928377</v>
      </c>
      <c r="I15" s="169">
        <f>F15*0.001*[2]MI!$H$12</f>
        <v>491.93700301745218</v>
      </c>
      <c r="J15" s="175">
        <f>[2]Clean_U_summary!D42</f>
        <v>159643</v>
      </c>
      <c r="K15" s="169">
        <f>J15*0.001*[2]MI!$E$22</f>
        <v>50621.184625943722</v>
      </c>
      <c r="L15" s="169">
        <f>J15*0.001*[2]MI!$G$22</f>
        <v>1668.3215307917742</v>
      </c>
      <c r="M15" s="170">
        <f>J15*0.001*[2]MI!$H$22</f>
        <v>5906.9426418194198</v>
      </c>
      <c r="N15" s="1"/>
    </row>
    <row r="16" spans="1:14">
      <c r="A16" s="65">
        <f>[2]Clean_U_summary!A43</f>
        <v>2020</v>
      </c>
      <c r="B16" s="175">
        <f>[2]Clean_U_summary!B43</f>
        <v>7764</v>
      </c>
      <c r="C16" s="169">
        <f>B16*0.001*[2]MI!$E$17</f>
        <v>1152.7069913589944</v>
      </c>
      <c r="D16" s="169">
        <f>B16*0.001*[2]MI!$G$17</f>
        <v>25.638352204765624</v>
      </c>
      <c r="E16" s="169">
        <f>B16*0.001*[2]MI!$H$17</f>
        <v>389.44643375797705</v>
      </c>
      <c r="F16" s="175">
        <f>[2]Clean_U_summary!C43</f>
        <v>8048</v>
      </c>
      <c r="G16" s="169">
        <f>F16*0.001*[2]MI!$E$12</f>
        <v>2926.9449829351533</v>
      </c>
      <c r="H16" s="169">
        <f>F16*0.001*[2]MI!$G$12</f>
        <v>123.02681936873289</v>
      </c>
      <c r="I16" s="169">
        <f>F16*0.001*[2]MI!$H$12</f>
        <v>195.49224769328734</v>
      </c>
      <c r="J16" s="175">
        <f>[2]Clean_U_summary!D43</f>
        <v>191072</v>
      </c>
      <c r="K16" s="169">
        <f>J16*0.001*[2]MI!$E$22</f>
        <v>60587.003431708996</v>
      </c>
      <c r="L16" s="169">
        <f>J16*0.001*[2]MI!$G$22</f>
        <v>1996.7648536512463</v>
      </c>
      <c r="M16" s="170">
        <f>J16*0.001*[2]MI!$H$22</f>
        <v>7069.8454956228597</v>
      </c>
      <c r="N16" s="1"/>
    </row>
    <row r="17" spans="1:14" ht="14.65" thickBot="1">
      <c r="A17" s="171">
        <f>[2]Clean_U_summary!A44</f>
        <v>2021</v>
      </c>
      <c r="B17" s="176">
        <f>[2]Clean_U_summary!B44</f>
        <v>10542</v>
      </c>
      <c r="C17" s="172">
        <f>B17*0.001*[2]MI!$E$17</f>
        <v>1565.1516103692063</v>
      </c>
      <c r="D17" s="172">
        <f>B17*0.001*[2]MI!$G$17</f>
        <v>34.811889353765999</v>
      </c>
      <c r="E17" s="172">
        <f>B17*0.001*[2]MI!$H$17</f>
        <v>528.79241430661955</v>
      </c>
      <c r="F17" s="176">
        <f>[2]Clean_U_summary!C44</f>
        <v>30438</v>
      </c>
      <c r="G17" s="172">
        <f>F17*0.001*[2]MI!$E$12</f>
        <v>11069.874675767918</v>
      </c>
      <c r="H17" s="172">
        <f>F17*0.001*[2]MI!$G$12</f>
        <v>465.29452385008597</v>
      </c>
      <c r="I17" s="172">
        <f>F17*0.001*[2]MI!$H$12</f>
        <v>739.36295170083008</v>
      </c>
      <c r="J17" s="176">
        <f>[2]Clean_U_summary!D44</f>
        <v>312562</v>
      </c>
      <c r="K17" s="172">
        <f>J17*0.001*[2]MI!$E$22</f>
        <v>99110.256691832532</v>
      </c>
      <c r="L17" s="172">
        <f>J17*0.001*[2]MI!$G$22</f>
        <v>3266.3750637819294</v>
      </c>
      <c r="M17" s="173">
        <f>J17*0.001*[2]MI!$H$22</f>
        <v>11565.090896640389</v>
      </c>
      <c r="N17" s="1"/>
    </row>
    <row r="20" spans="1:14" ht="14.65" thickBot="1">
      <c r="A20" s="190" t="s">
        <v>180</v>
      </c>
      <c r="B20" s="190"/>
      <c r="C20" s="190"/>
      <c r="D20" s="190"/>
      <c r="E20" s="190"/>
      <c r="F20" s="190"/>
      <c r="G20" s="190"/>
    </row>
    <row r="21" spans="1:14" ht="28.5">
      <c r="A21" s="19"/>
      <c r="B21" s="98" t="s">
        <v>126</v>
      </c>
      <c r="C21" s="98" t="s">
        <v>163</v>
      </c>
      <c r="D21" s="98" t="s">
        <v>130</v>
      </c>
      <c r="E21" s="99" t="s">
        <v>131</v>
      </c>
    </row>
    <row r="22" spans="1:14">
      <c r="A22" s="22">
        <v>2012</v>
      </c>
      <c r="B22" s="24">
        <f t="shared" ref="B22:B31" si="0">B8+F8+J8</f>
        <v>533413.33309219335</v>
      </c>
      <c r="C22" s="107">
        <f t="shared" ref="C22:C31" si="1">C8+G8+K8</f>
        <v>169194.83443594378</v>
      </c>
      <c r="D22" s="107">
        <f t="shared" ref="D22:D31" si="2">D8+H8+L8</f>
        <v>5768.3246413331417</v>
      </c>
      <c r="E22" s="108">
        <f t="shared" ref="E22:E31" si="3">E8+I8+M8</f>
        <v>19124.68630169073</v>
      </c>
    </row>
    <row r="23" spans="1:14">
      <c r="A23" s="22">
        <v>2013</v>
      </c>
      <c r="B23" s="24">
        <f t="shared" si="0"/>
        <v>549455.83935060527</v>
      </c>
      <c r="C23" s="107">
        <f t="shared" si="1"/>
        <v>174283.40088514512</v>
      </c>
      <c r="D23" s="107">
        <f t="shared" si="2"/>
        <v>5941.8080891927857</v>
      </c>
      <c r="E23" s="108">
        <f t="shared" si="3"/>
        <v>19699.864837079931</v>
      </c>
    </row>
    <row r="24" spans="1:14">
      <c r="A24" s="22">
        <v>2014</v>
      </c>
      <c r="B24" s="24">
        <f t="shared" si="0"/>
        <v>369138</v>
      </c>
      <c r="C24" s="107">
        <f t="shared" si="1"/>
        <v>117550.8690469603</v>
      </c>
      <c r="D24" s="107">
        <f t="shared" si="2"/>
        <v>4092.189349561042</v>
      </c>
      <c r="E24" s="108">
        <f t="shared" si="3"/>
        <v>12942.754529515631</v>
      </c>
    </row>
    <row r="25" spans="1:14">
      <c r="A25" s="22">
        <v>2015</v>
      </c>
      <c r="B25" s="24">
        <f t="shared" si="0"/>
        <v>241868</v>
      </c>
      <c r="C25" s="107">
        <f t="shared" si="1"/>
        <v>77811.020554432253</v>
      </c>
      <c r="D25" s="107">
        <f t="shared" si="2"/>
        <v>2691.3082729126581</v>
      </c>
      <c r="E25" s="108">
        <f t="shared" si="3"/>
        <v>8493.154000926168</v>
      </c>
    </row>
    <row r="26" spans="1:14">
      <c r="A26" s="22">
        <v>2016</v>
      </c>
      <c r="B26" s="24">
        <f t="shared" si="0"/>
        <v>326326</v>
      </c>
      <c r="C26" s="107">
        <f t="shared" si="1"/>
        <v>105812.82022019094</v>
      </c>
      <c r="D26" s="107">
        <f t="shared" si="2"/>
        <v>3718.5346469211604</v>
      </c>
      <c r="E26" s="108">
        <f t="shared" si="3"/>
        <v>11228.411187698395</v>
      </c>
    </row>
    <row r="27" spans="1:14">
      <c r="A27" s="22">
        <v>2017</v>
      </c>
      <c r="B27" s="24">
        <f t="shared" si="0"/>
        <v>307688</v>
      </c>
      <c r="C27" s="107">
        <f t="shared" si="1"/>
        <v>98186.07086023844</v>
      </c>
      <c r="D27" s="107">
        <f t="shared" si="2"/>
        <v>3385.6052608572568</v>
      </c>
      <c r="E27" s="108">
        <f t="shared" si="3"/>
        <v>10880.115568667705</v>
      </c>
    </row>
    <row r="28" spans="1:14">
      <c r="A28" s="22">
        <v>2018</v>
      </c>
      <c r="B28" s="24">
        <f t="shared" si="0"/>
        <v>251190</v>
      </c>
      <c r="C28" s="107">
        <f t="shared" si="1"/>
        <v>78209.629946156187</v>
      </c>
      <c r="D28" s="107">
        <f t="shared" si="2"/>
        <v>2601.156630831912</v>
      </c>
      <c r="E28" s="108">
        <f t="shared" si="3"/>
        <v>9288.7144922326897</v>
      </c>
    </row>
    <row r="29" spans="1:14">
      <c r="A29" s="22">
        <v>2019</v>
      </c>
      <c r="B29" s="24">
        <f t="shared" si="0"/>
        <v>188966</v>
      </c>
      <c r="C29" s="107">
        <f t="shared" si="1"/>
        <v>59333.308545844848</v>
      </c>
      <c r="D29" s="107">
        <f t="shared" si="2"/>
        <v>2007.8607543452708</v>
      </c>
      <c r="E29" s="108">
        <f t="shared" si="3"/>
        <v>6853.8859045765175</v>
      </c>
    </row>
    <row r="30" spans="1:14">
      <c r="A30" s="22">
        <v>2020</v>
      </c>
      <c r="B30" s="24">
        <f t="shared" si="0"/>
        <v>206884</v>
      </c>
      <c r="C30" s="107">
        <f t="shared" si="1"/>
        <v>64666.655406003141</v>
      </c>
      <c r="D30" s="107">
        <f t="shared" si="2"/>
        <v>2145.4300252247449</v>
      </c>
      <c r="E30" s="108">
        <f t="shared" si="3"/>
        <v>7654.7841770741243</v>
      </c>
    </row>
    <row r="31" spans="1:14" ht="14.65" thickBot="1">
      <c r="A31" s="25">
        <v>2021</v>
      </c>
      <c r="B31" s="26">
        <f t="shared" si="0"/>
        <v>353542</v>
      </c>
      <c r="C31" s="109">
        <f t="shared" si="1"/>
        <v>111745.28297796966</v>
      </c>
      <c r="D31" s="109">
        <f t="shared" si="2"/>
        <v>3766.4814769857812</v>
      </c>
      <c r="E31" s="110">
        <f t="shared" si="3"/>
        <v>12833.246262647839</v>
      </c>
    </row>
  </sheetData>
  <mergeCells count="2">
    <mergeCell ref="A6:H6"/>
    <mergeCell ref="A20:G20"/>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13C2513-4DF9-48D1-86E6-A9864F4FC893}">
  <dimension ref="A1:E14"/>
  <sheetViews>
    <sheetView workbookViewId="0">
      <selection activeCell="K14" sqref="K14"/>
    </sheetView>
  </sheetViews>
  <sheetFormatPr defaultRowHeight="14.25"/>
  <cols>
    <col min="3" max="4" width="9.53125" bestFit="1" customWidth="1"/>
    <col min="5" max="6" width="9" bestFit="1" customWidth="1"/>
  </cols>
  <sheetData>
    <row r="1" spans="1:5" ht="18">
      <c r="A1" s="31" t="s">
        <v>181</v>
      </c>
    </row>
    <row r="2" spans="1:5">
      <c r="A2" s="54" t="s">
        <v>182</v>
      </c>
    </row>
    <row r="3" spans="1:5" ht="18.399999999999999" thickBot="1">
      <c r="A3" s="31"/>
    </row>
    <row r="4" spans="1:5" ht="28.5">
      <c r="A4" s="19"/>
      <c r="B4" s="98" t="s">
        <v>126</v>
      </c>
      <c r="C4" s="98" t="s">
        <v>163</v>
      </c>
      <c r="D4" s="98" t="s">
        <v>130</v>
      </c>
      <c r="E4" s="99" t="s">
        <v>131</v>
      </c>
    </row>
    <row r="5" spans="1:5">
      <c r="A5" s="22">
        <v>2012</v>
      </c>
      <c r="B5" s="24">
        <f>'[3]U_C calculation'!B21+[3]R_C_calcualtion!B22</f>
        <v>677307.74069914443</v>
      </c>
      <c r="C5" s="107">
        <f>'[3]U_C calculation'!C21+[3]R_C_calcualtion!C22</f>
        <v>206083.50042322456</v>
      </c>
      <c r="D5" s="107">
        <f>'[3]U_C calculation'!E21+[3]R_C_calcualtion!E22</f>
        <v>5768.3246413331417</v>
      </c>
      <c r="E5" s="108">
        <f>'[3]U_C calculation'!F21+[3]R_C_calcualtion!F22</f>
        <v>27331.498117957919</v>
      </c>
    </row>
    <row r="6" spans="1:5">
      <c r="A6" s="22">
        <v>2013</v>
      </c>
      <c r="B6" s="24">
        <f>'[3]U_C calculation'!B22+[3]R_C_calcualtion!B23</f>
        <v>686857.63465210097</v>
      </c>
      <c r="C6" s="107">
        <f>'[3]U_C calculation'!C22+[3]R_C_calcualtion!C23</f>
        <v>209507.62548999875</v>
      </c>
      <c r="D6" s="107">
        <f>'[3]U_C calculation'!E22+[3]R_C_calcualtion!E23</f>
        <v>5941.8080891927857</v>
      </c>
      <c r="E6" s="108">
        <f>'[3]U_C calculation'!F22+[3]R_C_calcualtion!F23</f>
        <v>27536.379792802007</v>
      </c>
    </row>
    <row r="7" spans="1:5">
      <c r="A7" s="22">
        <v>2014</v>
      </c>
      <c r="B7" s="24">
        <f>'[3]U_C calculation'!B23+[3]R_C_calcualtion!B24</f>
        <v>461399.5</v>
      </c>
      <c r="C7" s="107">
        <f>'[3]U_C calculation'!C23+[3]R_C_calcualtion!C24</f>
        <v>141202.96028237464</v>
      </c>
      <c r="D7" s="107">
        <f>'[3]U_C calculation'!E23+[3]R_C_calcualtion!E24</f>
        <v>4092.189349561042</v>
      </c>
      <c r="E7" s="108">
        <f>'[3]U_C calculation'!F23+[3]R_C_calcualtion!F24</f>
        <v>18204.757278467205</v>
      </c>
    </row>
    <row r="8" spans="1:5">
      <c r="A8" s="22">
        <v>2015</v>
      </c>
      <c r="B8" s="24">
        <f>'[3]U_C calculation'!B24+[3]R_C_calcualtion!B25</f>
        <v>369401</v>
      </c>
      <c r="C8" s="107">
        <f>'[3]U_C calculation'!C24+[3]R_C_calcualtion!C25</f>
        <v>110505.28795227531</v>
      </c>
      <c r="D8" s="107">
        <f>'[3]U_C calculation'!E24+[3]R_C_calcualtion!E25</f>
        <v>2691.3082729126581</v>
      </c>
      <c r="E8" s="108">
        <f>'[3]U_C calculation'!F24+[3]R_C_calcualtion!F25</f>
        <v>15766.816325753331</v>
      </c>
    </row>
    <row r="9" spans="1:5">
      <c r="A9" s="22">
        <v>2016</v>
      </c>
      <c r="B9" s="24">
        <f>'[3]U_C calculation'!B25+[3]R_C_calcualtion!B26</f>
        <v>531766.5</v>
      </c>
      <c r="C9" s="107">
        <f>'[3]U_C calculation'!C25+[3]R_C_calcualtion!C26</f>
        <v>158479.39782243175</v>
      </c>
      <c r="D9" s="107">
        <f>'[3]U_C calculation'!E25+[3]R_C_calcualtion!E26</f>
        <v>3718.5346469211604</v>
      </c>
      <c r="E9" s="108">
        <f>'[3]U_C calculation'!F25+[3]R_C_calcualtion!F26</f>
        <v>22945.416392968051</v>
      </c>
    </row>
    <row r="10" spans="1:5">
      <c r="A10" s="22">
        <v>2017</v>
      </c>
      <c r="B10" s="24">
        <f>'[3]U_C calculation'!B26+[3]R_C_calcualtion!B27</f>
        <v>485082</v>
      </c>
      <c r="C10" s="107">
        <f>'[3]U_C calculation'!C26+[3]R_C_calcualtion!C27</f>
        <v>143662.66806075102</v>
      </c>
      <c r="D10" s="107">
        <f>'[3]U_C calculation'!E26+[3]R_C_calcualtion!E27</f>
        <v>3385.6052608572568</v>
      </c>
      <c r="E10" s="108">
        <f>'[3]U_C calculation'!F26+[3]R_C_calcualtion!F27</f>
        <v>20997.528743692128</v>
      </c>
    </row>
    <row r="11" spans="1:5">
      <c r="A11" s="22">
        <v>2018</v>
      </c>
      <c r="B11" s="24">
        <f>'[3]U_C calculation'!B27+[3]R_C_calcualtion!B28</f>
        <v>398943</v>
      </c>
      <c r="C11" s="107">
        <f>'[3]U_C calculation'!C27+[3]R_C_calcualtion!C28</f>
        <v>116087.48188121225</v>
      </c>
      <c r="D11" s="107">
        <f>'[3]U_C calculation'!E27+[3]R_C_calcualtion!E28</f>
        <v>2601.156630831912</v>
      </c>
      <c r="E11" s="108">
        <f>'[3]U_C calculation'!F27+[3]R_C_calcualtion!F28</f>
        <v>17715.595609121556</v>
      </c>
    </row>
    <row r="12" spans="1:5">
      <c r="A12" s="22">
        <v>2019</v>
      </c>
      <c r="B12" s="24">
        <f>'[3]U_C calculation'!B28+[3]R_C_calcualtion!B29</f>
        <v>325640</v>
      </c>
      <c r="C12" s="107">
        <f>'[3]U_C calculation'!C28+[3]R_C_calcualtion!C29</f>
        <v>94370.95607497693</v>
      </c>
      <c r="D12" s="107">
        <f>'[3]U_C calculation'!E28+[3]R_C_calcualtion!E29</f>
        <v>2007.8607543452708</v>
      </c>
      <c r="E12" s="108">
        <f>'[3]U_C calculation'!F28+[3]R_C_calcualtion!F29</f>
        <v>14648.892095785284</v>
      </c>
    </row>
    <row r="13" spans="1:5">
      <c r="A13" s="22">
        <v>2020</v>
      </c>
      <c r="B13" s="24">
        <f>'[3]U_C calculation'!B29+[3]R_C_calcualtion!B30</f>
        <v>322660</v>
      </c>
      <c r="C13" s="107">
        <f>'[3]U_C calculation'!C29+[3]R_C_calcualtion!C30</f>
        <v>94346.906809582433</v>
      </c>
      <c r="D13" s="107">
        <f>'[3]U_C calculation'!E29+[3]R_C_calcualtion!E30</f>
        <v>2145.4300252247449</v>
      </c>
      <c r="E13" s="108">
        <f>'[3]U_C calculation'!F29+[3]R_C_calcualtion!F30</f>
        <v>14257.902815537815</v>
      </c>
    </row>
    <row r="14" spans="1:5" ht="14.65" thickBot="1">
      <c r="A14" s="25">
        <v>2021</v>
      </c>
      <c r="B14" s="26">
        <f>'[3]U_C calculation'!B30+[3]R_C_calcualtion!B31</f>
        <v>552119.5</v>
      </c>
      <c r="C14" s="109">
        <f>'[3]U_C calculation'!C30+[3]R_C_calcualtion!C31</f>
        <v>162652.46687700113</v>
      </c>
      <c r="D14" s="109">
        <f>'[3]U_C calculation'!E30+[3]R_C_calcualtion!E31</f>
        <v>3766.4814769857812</v>
      </c>
      <c r="E14" s="110">
        <f>'[3]U_C calculation'!F30+[3]R_C_calcualtion!F31</f>
        <v>24158.830074746402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10</vt:i4>
      </vt:variant>
    </vt:vector>
  </HeadingPairs>
  <TitlesOfParts>
    <vt:vector size="10" baseType="lpstr">
      <vt:lpstr>File introduction</vt:lpstr>
      <vt:lpstr>1_Leiden raw data</vt:lpstr>
      <vt:lpstr>2_D_Surface area conversion</vt:lpstr>
      <vt:lpstr>3_D_material calculation</vt:lpstr>
      <vt:lpstr>4_C_R surface area calculation</vt:lpstr>
      <vt:lpstr>5_C_R material calcualtion</vt:lpstr>
      <vt:lpstr>6_C_U surface area calculation</vt:lpstr>
      <vt:lpstr>7_C_U material calculation</vt:lpstr>
      <vt:lpstr>8_C_total material_calculation</vt:lpstr>
      <vt:lpstr>9_MI</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Wenhui</dc:creator>
  <cp:lastModifiedBy>Wenhui</cp:lastModifiedBy>
  <dcterms:created xsi:type="dcterms:W3CDTF">2022-08-09T20:02:45Z</dcterms:created>
  <dcterms:modified xsi:type="dcterms:W3CDTF">2023-04-16T15:38:32Z</dcterms:modified>
</cp:coreProperties>
</file>