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User/Users/rozende/Dropbox/Rozen Lab/danny things/Yin paper 2/March 2017/updated data/"/>
    </mc:Choice>
  </mc:AlternateContent>
  <bookViews>
    <workbookView xWindow="12060" yWindow="500" windowWidth="34340" windowHeight="23680" tabRatio="760" activeTab="2"/>
  </bookViews>
  <sheets>
    <sheet name="Monoinoculation" sheetId="1" r:id="rId1"/>
    <sheet name="Competition in vivo" sheetId="2" r:id="rId2"/>
    <sheet name="Series competition in vivo" sheetId="3" r:id="rId3"/>
    <sheet name="Competition in vitro" sheetId="4" r:id="rId4"/>
    <sheet name="Survival of monoinoculation" sheetId="5" r:id="rId5"/>
    <sheet name="Survival of combinations" sheetId="6" r:id="rId6"/>
    <sheet name="Survival of series competition " sheetId="7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1" i="2" l="1"/>
  <c r="D119" i="2"/>
  <c r="E72" i="2"/>
  <c r="J32" i="3"/>
  <c r="P32" i="3"/>
  <c r="O32" i="3"/>
  <c r="N32" i="3"/>
  <c r="L32" i="3"/>
  <c r="K32" i="3"/>
  <c r="L24" i="3"/>
  <c r="K24" i="3"/>
  <c r="J24" i="3"/>
  <c r="N143" i="2"/>
  <c r="N142" i="2"/>
  <c r="M143" i="2"/>
  <c r="M142" i="2"/>
  <c r="N141" i="2"/>
  <c r="M141" i="2"/>
  <c r="N140" i="2"/>
  <c r="M140" i="2"/>
  <c r="N139" i="2"/>
  <c r="M139" i="2"/>
  <c r="D79" i="2"/>
  <c r="E78" i="2"/>
  <c r="F73" i="2"/>
  <c r="F63" i="2"/>
  <c r="E63" i="2"/>
  <c r="D110" i="2"/>
  <c r="G64" i="2"/>
  <c r="E64" i="2"/>
  <c r="D111" i="2"/>
  <c r="G67" i="2"/>
  <c r="E67" i="2"/>
  <c r="D114" i="2"/>
  <c r="D56" i="2"/>
  <c r="F56" i="2"/>
  <c r="D103" i="2"/>
  <c r="J103" i="2"/>
  <c r="I56" i="2"/>
  <c r="F103" i="2"/>
  <c r="J28" i="1"/>
  <c r="K28" i="1"/>
  <c r="D37" i="1"/>
  <c r="D38" i="1"/>
  <c r="D39" i="1"/>
  <c r="F39" i="1"/>
  <c r="E39" i="1"/>
  <c r="D34" i="1"/>
  <c r="D35" i="1"/>
  <c r="D36" i="1"/>
  <c r="F36" i="1"/>
  <c r="E36" i="1"/>
  <c r="D31" i="1"/>
  <c r="D32" i="1"/>
  <c r="D33" i="1"/>
  <c r="F33" i="1"/>
  <c r="E33" i="1"/>
  <c r="D28" i="1"/>
  <c r="D29" i="1"/>
  <c r="D30" i="1"/>
  <c r="F30" i="1"/>
  <c r="E30" i="1"/>
  <c r="K29" i="1"/>
  <c r="K30" i="1"/>
  <c r="J42" i="1"/>
  <c r="J29" i="1"/>
  <c r="J30" i="1"/>
  <c r="I42" i="1"/>
  <c r="D50" i="5"/>
  <c r="E50" i="5"/>
  <c r="F50" i="5"/>
  <c r="G50" i="5"/>
  <c r="C50" i="5"/>
  <c r="N9" i="3"/>
  <c r="J42" i="4"/>
  <c r="C42" i="4"/>
  <c r="D42" i="4"/>
  <c r="E42" i="4"/>
  <c r="L42" i="4"/>
  <c r="J43" i="4"/>
  <c r="C43" i="4"/>
  <c r="D43" i="4"/>
  <c r="E43" i="4"/>
  <c r="L43" i="4"/>
  <c r="J44" i="4"/>
  <c r="C44" i="4"/>
  <c r="D44" i="4"/>
  <c r="E44" i="4"/>
  <c r="L44" i="4"/>
  <c r="L46" i="4"/>
  <c r="M42" i="4"/>
  <c r="M43" i="4"/>
  <c r="M44" i="4"/>
  <c r="M46" i="4"/>
  <c r="L45" i="4"/>
  <c r="J34" i="4"/>
  <c r="C34" i="4"/>
  <c r="E34" i="4"/>
  <c r="L34" i="4"/>
  <c r="J35" i="4"/>
  <c r="C35" i="4"/>
  <c r="D35" i="4"/>
  <c r="E35" i="4"/>
  <c r="L35" i="4"/>
  <c r="J36" i="4"/>
  <c r="C36" i="4"/>
  <c r="D36" i="4"/>
  <c r="E36" i="4"/>
  <c r="L36" i="4"/>
  <c r="L37" i="4"/>
  <c r="L38" i="4"/>
  <c r="J26" i="4"/>
  <c r="C26" i="4"/>
  <c r="E26" i="4"/>
  <c r="L26" i="4"/>
  <c r="J27" i="4"/>
  <c r="C27" i="4"/>
  <c r="D27" i="4"/>
  <c r="E27" i="4"/>
  <c r="L27" i="4"/>
  <c r="J28" i="4"/>
  <c r="C28" i="4"/>
  <c r="D28" i="4"/>
  <c r="E28" i="4"/>
  <c r="L28" i="4"/>
  <c r="L29" i="4"/>
  <c r="L30" i="4"/>
  <c r="J19" i="4"/>
  <c r="C19" i="4"/>
  <c r="D19" i="4"/>
  <c r="E19" i="4"/>
  <c r="L19" i="4"/>
  <c r="J20" i="4"/>
  <c r="C20" i="4"/>
  <c r="D20" i="4"/>
  <c r="E20" i="4"/>
  <c r="L20" i="4"/>
  <c r="J21" i="4"/>
  <c r="C21" i="4"/>
  <c r="D21" i="4"/>
  <c r="E21" i="4"/>
  <c r="L21" i="4"/>
  <c r="L22" i="4"/>
  <c r="L23" i="4"/>
  <c r="J12" i="4"/>
  <c r="C12" i="4"/>
  <c r="D12" i="4"/>
  <c r="E12" i="4"/>
  <c r="L12" i="4"/>
  <c r="J13" i="4"/>
  <c r="C13" i="4"/>
  <c r="D13" i="4"/>
  <c r="E13" i="4"/>
  <c r="L13" i="4"/>
  <c r="J14" i="4"/>
  <c r="C14" i="4"/>
  <c r="D14" i="4"/>
  <c r="E14" i="4"/>
  <c r="L14" i="4"/>
  <c r="L15" i="4"/>
  <c r="L16" i="4"/>
  <c r="J6" i="4"/>
  <c r="C6" i="4"/>
  <c r="D6" i="4"/>
  <c r="E6" i="4"/>
  <c r="L6" i="4"/>
  <c r="J7" i="4"/>
  <c r="C7" i="4"/>
  <c r="D7" i="4"/>
  <c r="E7" i="4"/>
  <c r="L7" i="4"/>
  <c r="J5" i="4"/>
  <c r="C5" i="4"/>
  <c r="D5" i="4"/>
  <c r="E5" i="4"/>
  <c r="L5" i="4"/>
  <c r="L9" i="4"/>
  <c r="L8" i="4"/>
  <c r="M45" i="4"/>
  <c r="M34" i="4"/>
  <c r="M35" i="4"/>
  <c r="M36" i="4"/>
  <c r="M38" i="4"/>
  <c r="M37" i="4"/>
  <c r="M26" i="4"/>
  <c r="M27" i="4"/>
  <c r="M28" i="4"/>
  <c r="M30" i="4"/>
  <c r="M29" i="4"/>
  <c r="M19" i="4"/>
  <c r="M20" i="4"/>
  <c r="M21" i="4"/>
  <c r="M23" i="4"/>
  <c r="M22" i="4"/>
  <c r="M12" i="4"/>
  <c r="M13" i="4"/>
  <c r="M14" i="4"/>
  <c r="M16" i="4"/>
  <c r="M15" i="4"/>
  <c r="M5" i="4"/>
  <c r="M6" i="4"/>
  <c r="M7" i="4"/>
  <c r="M9" i="4"/>
  <c r="M8" i="4"/>
  <c r="E60" i="4"/>
  <c r="D60" i="4"/>
  <c r="C60" i="4"/>
  <c r="E59" i="4"/>
  <c r="D59" i="4"/>
  <c r="C59" i="4"/>
  <c r="E58" i="4"/>
  <c r="D58" i="4"/>
  <c r="C58" i="4"/>
  <c r="E52" i="4"/>
  <c r="D52" i="4"/>
  <c r="C52" i="4"/>
  <c r="E51" i="4"/>
  <c r="D51" i="4"/>
  <c r="C51" i="4"/>
  <c r="E50" i="4"/>
  <c r="D50" i="4"/>
  <c r="C50" i="4"/>
  <c r="N41" i="3"/>
  <c r="O41" i="3"/>
  <c r="P41" i="3"/>
  <c r="J41" i="3"/>
  <c r="K41" i="3"/>
  <c r="L41" i="3"/>
  <c r="N38" i="3"/>
  <c r="O38" i="3"/>
  <c r="P38" i="3"/>
  <c r="N39" i="3"/>
  <c r="O39" i="3"/>
  <c r="P39" i="3"/>
  <c r="N40" i="3"/>
  <c r="O40" i="3"/>
  <c r="P40" i="3"/>
  <c r="J38" i="3"/>
  <c r="K38" i="3"/>
  <c r="L38" i="3"/>
  <c r="J39" i="3"/>
  <c r="K39" i="3"/>
  <c r="L39" i="3"/>
  <c r="J40" i="3"/>
  <c r="K40" i="3"/>
  <c r="L40" i="3"/>
  <c r="J18" i="3"/>
  <c r="K18" i="3"/>
  <c r="L18" i="3"/>
  <c r="J19" i="3"/>
  <c r="K19" i="3"/>
  <c r="L19" i="3"/>
  <c r="J20" i="3"/>
  <c r="K20" i="3"/>
  <c r="L20" i="3"/>
  <c r="J21" i="3"/>
  <c r="K21" i="3"/>
  <c r="L21" i="3"/>
  <c r="J22" i="3"/>
  <c r="K22" i="3"/>
  <c r="L22" i="3"/>
  <c r="J25" i="3"/>
  <c r="K25" i="3"/>
  <c r="L25" i="3"/>
  <c r="J26" i="3"/>
  <c r="K26" i="3"/>
  <c r="L26" i="3"/>
  <c r="J27" i="3"/>
  <c r="K27" i="3"/>
  <c r="L27" i="3"/>
  <c r="K23" i="3"/>
  <c r="N26" i="3"/>
  <c r="P26" i="3"/>
  <c r="N27" i="3"/>
  <c r="P27" i="3"/>
  <c r="N24" i="3"/>
  <c r="N25" i="3"/>
  <c r="O25" i="3"/>
  <c r="P25" i="3"/>
  <c r="P24" i="3"/>
  <c r="N18" i="3"/>
  <c r="O18" i="3"/>
  <c r="P18" i="3"/>
  <c r="N19" i="3"/>
  <c r="O19" i="3"/>
  <c r="P19" i="3"/>
  <c r="N20" i="3"/>
  <c r="O20" i="3"/>
  <c r="P20" i="3"/>
  <c r="N21" i="3"/>
  <c r="O21" i="3"/>
  <c r="P21" i="3"/>
  <c r="N22" i="3"/>
  <c r="O22" i="3"/>
  <c r="P22" i="3"/>
  <c r="O23" i="3"/>
  <c r="N4" i="3"/>
  <c r="J17" i="3"/>
  <c r="N12" i="3"/>
  <c r="O12" i="3"/>
  <c r="P12" i="3"/>
  <c r="N13" i="3"/>
  <c r="O13" i="3"/>
  <c r="P13" i="3"/>
  <c r="N14" i="3"/>
  <c r="O14" i="3"/>
  <c r="P14" i="3"/>
  <c r="J12" i="3"/>
  <c r="K12" i="3"/>
  <c r="L12" i="3"/>
  <c r="J13" i="3"/>
  <c r="K13" i="3"/>
  <c r="L13" i="3"/>
  <c r="J14" i="3"/>
  <c r="K14" i="3"/>
  <c r="L14" i="3"/>
  <c r="N37" i="3"/>
  <c r="O37" i="3"/>
  <c r="P37" i="3"/>
  <c r="J37" i="3"/>
  <c r="K37" i="3"/>
  <c r="L37" i="3"/>
  <c r="N36" i="3"/>
  <c r="O36" i="3"/>
  <c r="P36" i="3"/>
  <c r="J36" i="3"/>
  <c r="K36" i="3"/>
  <c r="L36" i="3"/>
  <c r="N35" i="3"/>
  <c r="O35" i="3"/>
  <c r="P35" i="3"/>
  <c r="J35" i="3"/>
  <c r="K35" i="3"/>
  <c r="L35" i="3"/>
  <c r="N11" i="3"/>
  <c r="O11" i="3"/>
  <c r="P11" i="3"/>
  <c r="J11" i="3"/>
  <c r="K11" i="3"/>
  <c r="L11" i="3"/>
  <c r="N10" i="3"/>
  <c r="O10" i="3"/>
  <c r="P10" i="3"/>
  <c r="J10" i="3"/>
  <c r="K10" i="3"/>
  <c r="L10" i="3"/>
  <c r="J9" i="3"/>
  <c r="N8" i="3"/>
  <c r="O8" i="3"/>
  <c r="P8" i="3"/>
  <c r="J8" i="3"/>
  <c r="K8" i="3"/>
  <c r="L8" i="3"/>
  <c r="N7" i="3"/>
  <c r="O7" i="3"/>
  <c r="P7" i="3"/>
  <c r="J7" i="3"/>
  <c r="K7" i="3"/>
  <c r="L7" i="3"/>
  <c r="N33" i="3"/>
  <c r="O33" i="3"/>
  <c r="P33" i="3"/>
  <c r="N34" i="3"/>
  <c r="O34" i="3"/>
  <c r="P34" i="3"/>
  <c r="J34" i="3"/>
  <c r="K34" i="3"/>
  <c r="L34" i="3"/>
  <c r="J33" i="3"/>
  <c r="K33" i="3"/>
  <c r="L33" i="3"/>
  <c r="N17" i="3"/>
  <c r="O17" i="3"/>
  <c r="P17" i="3"/>
  <c r="K17" i="3"/>
  <c r="L17" i="3"/>
  <c r="N6" i="3"/>
  <c r="O6" i="3"/>
  <c r="P6" i="3"/>
  <c r="J6" i="3"/>
  <c r="K6" i="3"/>
  <c r="L6" i="3"/>
  <c r="N5" i="3"/>
  <c r="O5" i="3"/>
  <c r="P5" i="3"/>
  <c r="J5" i="3"/>
  <c r="K5" i="3"/>
  <c r="L5" i="3"/>
  <c r="O4" i="3"/>
  <c r="P4" i="3"/>
  <c r="J4" i="3"/>
  <c r="K4" i="3"/>
  <c r="L4" i="3"/>
  <c r="G59" i="3"/>
  <c r="G60" i="3"/>
  <c r="G61" i="3"/>
  <c r="G62" i="3"/>
  <c r="G63" i="3"/>
  <c r="G64" i="3"/>
  <c r="G65" i="3"/>
  <c r="G66" i="3"/>
  <c r="G67" i="3"/>
  <c r="G68" i="3"/>
  <c r="G70" i="3"/>
  <c r="G71" i="3"/>
  <c r="G72" i="3"/>
  <c r="G73" i="3"/>
  <c r="G74" i="3"/>
  <c r="G75" i="3"/>
  <c r="G76" i="3"/>
  <c r="G77" i="3"/>
  <c r="G78" i="3"/>
  <c r="G79" i="3"/>
  <c r="G81" i="3"/>
  <c r="G82" i="3"/>
  <c r="G83" i="3"/>
  <c r="G84" i="3"/>
  <c r="G85" i="3"/>
  <c r="G86" i="3"/>
  <c r="G87" i="3"/>
  <c r="G88" i="3"/>
  <c r="G89" i="3"/>
  <c r="G90" i="3"/>
  <c r="F57" i="2"/>
  <c r="E57" i="2"/>
  <c r="D104" i="2"/>
  <c r="J104" i="2"/>
  <c r="F58" i="2"/>
  <c r="E58" i="2"/>
  <c r="D105" i="2"/>
  <c r="J105" i="2"/>
  <c r="F60" i="2"/>
  <c r="D60" i="2"/>
  <c r="D107" i="2"/>
  <c r="J107" i="2"/>
  <c r="G61" i="2"/>
  <c r="D61" i="2"/>
  <c r="D108" i="2"/>
  <c r="J108" i="2"/>
  <c r="J139" i="2"/>
  <c r="G96" i="2"/>
  <c r="E96" i="2"/>
  <c r="D136" i="2"/>
  <c r="G95" i="2"/>
  <c r="D95" i="2"/>
  <c r="D135" i="2"/>
  <c r="G94" i="2"/>
  <c r="D94" i="2"/>
  <c r="D134" i="2"/>
  <c r="G93" i="2"/>
  <c r="E93" i="2"/>
  <c r="D133" i="2"/>
  <c r="G92" i="2"/>
  <c r="E92" i="2"/>
  <c r="D132" i="2"/>
  <c r="G91" i="2"/>
  <c r="D91" i="2"/>
  <c r="D131" i="2"/>
  <c r="G88" i="2"/>
  <c r="E88" i="2"/>
  <c r="D128" i="2"/>
  <c r="G89" i="2"/>
  <c r="D129" i="2"/>
  <c r="G87" i="2"/>
  <c r="E87" i="2"/>
  <c r="D127" i="2"/>
  <c r="F86" i="2"/>
  <c r="D86" i="2"/>
  <c r="D126" i="2"/>
  <c r="G85" i="2"/>
  <c r="D125" i="2"/>
  <c r="G84" i="2"/>
  <c r="E84" i="2"/>
  <c r="D124" i="2"/>
  <c r="G82" i="2"/>
  <c r="E82" i="2"/>
  <c r="D122" i="2"/>
  <c r="F81" i="2"/>
  <c r="E81" i="2"/>
  <c r="D121" i="2"/>
  <c r="F80" i="2"/>
  <c r="E80" i="2"/>
  <c r="D120" i="2"/>
  <c r="F79" i="2"/>
  <c r="E79" i="2"/>
  <c r="F78" i="2"/>
  <c r="D118" i="2"/>
  <c r="F77" i="2"/>
  <c r="D77" i="2"/>
  <c r="D117" i="2"/>
  <c r="H65" i="2"/>
  <c r="E65" i="2"/>
  <c r="F112" i="2"/>
  <c r="I64" i="2"/>
  <c r="F111" i="2"/>
  <c r="I63" i="2"/>
  <c r="F110" i="2"/>
  <c r="G68" i="2"/>
  <c r="E68" i="2"/>
  <c r="D115" i="2"/>
  <c r="G66" i="2"/>
  <c r="E66" i="2"/>
  <c r="D113" i="2"/>
  <c r="G65" i="2"/>
  <c r="D112" i="2"/>
  <c r="I58" i="2"/>
  <c r="F105" i="2"/>
  <c r="F59" i="2"/>
  <c r="D59" i="2"/>
  <c r="D106" i="2"/>
  <c r="I57" i="2"/>
  <c r="F104" i="2"/>
  <c r="G75" i="2"/>
  <c r="G74" i="2"/>
  <c r="G73" i="2"/>
  <c r="F75" i="2"/>
  <c r="F74" i="2"/>
  <c r="E75" i="2"/>
  <c r="E74" i="2"/>
  <c r="E73" i="2"/>
  <c r="I93" i="2"/>
  <c r="D93" i="2"/>
  <c r="I92" i="2"/>
  <c r="I91" i="2"/>
  <c r="G77" i="2"/>
  <c r="D70" i="2"/>
  <c r="G63" i="2"/>
  <c r="E56" i="2"/>
  <c r="D156" i="2"/>
  <c r="E156" i="2"/>
  <c r="D155" i="2"/>
  <c r="E155" i="2"/>
  <c r="D154" i="2"/>
  <c r="E154" i="2"/>
  <c r="D153" i="2"/>
  <c r="E153" i="2"/>
  <c r="D152" i="2"/>
  <c r="E152" i="2"/>
  <c r="D151" i="2"/>
  <c r="E151" i="2"/>
  <c r="J131" i="2"/>
  <c r="J132" i="2"/>
  <c r="J133" i="2"/>
  <c r="J134" i="2"/>
  <c r="J135" i="2"/>
  <c r="J136" i="2"/>
  <c r="K143" i="2"/>
  <c r="J143" i="2"/>
  <c r="J124" i="2"/>
  <c r="J125" i="2"/>
  <c r="J126" i="2"/>
  <c r="J127" i="2"/>
  <c r="J128" i="2"/>
  <c r="J129" i="2"/>
  <c r="K142" i="2"/>
  <c r="J142" i="2"/>
  <c r="J117" i="2"/>
  <c r="J118" i="2"/>
  <c r="J119" i="2"/>
  <c r="J120" i="2"/>
  <c r="J121" i="2"/>
  <c r="J122" i="2"/>
  <c r="K141" i="2"/>
  <c r="J141" i="2"/>
  <c r="J110" i="2"/>
  <c r="J111" i="2"/>
  <c r="J112" i="2"/>
  <c r="J113" i="2"/>
  <c r="J114" i="2"/>
  <c r="J115" i="2"/>
  <c r="K140" i="2"/>
  <c r="J140" i="2"/>
  <c r="K139" i="2"/>
  <c r="D137" i="2"/>
  <c r="D130" i="2"/>
  <c r="D123" i="2"/>
  <c r="D116" i="2"/>
  <c r="D109" i="2"/>
  <c r="K37" i="1"/>
  <c r="K38" i="1"/>
  <c r="K39" i="1"/>
  <c r="N45" i="1"/>
  <c r="J37" i="1"/>
  <c r="J38" i="1"/>
  <c r="J39" i="1"/>
  <c r="M45" i="1"/>
  <c r="K35" i="1"/>
  <c r="K34" i="1"/>
  <c r="K36" i="1"/>
  <c r="N44" i="1"/>
  <c r="J34" i="1"/>
  <c r="J35" i="1"/>
  <c r="J36" i="1"/>
  <c r="M44" i="1"/>
  <c r="K31" i="1"/>
  <c r="K32" i="1"/>
  <c r="K33" i="1"/>
  <c r="N43" i="1"/>
  <c r="J31" i="1"/>
  <c r="J32" i="1"/>
  <c r="J33" i="1"/>
  <c r="M43" i="1"/>
  <c r="N42" i="1"/>
  <c r="M42" i="1"/>
  <c r="J45" i="1"/>
  <c r="I45" i="1"/>
  <c r="J44" i="1"/>
  <c r="I44" i="1"/>
  <c r="J43" i="1"/>
  <c r="I43" i="1"/>
</calcChain>
</file>

<file path=xl/sharedStrings.xml><?xml version="1.0" encoding="utf-8"?>
<sst xmlns="http://schemas.openxmlformats.org/spreadsheetml/2006/main" count="801" uniqueCount="136">
  <si>
    <t>OD600</t>
  </si>
  <si>
    <t>Density after washing</t>
  </si>
  <si>
    <t>10^4</t>
  </si>
  <si>
    <t>Terminal value(cells/ul)</t>
  </si>
  <si>
    <t xml:space="preserve">Providencia </t>
  </si>
  <si>
    <t>Morganllena</t>
  </si>
  <si>
    <t>Serratia</t>
  </si>
  <si>
    <t>E.coli</t>
  </si>
  <si>
    <t>After Dilution</t>
  </si>
  <si>
    <t>After Washing</t>
  </si>
  <si>
    <t>Before inoculation (Strains Dilution and Wash)</t>
  </si>
  <si>
    <t>Before dilution</t>
  </si>
  <si>
    <t>Dilution Test General</t>
  </si>
  <si>
    <t>10^4 (CFU)</t>
  </si>
  <si>
    <t>t=6</t>
  </si>
  <si>
    <t>t=24</t>
  </si>
  <si>
    <t>LOG TRANSFORM</t>
  </si>
  <si>
    <t>Providencia</t>
  </si>
  <si>
    <t>Morganella</t>
  </si>
  <si>
    <t>Mean</t>
  </si>
  <si>
    <t>SE</t>
  </si>
  <si>
    <t>Bacteria CFU</t>
  </si>
  <si>
    <t>t=6h</t>
  </si>
  <si>
    <t>t=24h</t>
  </si>
  <si>
    <t>10^6</t>
  </si>
  <si>
    <t>-</t>
  </si>
  <si>
    <t>Bacteria density</t>
  </si>
  <si>
    <t>Family</t>
  </si>
  <si>
    <t>Groups</t>
  </si>
  <si>
    <t>Replicates</t>
  </si>
  <si>
    <t>E</t>
  </si>
  <si>
    <t>F</t>
  </si>
  <si>
    <t>G</t>
  </si>
  <si>
    <t>D</t>
  </si>
  <si>
    <t>O</t>
  </si>
  <si>
    <t>P</t>
  </si>
  <si>
    <t>N</t>
  </si>
  <si>
    <t>M</t>
  </si>
  <si>
    <t>L</t>
  </si>
  <si>
    <t>I</t>
  </si>
  <si>
    <t>Q</t>
  </si>
  <si>
    <t>H</t>
  </si>
  <si>
    <t>R</t>
  </si>
  <si>
    <t>MEAN</t>
  </si>
  <si>
    <t>PS</t>
  </si>
  <si>
    <t>MS</t>
  </si>
  <si>
    <t>PE</t>
  </si>
  <si>
    <t>ME</t>
  </si>
  <si>
    <t>PM</t>
  </si>
  <si>
    <t>Log</t>
  </si>
  <si>
    <t>t=48h</t>
  </si>
  <si>
    <t>A</t>
  </si>
  <si>
    <t>B</t>
  </si>
  <si>
    <t>C</t>
  </si>
  <si>
    <t>Bacterial CFU</t>
  </si>
  <si>
    <t>t=72h</t>
  </si>
  <si>
    <t>10^2</t>
  </si>
  <si>
    <t>PvsS</t>
  </si>
  <si>
    <t>S</t>
  </si>
  <si>
    <t>MvsS</t>
  </si>
  <si>
    <t>EvsS</t>
  </si>
  <si>
    <t>PvsE</t>
  </si>
  <si>
    <t>MvsE</t>
  </si>
  <si>
    <t>PvsM</t>
  </si>
  <si>
    <t>J</t>
  </si>
  <si>
    <t>Symbiont CFU/Competitor CFU</t>
  </si>
  <si>
    <t xml:space="preserve">Mortality fractions </t>
  </si>
  <si>
    <t>treats</t>
  </si>
  <si>
    <t>0h</t>
  </si>
  <si>
    <t>24h</t>
  </si>
  <si>
    <t>Dead</t>
  </si>
  <si>
    <t>%</t>
  </si>
  <si>
    <t>ES</t>
  </si>
  <si>
    <t>NA</t>
  </si>
  <si>
    <t>Final CI</t>
  </si>
  <si>
    <t>mean</t>
  </si>
  <si>
    <t>Relative to S</t>
  </si>
  <si>
    <t>Relative to P</t>
  </si>
  <si>
    <t>CI</t>
  </si>
  <si>
    <t>log(CI)</t>
  </si>
  <si>
    <t>P/S</t>
  </si>
  <si>
    <t>S/P</t>
  </si>
  <si>
    <t>SP</t>
  </si>
  <si>
    <t>t=12h</t>
  </si>
  <si>
    <t>Treats</t>
  </si>
  <si>
    <t>Rep.</t>
  </si>
  <si>
    <t>output</t>
  </si>
  <si>
    <t>input</t>
  </si>
  <si>
    <t>P/P</t>
  </si>
  <si>
    <t>S/S</t>
  </si>
  <si>
    <t>t=6H</t>
  </si>
  <si>
    <t>t=24H</t>
  </si>
  <si>
    <t>T=0</t>
  </si>
  <si>
    <t>T=24</t>
  </si>
  <si>
    <t>M/S</t>
  </si>
  <si>
    <t>E/S</t>
  </si>
  <si>
    <t>P/E</t>
  </si>
  <si>
    <t>M/E</t>
  </si>
  <si>
    <t>P/M</t>
  </si>
  <si>
    <t>P/M/S</t>
  </si>
  <si>
    <t>P/M/E</t>
  </si>
  <si>
    <t>Strain 1</t>
  </si>
  <si>
    <t>Strain 2</t>
  </si>
  <si>
    <t>CI (Relatitve to strain 1)</t>
  </si>
  <si>
    <t>Bacterial density</t>
  </si>
  <si>
    <t>Strains</t>
  </si>
  <si>
    <t>t=0</t>
  </si>
  <si>
    <t>t=48</t>
  </si>
  <si>
    <t>t=72</t>
  </si>
  <si>
    <t>t=96</t>
  </si>
  <si>
    <t>PBS</t>
  </si>
  <si>
    <t>Hours</t>
  </si>
  <si>
    <t>Summarized for plot</t>
  </si>
  <si>
    <t>6h</t>
  </si>
  <si>
    <t>48h</t>
  </si>
  <si>
    <t>72h</t>
  </si>
  <si>
    <t>96h</t>
  </si>
  <si>
    <t>P+S</t>
  </si>
  <si>
    <t>M+S</t>
  </si>
  <si>
    <t>M+E</t>
  </si>
  <si>
    <t>P+E</t>
  </si>
  <si>
    <t>P+M</t>
  </si>
  <si>
    <t>P+M+S</t>
  </si>
  <si>
    <t>P+M+E</t>
  </si>
  <si>
    <t>PMS</t>
  </si>
  <si>
    <t>Larvae Number (Sum)</t>
  </si>
  <si>
    <t>Sum Data</t>
  </si>
  <si>
    <t>(1:"DEAD"; 0:"CENSORED")</t>
  </si>
  <si>
    <t>Log CI</t>
  </si>
  <si>
    <t>log increase</t>
  </si>
  <si>
    <t>Suspective value excluded LOG</t>
  </si>
  <si>
    <t>All</t>
  </si>
  <si>
    <t>Suspective data excluded</t>
  </si>
  <si>
    <t>P_S</t>
  </si>
  <si>
    <t>S_P</t>
  </si>
  <si>
    <t>Psmix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</si>
</sst>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E+00"/>
    <numFmt numFmtId="165" formatCode="0.0000E+00"/>
  </numFmts>
  <fonts count="1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b/>
      <sz val="12"/>
      <color rgb="FF000000"/>
      <name val="Calibri"/>
      <scheme val="minor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i/>
      <sz val="12"/>
      <name val="Calibri"/>
    </font>
    <font>
      <i/>
      <sz val="12"/>
      <color theme="1"/>
      <name val="Calibri"/>
    </font>
    <font>
      <b/>
      <sz val="12"/>
      <color theme="1"/>
      <name val="Calibri"/>
    </font>
    <font>
      <sz val="12"/>
      <name val="Arial"/>
    </font>
    <font>
      <sz val="12"/>
      <color theme="1"/>
      <name val="Arial"/>
    </font>
    <font>
      <b/>
      <sz val="12"/>
      <name val="Arial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Font="1"/>
    <xf numFmtId="0" fontId="0" fillId="0" borderId="0" xfId="0" applyFont="1" applyAlignment="1"/>
    <xf numFmtId="164" fontId="0" fillId="0" borderId="0" xfId="0" applyNumberFormat="1" applyFont="1"/>
    <xf numFmtId="11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0" fillId="0" borderId="0" xfId="0" applyFill="1"/>
    <xf numFmtId="0" fontId="0" fillId="0" borderId="1" xfId="0" applyBorder="1"/>
    <xf numFmtId="0" fontId="4" fillId="0" borderId="1" xfId="0" applyFont="1" applyBorder="1"/>
    <xf numFmtId="0" fontId="4" fillId="0" borderId="1" xfId="0" applyFont="1" applyFill="1" applyBorder="1"/>
    <xf numFmtId="0" fontId="5" fillId="0" borderId="1" xfId="0" applyFont="1" applyFill="1" applyBorder="1"/>
    <xf numFmtId="0" fontId="0" fillId="0" borderId="0" xfId="0" applyBorder="1"/>
    <xf numFmtId="0" fontId="4" fillId="0" borderId="0" xfId="0" applyFont="1" applyBorder="1"/>
    <xf numFmtId="0" fontId="4" fillId="0" borderId="2" xfId="0" applyFont="1" applyBorder="1"/>
    <xf numFmtId="0" fontId="4" fillId="0" borderId="0" xfId="0" applyFont="1" applyFill="1" applyBorder="1"/>
    <xf numFmtId="0" fontId="4" fillId="0" borderId="2" xfId="0" applyFont="1" applyFill="1" applyBorder="1"/>
    <xf numFmtId="0" fontId="0" fillId="0" borderId="2" xfId="0" applyBorder="1"/>
    <xf numFmtId="0" fontId="5" fillId="0" borderId="0" xfId="0" applyFont="1" applyFill="1" applyBorder="1"/>
    <xf numFmtId="0" fontId="0" fillId="0" borderId="0" xfId="0" applyFill="1" applyBorder="1"/>
    <xf numFmtId="0" fontId="6" fillId="0" borderId="0" xfId="0" applyFont="1"/>
    <xf numFmtId="165" fontId="0" fillId="0" borderId="0" xfId="0" applyNumberFormat="1"/>
    <xf numFmtId="0" fontId="8" fillId="0" borderId="0" xfId="0" applyFont="1" applyFill="1"/>
    <xf numFmtId="11" fontId="9" fillId="0" borderId="0" xfId="0" applyNumberFormat="1" applyFont="1" applyFill="1"/>
    <xf numFmtId="0" fontId="7" fillId="0" borderId="0" xfId="0" applyFont="1" applyFill="1"/>
    <xf numFmtId="0" fontId="10" fillId="0" borderId="0" xfId="0" applyFont="1" applyFill="1"/>
    <xf numFmtId="0" fontId="11" fillId="0" borderId="0" xfId="0" applyFont="1" applyFill="1"/>
    <xf numFmtId="11" fontId="8" fillId="0" borderId="0" xfId="0" applyNumberFormat="1" applyFont="1" applyFill="1"/>
    <xf numFmtId="11" fontId="8" fillId="0" borderId="0" xfId="0" applyNumberFormat="1" applyFont="1" applyFill="1" applyAlignment="1">
      <alignment horizontal="right"/>
    </xf>
    <xf numFmtId="0" fontId="12" fillId="0" borderId="0" xfId="0" applyFont="1" applyFill="1"/>
    <xf numFmtId="11" fontId="0" fillId="0" borderId="0" xfId="0" applyNumberForma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4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2" borderId="0" xfId="0" applyFill="1"/>
    <xf numFmtId="0" fontId="0" fillId="6" borderId="0" xfId="0" applyFill="1"/>
    <xf numFmtId="0" fontId="15" fillId="0" borderId="0" xfId="0" applyFont="1" applyFill="1"/>
    <xf numFmtId="0" fontId="4" fillId="7" borderId="0" xfId="0" applyFont="1" applyFill="1" applyBorder="1"/>
    <xf numFmtId="0" fontId="4" fillId="7" borderId="2" xfId="0" applyFont="1" applyFill="1" applyBorder="1"/>
    <xf numFmtId="0" fontId="0" fillId="7" borderId="2" xfId="0" applyFill="1" applyBorder="1"/>
    <xf numFmtId="11" fontId="8" fillId="7" borderId="0" xfId="0" applyNumberFormat="1" applyFont="1" applyFill="1"/>
    <xf numFmtId="0" fontId="0" fillId="7" borderId="0" xfId="0" applyFill="1"/>
    <xf numFmtId="165" fontId="0" fillId="0" borderId="0" xfId="0" applyNumberFormat="1" applyFill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0" xfId="0" applyFont="1" applyFill="1" applyAlignment="1">
      <alignment horizontal="center"/>
    </xf>
  </cellXfs>
  <cellStyles count="2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D28" sqref="D28:D39"/>
    </sheetView>
  </sheetViews>
  <sheetFormatPr baseColWidth="10" defaultColWidth="11" defaultRowHeight="16" x14ac:dyDescent="0.2"/>
  <cols>
    <col min="1" max="1" width="21.33203125" customWidth="1"/>
    <col min="2" max="2" width="15.33203125" customWidth="1"/>
    <col min="3" max="4" width="14" customWidth="1"/>
    <col min="5" max="5" width="10.6640625" customWidth="1"/>
    <col min="6" max="6" width="13" bestFit="1" customWidth="1"/>
  </cols>
  <sheetData>
    <row r="1" spans="1:6" x14ac:dyDescent="0.2">
      <c r="A1" s="1" t="s">
        <v>10</v>
      </c>
      <c r="B1" s="1"/>
      <c r="C1" s="1"/>
      <c r="D1" s="1"/>
      <c r="E1" s="1"/>
      <c r="F1" s="1"/>
    </row>
    <row r="2" spans="1:6" x14ac:dyDescent="0.2">
      <c r="A2" s="1" t="s">
        <v>12</v>
      </c>
      <c r="B2" s="49" t="s">
        <v>0</v>
      </c>
      <c r="C2" s="49"/>
      <c r="D2" s="49"/>
      <c r="E2" s="2" t="s">
        <v>1</v>
      </c>
      <c r="F2" s="2"/>
    </row>
    <row r="3" spans="1:6" x14ac:dyDescent="0.2">
      <c r="A3" s="1"/>
      <c r="B3" s="1" t="s">
        <v>11</v>
      </c>
      <c r="C3" s="1" t="s">
        <v>8</v>
      </c>
      <c r="D3" s="1" t="s">
        <v>9</v>
      </c>
      <c r="E3" s="1" t="s">
        <v>13</v>
      </c>
      <c r="F3" s="1" t="s">
        <v>3</v>
      </c>
    </row>
    <row r="4" spans="1:6" x14ac:dyDescent="0.2">
      <c r="A4" s="1" t="s">
        <v>4</v>
      </c>
      <c r="B4" s="1">
        <v>2.93</v>
      </c>
      <c r="C4" s="1">
        <v>0.35599999999999998</v>
      </c>
      <c r="D4" s="1">
        <v>0.46100000000000002</v>
      </c>
      <c r="E4" s="1">
        <v>2748</v>
      </c>
      <c r="F4" s="3">
        <v>274800</v>
      </c>
    </row>
    <row r="5" spans="1:6" x14ac:dyDescent="0.2">
      <c r="A5" s="1" t="s">
        <v>5</v>
      </c>
      <c r="B5" s="1">
        <v>2.8090000000000002</v>
      </c>
      <c r="C5" s="1">
        <v>0.314</v>
      </c>
      <c r="D5" s="1">
        <v>0.28199999999999997</v>
      </c>
      <c r="E5" s="1">
        <v>4724</v>
      </c>
      <c r="F5" s="3">
        <v>472400</v>
      </c>
    </row>
    <row r="6" spans="1:6" x14ac:dyDescent="0.2">
      <c r="A6" s="1" t="s">
        <v>6</v>
      </c>
      <c r="B6" s="1">
        <v>3.2839999999999998</v>
      </c>
      <c r="C6" s="1">
        <v>0.39400000000000002</v>
      </c>
      <c r="D6" s="1">
        <v>0.40699999999999997</v>
      </c>
      <c r="E6" s="1">
        <v>4224</v>
      </c>
      <c r="F6" s="3">
        <v>422400</v>
      </c>
    </row>
    <row r="7" spans="1:6" x14ac:dyDescent="0.2">
      <c r="A7" s="1" t="s">
        <v>7</v>
      </c>
      <c r="B7" s="1">
        <v>2.5419999999999998</v>
      </c>
      <c r="C7" s="1">
        <v>0.33200000000000002</v>
      </c>
      <c r="D7" s="1">
        <v>0.50700000000000001</v>
      </c>
      <c r="E7" s="1">
        <v>3768</v>
      </c>
      <c r="F7" s="3">
        <v>376800</v>
      </c>
    </row>
    <row r="10" spans="1:6" x14ac:dyDescent="0.2">
      <c r="A10" t="s">
        <v>21</v>
      </c>
      <c r="B10" t="s">
        <v>22</v>
      </c>
      <c r="C10" t="s">
        <v>23</v>
      </c>
    </row>
    <row r="11" spans="1:6" x14ac:dyDescent="0.2">
      <c r="B11" s="4" t="s">
        <v>2</v>
      </c>
      <c r="C11" s="4" t="s">
        <v>2</v>
      </c>
      <c r="D11" s="4" t="s">
        <v>24</v>
      </c>
    </row>
    <row r="12" spans="1:6" x14ac:dyDescent="0.2">
      <c r="A12" t="s">
        <v>7</v>
      </c>
      <c r="B12">
        <v>156</v>
      </c>
      <c r="C12" t="s">
        <v>25</v>
      </c>
      <c r="D12">
        <v>12</v>
      </c>
    </row>
    <row r="13" spans="1:6" x14ac:dyDescent="0.2">
      <c r="B13">
        <v>27</v>
      </c>
      <c r="C13">
        <v>121</v>
      </c>
      <c r="D13">
        <v>2</v>
      </c>
    </row>
    <row r="14" spans="1:6" x14ac:dyDescent="0.2">
      <c r="B14">
        <v>212</v>
      </c>
      <c r="C14">
        <v>401</v>
      </c>
    </row>
    <row r="15" spans="1:6" x14ac:dyDescent="0.2">
      <c r="A15" t="s">
        <v>17</v>
      </c>
      <c r="B15">
        <v>99</v>
      </c>
      <c r="D15">
        <v>792</v>
      </c>
    </row>
    <row r="16" spans="1:6" x14ac:dyDescent="0.2">
      <c r="B16">
        <v>95</v>
      </c>
      <c r="D16">
        <v>687</v>
      </c>
    </row>
    <row r="17" spans="1:11" x14ac:dyDescent="0.2">
      <c r="B17">
        <v>72</v>
      </c>
      <c r="D17">
        <v>687</v>
      </c>
    </row>
    <row r="18" spans="1:11" x14ac:dyDescent="0.2">
      <c r="A18" t="s">
        <v>18</v>
      </c>
      <c r="B18">
        <v>73</v>
      </c>
      <c r="D18">
        <v>404</v>
      </c>
    </row>
    <row r="19" spans="1:11" x14ac:dyDescent="0.2">
      <c r="B19">
        <v>35</v>
      </c>
      <c r="D19">
        <v>487</v>
      </c>
    </row>
    <row r="20" spans="1:11" x14ac:dyDescent="0.2">
      <c r="B20">
        <v>30</v>
      </c>
      <c r="D20">
        <v>166</v>
      </c>
    </row>
    <row r="21" spans="1:11" x14ac:dyDescent="0.2">
      <c r="A21" t="s">
        <v>6</v>
      </c>
      <c r="B21">
        <v>66</v>
      </c>
      <c r="D21">
        <v>163</v>
      </c>
    </row>
    <row r="22" spans="1:11" x14ac:dyDescent="0.2">
      <c r="B22">
        <v>728</v>
      </c>
      <c r="D22">
        <v>322</v>
      </c>
    </row>
    <row r="23" spans="1:11" x14ac:dyDescent="0.2">
      <c r="B23">
        <v>60</v>
      </c>
      <c r="D23">
        <v>130</v>
      </c>
    </row>
    <row r="27" spans="1:11" x14ac:dyDescent="0.2">
      <c r="A27" t="s">
        <v>26</v>
      </c>
      <c r="B27" t="s">
        <v>22</v>
      </c>
      <c r="C27" t="s">
        <v>23</v>
      </c>
      <c r="D27" t="s">
        <v>129</v>
      </c>
      <c r="H27" t="s">
        <v>16</v>
      </c>
      <c r="J27" t="s">
        <v>14</v>
      </c>
      <c r="K27" t="s">
        <v>15</v>
      </c>
    </row>
    <row r="28" spans="1:11" x14ac:dyDescent="0.2">
      <c r="A28" t="s">
        <v>7</v>
      </c>
      <c r="B28" s="4">
        <v>15600</v>
      </c>
      <c r="C28" s="4">
        <v>120000</v>
      </c>
      <c r="D28">
        <f>LOG10(C28/B28)</f>
        <v>0.88605664769316328</v>
      </c>
      <c r="I28" t="s">
        <v>7</v>
      </c>
      <c r="J28">
        <f t="shared" ref="J28:J39" si="0">LOG10(B28)</f>
        <v>4.1931245983544612</v>
      </c>
      <c r="K28">
        <f t="shared" ref="K28:K39" si="1">LOG10(C28)</f>
        <v>5.0791812460476251</v>
      </c>
    </row>
    <row r="29" spans="1:11" x14ac:dyDescent="0.2">
      <c r="B29" s="4">
        <v>2700</v>
      </c>
      <c r="C29" s="4">
        <v>12100</v>
      </c>
      <c r="D29">
        <f t="shared" ref="D29:D39" si="2">LOG10(C29/B29)</f>
        <v>0.65142160615746281</v>
      </c>
      <c r="J29">
        <f t="shared" si="0"/>
        <v>3.4313637641589874</v>
      </c>
      <c r="K29">
        <f t="shared" si="1"/>
        <v>4.0827853703164498</v>
      </c>
    </row>
    <row r="30" spans="1:11" x14ac:dyDescent="0.2">
      <c r="B30" s="4">
        <v>21200</v>
      </c>
      <c r="C30" s="4">
        <v>40100</v>
      </c>
      <c r="D30">
        <f t="shared" si="2"/>
        <v>0.27680851169143089</v>
      </c>
      <c r="E30">
        <f>AVERAGE(D28:D30)</f>
        <v>0.6047622551806856</v>
      </c>
      <c r="F30">
        <f>STDEV(D28:D30)/SQRT(3)</f>
        <v>0.17741537332916121</v>
      </c>
      <c r="J30">
        <f t="shared" si="0"/>
        <v>4.3263358609287517</v>
      </c>
      <c r="K30">
        <f t="shared" si="1"/>
        <v>4.6031443726201822</v>
      </c>
    </row>
    <row r="31" spans="1:11" x14ac:dyDescent="0.2">
      <c r="A31" t="s">
        <v>17</v>
      </c>
      <c r="B31" s="4">
        <v>9900</v>
      </c>
      <c r="C31" s="4">
        <v>7920000</v>
      </c>
      <c r="D31">
        <f t="shared" si="2"/>
        <v>2.9030899869919438</v>
      </c>
      <c r="I31" t="s">
        <v>17</v>
      </c>
      <c r="J31">
        <f t="shared" si="0"/>
        <v>3.9956351945975501</v>
      </c>
      <c r="K31">
        <f t="shared" si="1"/>
        <v>6.8987251815894934</v>
      </c>
    </row>
    <row r="32" spans="1:11" x14ac:dyDescent="0.2">
      <c r="B32" s="4">
        <v>9500</v>
      </c>
      <c r="C32" s="4">
        <v>6870000</v>
      </c>
      <c r="D32">
        <f t="shared" si="2"/>
        <v>2.8592331317707025</v>
      </c>
      <c r="J32">
        <f t="shared" si="0"/>
        <v>3.9777236052888476</v>
      </c>
      <c r="K32">
        <f t="shared" si="1"/>
        <v>6.8369567370595501</v>
      </c>
    </row>
    <row r="33" spans="1:14" x14ac:dyDescent="0.2">
      <c r="B33" s="4">
        <v>7200</v>
      </c>
      <c r="C33" s="4">
        <v>6870000</v>
      </c>
      <c r="D33">
        <f t="shared" si="2"/>
        <v>2.979624240628282</v>
      </c>
      <c r="E33">
        <f>AVERAGE(D31:D33)</f>
        <v>2.9139824531303091</v>
      </c>
      <c r="F33">
        <f>STDEV(D31:D33)/SQRT(3)</f>
        <v>3.5178066731610731E-2</v>
      </c>
      <c r="J33">
        <f t="shared" si="0"/>
        <v>3.8573324964312685</v>
      </c>
      <c r="K33">
        <f t="shared" si="1"/>
        <v>6.8369567370595501</v>
      </c>
    </row>
    <row r="34" spans="1:14" x14ac:dyDescent="0.2">
      <c r="A34" t="s">
        <v>18</v>
      </c>
      <c r="B34" s="4">
        <v>7300</v>
      </c>
      <c r="C34" s="4">
        <v>4040000</v>
      </c>
      <c r="D34">
        <f t="shared" si="2"/>
        <v>2.7430585049901492</v>
      </c>
      <c r="I34" t="s">
        <v>18</v>
      </c>
      <c r="J34">
        <f t="shared" si="0"/>
        <v>3.8633228601204559</v>
      </c>
      <c r="K34">
        <f t="shared" si="1"/>
        <v>6.6063813651106047</v>
      </c>
    </row>
    <row r="35" spans="1:14" x14ac:dyDescent="0.2">
      <c r="B35" s="4">
        <v>3500</v>
      </c>
      <c r="C35" s="4">
        <v>4870000</v>
      </c>
      <c r="D35">
        <f t="shared" si="2"/>
        <v>3.1434609168643588</v>
      </c>
      <c r="J35">
        <f t="shared" si="0"/>
        <v>3.5440680443502757</v>
      </c>
      <c r="K35">
        <f t="shared" si="1"/>
        <v>6.6875289612146345</v>
      </c>
    </row>
    <row r="36" spans="1:14" x14ac:dyDescent="0.2">
      <c r="B36" s="4">
        <v>3000</v>
      </c>
      <c r="C36" s="4">
        <v>1660000</v>
      </c>
      <c r="D36">
        <f t="shared" si="2"/>
        <v>2.7429868333203928</v>
      </c>
      <c r="E36">
        <f>AVERAGE(D34:D36)</f>
        <v>2.8765020850583003</v>
      </c>
      <c r="F36">
        <f>STDEV(D34:D36)/SQRT(3)</f>
        <v>0.13347941750653125</v>
      </c>
      <c r="J36">
        <f t="shared" si="0"/>
        <v>3.4771212547196626</v>
      </c>
      <c r="K36">
        <f t="shared" si="1"/>
        <v>6.220108088040055</v>
      </c>
    </row>
    <row r="37" spans="1:14" x14ac:dyDescent="0.2">
      <c r="A37" t="s">
        <v>6</v>
      </c>
      <c r="B37" s="4">
        <v>6600</v>
      </c>
      <c r="C37" s="4">
        <v>1630000</v>
      </c>
      <c r="D37">
        <f t="shared" si="2"/>
        <v>2.3926436688620893</v>
      </c>
      <c r="I37" t="s">
        <v>6</v>
      </c>
      <c r="J37">
        <f t="shared" si="0"/>
        <v>3.8195439355418688</v>
      </c>
      <c r="K37">
        <f t="shared" si="1"/>
        <v>6.2121876044039581</v>
      </c>
    </row>
    <row r="38" spans="1:14" x14ac:dyDescent="0.2">
      <c r="B38" s="4">
        <v>72800</v>
      </c>
      <c r="C38" s="4">
        <v>3220000</v>
      </c>
      <c r="D38">
        <f t="shared" si="2"/>
        <v>1.6457244923827938</v>
      </c>
      <c r="J38">
        <f t="shared" si="0"/>
        <v>4.8621313793130376</v>
      </c>
      <c r="K38">
        <f t="shared" si="1"/>
        <v>6.5078558716958312</v>
      </c>
    </row>
    <row r="39" spans="1:14" x14ac:dyDescent="0.2">
      <c r="B39" s="4">
        <v>6000</v>
      </c>
      <c r="C39" s="4">
        <v>1300000</v>
      </c>
      <c r="D39">
        <f t="shared" si="2"/>
        <v>2.3357921019231931</v>
      </c>
      <c r="E39">
        <f>AVERAGE(D37:D39)</f>
        <v>2.1247200877226922</v>
      </c>
      <c r="F39">
        <f>STDEV(D37:D39)/SQRT(3)</f>
        <v>0.24005944432724649</v>
      </c>
      <c r="J39">
        <f t="shared" si="0"/>
        <v>3.7781512503836434</v>
      </c>
      <c r="K39">
        <f t="shared" si="1"/>
        <v>6.1139433523068369</v>
      </c>
    </row>
    <row r="41" spans="1:14" x14ac:dyDescent="0.2">
      <c r="H41" t="s">
        <v>19</v>
      </c>
      <c r="I41" t="s">
        <v>14</v>
      </c>
      <c r="J41" t="s">
        <v>15</v>
      </c>
      <c r="L41" t="s">
        <v>20</v>
      </c>
      <c r="M41" t="s">
        <v>14</v>
      </c>
      <c r="N41" t="s">
        <v>15</v>
      </c>
    </row>
    <row r="42" spans="1:14" x14ac:dyDescent="0.2">
      <c r="H42" t="s">
        <v>7</v>
      </c>
      <c r="I42">
        <f>AVERAGE(J28:J30)</f>
        <v>3.9836080744807334</v>
      </c>
      <c r="J42">
        <f>AVERAGE(K28:K30)</f>
        <v>4.5883703296614193</v>
      </c>
      <c r="L42" t="s">
        <v>7</v>
      </c>
      <c r="M42">
        <f>STDEV(J28:J30)/SQRT(3)</f>
        <v>0.27878704168308283</v>
      </c>
      <c r="N42">
        <f>STDEV(K28:K30)/SQRT(3)</f>
        <v>0.2877295544734873</v>
      </c>
    </row>
    <row r="43" spans="1:14" x14ac:dyDescent="0.2">
      <c r="H43" t="s">
        <v>17</v>
      </c>
      <c r="I43">
        <f>AVERAGE(J31:J33)</f>
        <v>3.9435637654392224</v>
      </c>
      <c r="J43">
        <f>AVERAGE(K31:K33)</f>
        <v>6.8575462185695315</v>
      </c>
      <c r="L43" t="s">
        <v>17</v>
      </c>
      <c r="M43">
        <f>STDEV(J31:J33)/SQRT(3)</f>
        <v>4.3424570901477916E-2</v>
      </c>
      <c r="N43">
        <f>STDEV(K31:K33)/SQRT(3)</f>
        <v>2.0589481509981116E-2</v>
      </c>
    </row>
    <row r="44" spans="1:14" x14ac:dyDescent="0.2">
      <c r="H44" t="s">
        <v>18</v>
      </c>
      <c r="I44">
        <f>AVERAGE(J34:J36)</f>
        <v>3.6281707197301309</v>
      </c>
      <c r="J44">
        <f>AVERAGE(K34:K36)</f>
        <v>6.5046728047884317</v>
      </c>
      <c r="L44" t="s">
        <v>18</v>
      </c>
      <c r="M44">
        <f>STDEV(J34:J36)/SQRT(3)</f>
        <v>0.11915377320655099</v>
      </c>
      <c r="N44">
        <f>STDEV(K34:K36)/SQRT(3)</f>
        <v>0.14419782892717037</v>
      </c>
    </row>
    <row r="45" spans="1:14" x14ac:dyDescent="0.2">
      <c r="H45" t="s">
        <v>6</v>
      </c>
      <c r="I45">
        <f>AVERAGE(J37:J39)</f>
        <v>4.1532755217461839</v>
      </c>
      <c r="J45">
        <f>AVERAGE(K37:K39)</f>
        <v>6.2779956094688751</v>
      </c>
      <c r="L45" t="s">
        <v>6</v>
      </c>
      <c r="M45">
        <f>STDEV(J37:J39)/SQRT(3)</f>
        <v>0.35462929409985161</v>
      </c>
      <c r="N45">
        <f>STDEV(K37:K39)/SQRT(3)</f>
        <v>0.118377627926922</v>
      </c>
    </row>
  </sheetData>
  <mergeCells count="1">
    <mergeCell ref="B2:D2"/>
  </mergeCell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6"/>
  <sheetViews>
    <sheetView topLeftCell="A91" workbookViewId="0">
      <selection activeCell="L103" sqref="L103:M135"/>
    </sheetView>
  </sheetViews>
  <sheetFormatPr baseColWidth="10" defaultColWidth="11" defaultRowHeight="16" x14ac:dyDescent="0.2"/>
  <sheetData>
    <row r="1" spans="1:19" x14ac:dyDescent="0.2">
      <c r="A1" s="5" t="s">
        <v>54</v>
      </c>
    </row>
    <row r="2" spans="1:19" x14ac:dyDescent="0.2">
      <c r="A2" s="6"/>
      <c r="B2" s="6"/>
      <c r="C2" s="6"/>
      <c r="D2" s="56" t="s">
        <v>22</v>
      </c>
      <c r="E2" s="51"/>
      <c r="F2" s="51"/>
      <c r="G2" s="52"/>
      <c r="H2" s="56" t="s">
        <v>23</v>
      </c>
      <c r="I2" s="51"/>
      <c r="J2" s="51"/>
      <c r="K2" s="52"/>
      <c r="L2" s="56" t="s">
        <v>50</v>
      </c>
      <c r="M2" s="51"/>
      <c r="N2" s="51"/>
      <c r="O2" s="52"/>
      <c r="P2" s="53" t="s">
        <v>55</v>
      </c>
      <c r="Q2" s="54"/>
      <c r="R2" s="54"/>
      <c r="S2" s="55"/>
    </row>
    <row r="3" spans="1:19" x14ac:dyDescent="0.2">
      <c r="A3" s="6" t="s">
        <v>27</v>
      </c>
      <c r="B3" s="6" t="s">
        <v>28</v>
      </c>
      <c r="C3" s="6" t="s">
        <v>29</v>
      </c>
      <c r="D3" s="56" t="s">
        <v>56</v>
      </c>
      <c r="E3" s="51"/>
      <c r="F3" s="51" t="s">
        <v>2</v>
      </c>
      <c r="G3" s="52"/>
      <c r="H3" s="56" t="s">
        <v>2</v>
      </c>
      <c r="I3" s="51"/>
      <c r="J3" s="51" t="s">
        <v>24</v>
      </c>
      <c r="K3" s="52"/>
      <c r="L3" s="56" t="s">
        <v>2</v>
      </c>
      <c r="M3" s="51"/>
      <c r="N3" s="51" t="s">
        <v>24</v>
      </c>
      <c r="O3" s="52"/>
      <c r="P3" s="56" t="s">
        <v>2</v>
      </c>
      <c r="Q3" s="51"/>
      <c r="R3" s="51" t="s">
        <v>24</v>
      </c>
      <c r="S3" s="52"/>
    </row>
    <row r="4" spans="1:19" x14ac:dyDescent="0.2">
      <c r="A4" s="6"/>
      <c r="B4" s="6"/>
      <c r="C4" s="6"/>
      <c r="D4" s="11" t="s">
        <v>35</v>
      </c>
      <c r="E4" s="14" t="s">
        <v>58</v>
      </c>
      <c r="F4" s="15" t="s">
        <v>35</v>
      </c>
      <c r="G4" s="16" t="s">
        <v>58</v>
      </c>
      <c r="H4" s="11" t="s">
        <v>35</v>
      </c>
      <c r="I4" s="15" t="s">
        <v>58</v>
      </c>
      <c r="J4" s="15" t="s">
        <v>35</v>
      </c>
      <c r="K4" s="16" t="s">
        <v>58</v>
      </c>
      <c r="L4" s="11" t="s">
        <v>35</v>
      </c>
      <c r="M4" s="15" t="s">
        <v>58</v>
      </c>
      <c r="N4" s="15" t="s">
        <v>35</v>
      </c>
      <c r="O4" s="16" t="s">
        <v>58</v>
      </c>
      <c r="P4" s="11"/>
      <c r="Q4" s="14"/>
      <c r="R4" s="15"/>
      <c r="S4" s="19"/>
    </row>
    <row r="5" spans="1:19" x14ac:dyDescent="0.2">
      <c r="A5" s="6" t="s">
        <v>30</v>
      </c>
      <c r="B5" s="7" t="s">
        <v>57</v>
      </c>
      <c r="C5" s="7">
        <v>1</v>
      </c>
      <c r="D5" s="12">
        <v>222</v>
      </c>
      <c r="E5" s="14">
        <v>385</v>
      </c>
      <c r="F5" s="17">
        <v>1</v>
      </c>
      <c r="G5" s="18">
        <v>2</v>
      </c>
      <c r="H5" s="12">
        <v>1424</v>
      </c>
      <c r="I5" s="17">
        <v>932</v>
      </c>
      <c r="J5" s="17"/>
      <c r="K5" s="19"/>
      <c r="L5" s="12"/>
      <c r="M5" s="17"/>
      <c r="N5" s="14">
        <v>100</v>
      </c>
      <c r="O5" s="18">
        <v>47</v>
      </c>
      <c r="P5" s="12"/>
      <c r="Q5" s="17"/>
      <c r="R5" s="17"/>
      <c r="S5" s="18"/>
    </row>
    <row r="6" spans="1:19" x14ac:dyDescent="0.2">
      <c r="A6" s="6" t="s">
        <v>31</v>
      </c>
      <c r="B6" s="7" t="s">
        <v>57</v>
      </c>
      <c r="C6" s="7">
        <v>2</v>
      </c>
      <c r="D6" s="12"/>
      <c r="E6" s="17"/>
      <c r="F6" s="17">
        <v>28</v>
      </c>
      <c r="G6" s="19">
        <v>3</v>
      </c>
      <c r="H6" s="12">
        <v>1544</v>
      </c>
      <c r="I6" s="14">
        <v>72</v>
      </c>
      <c r="J6" s="17"/>
      <c r="K6" s="19"/>
      <c r="L6" s="12"/>
      <c r="M6" s="17"/>
      <c r="N6" s="17">
        <v>260</v>
      </c>
      <c r="O6" s="18">
        <v>13</v>
      </c>
      <c r="P6" s="12"/>
      <c r="Q6" s="17"/>
      <c r="R6" s="17"/>
      <c r="S6" s="18"/>
    </row>
    <row r="7" spans="1:19" x14ac:dyDescent="0.2">
      <c r="A7" s="6" t="s">
        <v>32</v>
      </c>
      <c r="B7" s="7" t="s">
        <v>57</v>
      </c>
      <c r="C7" s="7">
        <v>3</v>
      </c>
      <c r="D7" s="12"/>
      <c r="E7" s="17"/>
      <c r="F7" s="17">
        <v>24</v>
      </c>
      <c r="G7" s="19">
        <v>16</v>
      </c>
      <c r="H7" s="12">
        <v>1576</v>
      </c>
      <c r="I7" s="14">
        <v>156</v>
      </c>
      <c r="J7" s="17"/>
      <c r="K7" s="18"/>
      <c r="L7" s="12"/>
      <c r="M7" s="17"/>
      <c r="N7" s="14">
        <v>740</v>
      </c>
      <c r="O7" s="18">
        <v>21</v>
      </c>
      <c r="P7" s="12"/>
      <c r="Q7" s="17"/>
      <c r="R7" s="17"/>
      <c r="S7" s="18"/>
    </row>
    <row r="8" spans="1:19" x14ac:dyDescent="0.2">
      <c r="A8" s="6" t="s">
        <v>35</v>
      </c>
      <c r="B8" s="7" t="s">
        <v>57</v>
      </c>
      <c r="C8" s="7">
        <v>4</v>
      </c>
      <c r="D8" s="12">
        <v>495</v>
      </c>
      <c r="E8" s="17">
        <v>324</v>
      </c>
      <c r="F8" s="17"/>
      <c r="G8" s="18"/>
      <c r="H8" s="12">
        <v>223</v>
      </c>
      <c r="I8" s="17">
        <v>241</v>
      </c>
      <c r="J8" s="17"/>
      <c r="K8" s="18"/>
      <c r="L8" s="12"/>
      <c r="M8" s="17"/>
      <c r="N8" s="14"/>
      <c r="O8" s="18"/>
      <c r="P8" s="12"/>
      <c r="Q8" s="17"/>
      <c r="R8" s="17"/>
      <c r="S8" s="18"/>
    </row>
    <row r="9" spans="1:19" x14ac:dyDescent="0.2">
      <c r="A9" s="6" t="s">
        <v>33</v>
      </c>
      <c r="B9" s="7" t="s">
        <v>57</v>
      </c>
      <c r="C9" s="7">
        <v>5</v>
      </c>
      <c r="D9" s="12">
        <v>354</v>
      </c>
      <c r="E9" s="17">
        <v>229</v>
      </c>
      <c r="F9" s="17"/>
      <c r="G9" s="18"/>
      <c r="H9" s="12">
        <v>345</v>
      </c>
      <c r="I9" s="17">
        <v>114</v>
      </c>
      <c r="J9" s="17"/>
      <c r="K9" s="18"/>
      <c r="L9" s="12"/>
      <c r="M9" s="17"/>
      <c r="N9" s="14"/>
      <c r="O9" s="18"/>
      <c r="P9" s="12"/>
      <c r="Q9" s="17"/>
      <c r="R9" s="17"/>
      <c r="S9" s="18"/>
    </row>
    <row r="10" spans="1:19" x14ac:dyDescent="0.2">
      <c r="A10" s="6" t="s">
        <v>37</v>
      </c>
      <c r="B10" s="7" t="s">
        <v>57</v>
      </c>
      <c r="C10" s="7">
        <v>6</v>
      </c>
      <c r="D10" s="12">
        <v>482</v>
      </c>
      <c r="E10" s="17">
        <v>502</v>
      </c>
      <c r="F10" s="17"/>
      <c r="G10" s="18"/>
      <c r="H10" s="12"/>
      <c r="I10" s="17"/>
      <c r="J10" s="17">
        <v>16</v>
      </c>
      <c r="K10" s="18">
        <v>7</v>
      </c>
      <c r="L10" s="12"/>
      <c r="M10" s="17"/>
      <c r="N10" s="14"/>
      <c r="O10" s="18"/>
      <c r="P10" s="12"/>
      <c r="Q10" s="17"/>
      <c r="R10" s="17"/>
      <c r="S10" s="18"/>
    </row>
    <row r="11" spans="1:19" x14ac:dyDescent="0.2">
      <c r="A11" s="6"/>
      <c r="B11" s="7"/>
      <c r="C11" s="7"/>
      <c r="D11" s="12"/>
      <c r="E11" s="17"/>
      <c r="F11" s="17"/>
      <c r="G11" s="19"/>
      <c r="H11" s="12"/>
      <c r="I11" s="14"/>
      <c r="J11" s="17"/>
      <c r="K11" s="18"/>
      <c r="L11" s="12"/>
      <c r="M11" s="17"/>
      <c r="N11" s="14"/>
      <c r="O11" s="18"/>
      <c r="P11" s="12"/>
      <c r="Q11" s="17"/>
      <c r="R11" s="17"/>
      <c r="S11" s="18"/>
    </row>
    <row r="12" spans="1:19" x14ac:dyDescent="0.2">
      <c r="A12" s="6"/>
      <c r="B12" s="7"/>
      <c r="C12" s="7"/>
      <c r="D12" s="12" t="s">
        <v>37</v>
      </c>
      <c r="E12" s="14" t="s">
        <v>58</v>
      </c>
      <c r="F12" s="17" t="s">
        <v>37</v>
      </c>
      <c r="G12" s="19" t="s">
        <v>58</v>
      </c>
      <c r="H12" s="12" t="s">
        <v>37</v>
      </c>
      <c r="I12" s="14" t="s">
        <v>58</v>
      </c>
      <c r="J12" s="17" t="s">
        <v>37</v>
      </c>
      <c r="K12" s="19" t="s">
        <v>58</v>
      </c>
      <c r="L12" s="12" t="s">
        <v>37</v>
      </c>
      <c r="M12" s="14" t="s">
        <v>58</v>
      </c>
      <c r="N12" s="17" t="s">
        <v>37</v>
      </c>
      <c r="O12" s="19" t="s">
        <v>58</v>
      </c>
      <c r="P12" s="12" t="s">
        <v>37</v>
      </c>
      <c r="Q12" s="14" t="s">
        <v>58</v>
      </c>
      <c r="R12" s="17" t="s">
        <v>37</v>
      </c>
      <c r="S12" s="19" t="s">
        <v>58</v>
      </c>
    </row>
    <row r="13" spans="1:19" x14ac:dyDescent="0.2">
      <c r="A13" s="6" t="s">
        <v>30</v>
      </c>
      <c r="B13" s="7" t="s">
        <v>59</v>
      </c>
      <c r="C13" s="7">
        <v>1</v>
      </c>
      <c r="D13" s="12"/>
      <c r="E13" s="17"/>
      <c r="F13" s="43">
        <v>2</v>
      </c>
      <c r="G13" s="44">
        <v>8</v>
      </c>
      <c r="H13" s="12">
        <v>1568</v>
      </c>
      <c r="I13" s="14">
        <v>620</v>
      </c>
      <c r="J13" s="17">
        <v>48</v>
      </c>
      <c r="K13" s="19">
        <v>58</v>
      </c>
      <c r="L13" s="12"/>
      <c r="M13" s="17"/>
      <c r="N13" s="17">
        <v>57</v>
      </c>
      <c r="O13" s="18">
        <v>17</v>
      </c>
      <c r="P13" s="12"/>
      <c r="Q13" s="17"/>
      <c r="R13" s="17"/>
      <c r="S13" s="18"/>
    </row>
    <row r="14" spans="1:19" x14ac:dyDescent="0.2">
      <c r="A14" s="6" t="s">
        <v>31</v>
      </c>
      <c r="B14" s="7" t="s">
        <v>59</v>
      </c>
      <c r="C14" s="7">
        <v>2</v>
      </c>
      <c r="D14" s="12"/>
      <c r="E14" s="17"/>
      <c r="F14" s="17">
        <v>22</v>
      </c>
      <c r="G14" s="19">
        <v>10</v>
      </c>
      <c r="H14" s="12"/>
      <c r="I14" s="17"/>
      <c r="J14" s="17">
        <v>437</v>
      </c>
      <c r="K14" s="19">
        <v>92</v>
      </c>
      <c r="L14" s="12"/>
      <c r="M14" s="17"/>
      <c r="N14" s="14">
        <v>204</v>
      </c>
      <c r="O14" s="18">
        <v>9</v>
      </c>
      <c r="P14" s="12">
        <v>1516</v>
      </c>
      <c r="Q14" s="17">
        <v>176</v>
      </c>
      <c r="R14" s="17">
        <v>29</v>
      </c>
      <c r="S14" s="18">
        <v>5</v>
      </c>
    </row>
    <row r="15" spans="1:19" x14ac:dyDescent="0.2">
      <c r="A15" s="6" t="s">
        <v>33</v>
      </c>
      <c r="B15" s="7" t="s">
        <v>59</v>
      </c>
      <c r="C15" s="7">
        <v>3</v>
      </c>
      <c r="D15" s="12"/>
      <c r="E15" s="17"/>
      <c r="F15" s="17">
        <v>26</v>
      </c>
      <c r="G15" s="19">
        <v>12</v>
      </c>
      <c r="H15" s="12"/>
      <c r="I15" s="17"/>
      <c r="J15" s="20">
        <v>360</v>
      </c>
      <c r="K15" s="19">
        <v>80</v>
      </c>
      <c r="L15" s="12">
        <v>2320</v>
      </c>
      <c r="M15" s="14">
        <v>732</v>
      </c>
      <c r="N15" s="17"/>
      <c r="O15" s="18"/>
      <c r="P15" s="12"/>
      <c r="Q15" s="17"/>
      <c r="R15" s="17"/>
      <c r="S15" s="18"/>
    </row>
    <row r="16" spans="1:19" x14ac:dyDescent="0.2">
      <c r="A16" s="6" t="s">
        <v>36</v>
      </c>
      <c r="B16" s="7" t="s">
        <v>59</v>
      </c>
      <c r="C16" s="7">
        <v>4</v>
      </c>
      <c r="D16" s="12"/>
      <c r="E16" s="17"/>
      <c r="F16" s="17">
        <v>7</v>
      </c>
      <c r="G16" s="19">
        <v>9</v>
      </c>
      <c r="H16" s="12"/>
      <c r="I16" s="17"/>
      <c r="J16" s="20">
        <v>39</v>
      </c>
      <c r="K16" s="18">
        <v>11</v>
      </c>
      <c r="L16" s="12"/>
      <c r="M16" s="14"/>
      <c r="N16" s="17"/>
      <c r="O16" s="18"/>
      <c r="P16" s="12"/>
      <c r="Q16" s="17"/>
      <c r="R16" s="17"/>
      <c r="S16" s="18"/>
    </row>
    <row r="17" spans="1:19" x14ac:dyDescent="0.2">
      <c r="A17" s="6" t="s">
        <v>40</v>
      </c>
      <c r="B17" s="7" t="s">
        <v>59</v>
      </c>
      <c r="C17" s="7">
        <v>5</v>
      </c>
      <c r="D17" s="12"/>
      <c r="E17" s="17"/>
      <c r="F17" s="43">
        <v>1</v>
      </c>
      <c r="G17" s="45">
        <v>5</v>
      </c>
      <c r="H17" s="12"/>
      <c r="I17" s="17"/>
      <c r="J17" s="20">
        <v>56</v>
      </c>
      <c r="K17" s="18">
        <v>18</v>
      </c>
      <c r="L17" s="12"/>
      <c r="M17" s="14"/>
      <c r="N17" s="17"/>
      <c r="O17" s="18"/>
      <c r="P17" s="12"/>
      <c r="Q17" s="17"/>
      <c r="R17" s="17"/>
      <c r="S17" s="18"/>
    </row>
    <row r="18" spans="1:19" x14ac:dyDescent="0.2">
      <c r="A18" s="6" t="s">
        <v>58</v>
      </c>
      <c r="B18" s="7" t="s">
        <v>59</v>
      </c>
      <c r="C18" s="7">
        <v>6</v>
      </c>
      <c r="D18" s="12"/>
      <c r="E18" s="17"/>
      <c r="F18" s="17">
        <v>10</v>
      </c>
      <c r="G18" s="19">
        <v>28</v>
      </c>
      <c r="H18" s="12"/>
      <c r="I18" s="17"/>
      <c r="J18" s="20">
        <v>29</v>
      </c>
      <c r="K18" s="18">
        <v>13</v>
      </c>
      <c r="L18" s="12"/>
      <c r="M18" s="14"/>
      <c r="N18" s="17"/>
      <c r="O18" s="18"/>
      <c r="P18" s="12"/>
      <c r="Q18" s="17"/>
      <c r="R18" s="17"/>
      <c r="S18" s="18"/>
    </row>
    <row r="19" spans="1:19" x14ac:dyDescent="0.2">
      <c r="A19" s="6"/>
      <c r="B19" s="7"/>
      <c r="C19" s="7"/>
      <c r="D19" s="12"/>
      <c r="E19" s="17"/>
      <c r="F19" s="17"/>
      <c r="G19" s="19"/>
      <c r="H19" s="12"/>
      <c r="I19" s="17"/>
      <c r="J19" s="20"/>
      <c r="K19" s="19"/>
      <c r="L19" s="12"/>
      <c r="M19" s="14"/>
      <c r="N19" s="17"/>
      <c r="O19" s="18"/>
      <c r="P19" s="12"/>
      <c r="Q19" s="17"/>
      <c r="R19" s="17"/>
      <c r="S19" s="18"/>
    </row>
    <row r="20" spans="1:19" x14ac:dyDescent="0.2">
      <c r="A20" s="6"/>
      <c r="B20" s="7"/>
      <c r="C20" s="7"/>
      <c r="D20" s="12" t="s">
        <v>30</v>
      </c>
      <c r="E20" s="17" t="s">
        <v>58</v>
      </c>
      <c r="F20" s="17" t="s">
        <v>30</v>
      </c>
      <c r="G20" s="18" t="s">
        <v>58</v>
      </c>
      <c r="H20" s="12" t="s">
        <v>30</v>
      </c>
      <c r="I20" s="17" t="s">
        <v>58</v>
      </c>
      <c r="J20" s="17" t="s">
        <v>30</v>
      </c>
      <c r="K20" s="18" t="s">
        <v>58</v>
      </c>
      <c r="L20" s="12" t="s">
        <v>30</v>
      </c>
      <c r="M20" s="17" t="s">
        <v>58</v>
      </c>
      <c r="N20" s="14"/>
      <c r="O20" s="18"/>
      <c r="P20" s="12"/>
      <c r="Q20" s="17"/>
      <c r="R20" s="14"/>
      <c r="S20" s="19"/>
    </row>
    <row r="21" spans="1:19" x14ac:dyDescent="0.2">
      <c r="A21" s="6" t="s">
        <v>53</v>
      </c>
      <c r="B21" s="8" t="s">
        <v>60</v>
      </c>
      <c r="C21" s="7">
        <v>1</v>
      </c>
      <c r="D21" s="12">
        <v>298</v>
      </c>
      <c r="E21" s="14">
        <v>56</v>
      </c>
      <c r="F21" s="17">
        <v>1</v>
      </c>
      <c r="G21" s="18">
        <v>1</v>
      </c>
      <c r="H21" s="11"/>
      <c r="I21" s="15"/>
      <c r="J21" s="17">
        <v>0</v>
      </c>
      <c r="K21" s="18">
        <v>56</v>
      </c>
      <c r="L21" s="11"/>
      <c r="M21" s="15"/>
      <c r="N21" s="14"/>
      <c r="O21" s="18"/>
      <c r="P21" s="12"/>
      <c r="Q21" s="17"/>
      <c r="R21" s="14"/>
      <c r="S21" s="19"/>
    </row>
    <row r="22" spans="1:19" x14ac:dyDescent="0.2">
      <c r="A22" s="6" t="s">
        <v>52</v>
      </c>
      <c r="B22" s="8" t="s">
        <v>60</v>
      </c>
      <c r="C22" s="7">
        <v>2</v>
      </c>
      <c r="D22" s="12">
        <v>296</v>
      </c>
      <c r="E22" s="14">
        <v>62</v>
      </c>
      <c r="F22" s="17">
        <v>2</v>
      </c>
      <c r="G22" s="19">
        <v>0</v>
      </c>
      <c r="H22" s="11"/>
      <c r="I22" s="15"/>
      <c r="J22" s="17">
        <v>0</v>
      </c>
      <c r="K22" s="19">
        <v>34</v>
      </c>
      <c r="L22" s="11"/>
      <c r="M22" s="15"/>
      <c r="N22" s="14"/>
      <c r="O22" s="18"/>
      <c r="P22" s="12"/>
      <c r="Q22" s="17"/>
      <c r="R22" s="14"/>
      <c r="S22" s="19"/>
    </row>
    <row r="23" spans="1:19" x14ac:dyDescent="0.2">
      <c r="A23" s="6" t="s">
        <v>51</v>
      </c>
      <c r="B23" s="8" t="s">
        <v>60</v>
      </c>
      <c r="C23" s="7">
        <v>3</v>
      </c>
      <c r="D23" s="12"/>
      <c r="E23" s="14"/>
      <c r="F23" s="17">
        <v>23</v>
      </c>
      <c r="G23" s="19">
        <v>1</v>
      </c>
      <c r="H23" s="11"/>
      <c r="I23" s="15"/>
      <c r="J23" s="17">
        <v>0</v>
      </c>
      <c r="K23" s="19">
        <v>1052</v>
      </c>
      <c r="L23" s="11"/>
      <c r="M23" s="15"/>
      <c r="N23" s="14"/>
      <c r="O23" s="18"/>
      <c r="P23" s="12"/>
      <c r="Q23" s="17"/>
      <c r="R23" s="14"/>
      <c r="S23" s="19"/>
    </row>
    <row r="24" spans="1:19" x14ac:dyDescent="0.2">
      <c r="A24" s="6" t="s">
        <v>38</v>
      </c>
      <c r="B24" s="8" t="s">
        <v>60</v>
      </c>
      <c r="C24" s="7">
        <v>4</v>
      </c>
      <c r="D24" s="12"/>
      <c r="E24" s="14"/>
      <c r="F24" s="17">
        <v>42</v>
      </c>
      <c r="G24" s="19">
        <v>94</v>
      </c>
      <c r="H24" s="11">
        <v>60</v>
      </c>
      <c r="I24" s="15">
        <v>552</v>
      </c>
      <c r="J24" s="17">
        <v>2</v>
      </c>
      <c r="K24" s="18">
        <v>42</v>
      </c>
      <c r="L24" s="11"/>
      <c r="M24" s="15"/>
      <c r="N24" s="14"/>
      <c r="O24" s="18"/>
      <c r="P24" s="12"/>
      <c r="Q24" s="17"/>
      <c r="R24" s="14"/>
      <c r="S24" s="19"/>
    </row>
    <row r="25" spans="1:19" x14ac:dyDescent="0.2">
      <c r="A25" s="6" t="s">
        <v>39</v>
      </c>
      <c r="B25" s="8" t="s">
        <v>60</v>
      </c>
      <c r="C25" s="7">
        <v>5</v>
      </c>
      <c r="D25" s="12"/>
      <c r="E25" s="14"/>
      <c r="F25" s="43">
        <v>1</v>
      </c>
      <c r="G25" s="45">
        <v>9</v>
      </c>
      <c r="H25" s="11">
        <v>157</v>
      </c>
      <c r="I25" s="15">
        <v>1023</v>
      </c>
      <c r="J25" s="17">
        <v>1</v>
      </c>
      <c r="K25" s="18">
        <v>12</v>
      </c>
      <c r="L25" s="11"/>
      <c r="M25" s="15"/>
      <c r="N25" s="14"/>
      <c r="O25" s="18"/>
      <c r="P25" s="12"/>
      <c r="Q25" s="17"/>
      <c r="R25" s="14"/>
      <c r="S25" s="19"/>
    </row>
    <row r="26" spans="1:19" x14ac:dyDescent="0.2">
      <c r="A26" s="6" t="s">
        <v>64</v>
      </c>
      <c r="B26" s="8" t="s">
        <v>60</v>
      </c>
      <c r="C26" s="7">
        <v>6</v>
      </c>
      <c r="D26" s="12"/>
      <c r="E26" s="14"/>
      <c r="F26" s="43">
        <v>1</v>
      </c>
      <c r="G26" s="45">
        <v>7</v>
      </c>
      <c r="H26" s="11">
        <v>10</v>
      </c>
      <c r="I26" s="15">
        <v>1105</v>
      </c>
      <c r="J26" s="17">
        <v>1</v>
      </c>
      <c r="K26" s="18">
        <v>8</v>
      </c>
      <c r="L26" s="11"/>
      <c r="M26" s="15"/>
      <c r="N26" s="14"/>
      <c r="O26" s="18"/>
      <c r="P26" s="12"/>
      <c r="Q26" s="17"/>
      <c r="R26" s="14"/>
      <c r="S26" s="19"/>
    </row>
    <row r="27" spans="1:19" x14ac:dyDescent="0.2">
      <c r="A27" s="6"/>
      <c r="B27" s="8"/>
      <c r="C27" s="7"/>
      <c r="D27" s="12"/>
      <c r="E27" s="14"/>
      <c r="F27" s="17"/>
      <c r="G27" s="19"/>
      <c r="H27" s="11"/>
      <c r="I27" s="15"/>
      <c r="J27" s="17"/>
      <c r="K27" s="19"/>
      <c r="L27" s="11"/>
      <c r="M27" s="15"/>
      <c r="N27" s="14"/>
      <c r="O27" s="18"/>
      <c r="P27" s="12"/>
      <c r="Q27" s="17"/>
      <c r="R27" s="14"/>
      <c r="S27" s="19"/>
    </row>
    <row r="28" spans="1:19" x14ac:dyDescent="0.2">
      <c r="A28" s="6"/>
      <c r="B28" s="7"/>
      <c r="C28" s="7"/>
      <c r="D28" s="12" t="s">
        <v>35</v>
      </c>
      <c r="E28" s="14" t="s">
        <v>30</v>
      </c>
      <c r="F28" s="17" t="s">
        <v>35</v>
      </c>
      <c r="G28" s="19" t="s">
        <v>30</v>
      </c>
      <c r="H28" s="12" t="s">
        <v>35</v>
      </c>
      <c r="I28" s="14" t="s">
        <v>30</v>
      </c>
      <c r="J28" s="17" t="s">
        <v>35</v>
      </c>
      <c r="K28" s="19" t="s">
        <v>30</v>
      </c>
      <c r="L28" s="12" t="s">
        <v>35</v>
      </c>
      <c r="M28" s="14" t="s">
        <v>30</v>
      </c>
      <c r="N28" s="14"/>
      <c r="O28" s="18"/>
      <c r="P28" s="12"/>
      <c r="Q28" s="17"/>
      <c r="R28" s="14"/>
      <c r="S28" s="19"/>
    </row>
    <row r="29" spans="1:19" x14ac:dyDescent="0.2">
      <c r="A29" s="6" t="s">
        <v>34</v>
      </c>
      <c r="B29" s="7" t="s">
        <v>61</v>
      </c>
      <c r="C29" s="7">
        <v>1</v>
      </c>
      <c r="D29" s="12">
        <v>648</v>
      </c>
      <c r="E29" s="14">
        <v>108</v>
      </c>
      <c r="F29" s="17"/>
      <c r="G29" s="19"/>
      <c r="H29" s="12">
        <v>1680</v>
      </c>
      <c r="I29" s="14">
        <v>6</v>
      </c>
      <c r="J29" s="17">
        <v>25</v>
      </c>
      <c r="K29" s="19">
        <v>3</v>
      </c>
      <c r="L29" s="11"/>
      <c r="M29" s="15"/>
      <c r="N29" s="14"/>
      <c r="O29" s="18"/>
      <c r="P29" s="12"/>
      <c r="Q29" s="17"/>
      <c r="R29" s="14"/>
      <c r="S29" s="19"/>
    </row>
    <row r="30" spans="1:19" x14ac:dyDescent="0.2">
      <c r="A30" s="6" t="s">
        <v>35</v>
      </c>
      <c r="B30" s="7" t="s">
        <v>61</v>
      </c>
      <c r="C30" s="7">
        <v>2</v>
      </c>
      <c r="D30" s="12"/>
      <c r="E30" s="14"/>
      <c r="F30" s="17">
        <v>20</v>
      </c>
      <c r="G30" s="19">
        <v>3</v>
      </c>
      <c r="H30" s="13">
        <v>560</v>
      </c>
      <c r="I30" s="14">
        <v>1</v>
      </c>
      <c r="J30" s="17">
        <v>56</v>
      </c>
      <c r="K30" s="19">
        <v>0</v>
      </c>
      <c r="L30" s="11"/>
      <c r="M30" s="15"/>
      <c r="N30" s="14"/>
      <c r="O30" s="18"/>
      <c r="P30" s="12"/>
      <c r="Q30" s="17"/>
      <c r="R30" s="14"/>
      <c r="S30" s="19"/>
    </row>
    <row r="31" spans="1:19" x14ac:dyDescent="0.2">
      <c r="A31" s="6" t="s">
        <v>36</v>
      </c>
      <c r="B31" s="7" t="s">
        <v>61</v>
      </c>
      <c r="C31" s="7">
        <v>3</v>
      </c>
      <c r="D31" s="12">
        <v>804</v>
      </c>
      <c r="E31" s="14">
        <v>268</v>
      </c>
      <c r="F31" s="17">
        <v>7</v>
      </c>
      <c r="G31" s="19">
        <v>1</v>
      </c>
      <c r="H31" s="12">
        <v>476</v>
      </c>
      <c r="I31" s="14">
        <v>2</v>
      </c>
      <c r="J31" s="17">
        <v>6</v>
      </c>
      <c r="K31" s="19">
        <v>0</v>
      </c>
      <c r="L31" s="11"/>
      <c r="M31" s="15"/>
      <c r="N31" s="14"/>
      <c r="O31" s="18"/>
      <c r="P31" s="12"/>
      <c r="Q31" s="17"/>
      <c r="R31" s="14"/>
      <c r="S31" s="19"/>
    </row>
    <row r="32" spans="1:19" x14ac:dyDescent="0.2">
      <c r="A32" s="6" t="s">
        <v>64</v>
      </c>
      <c r="B32" s="7" t="s">
        <v>61</v>
      </c>
      <c r="C32" s="7">
        <v>4</v>
      </c>
      <c r="D32" s="12"/>
      <c r="E32" s="14"/>
      <c r="F32" s="43">
        <v>29</v>
      </c>
      <c r="G32" s="45">
        <v>3</v>
      </c>
      <c r="H32" s="12">
        <v>4224</v>
      </c>
      <c r="I32" s="21">
        <v>16</v>
      </c>
      <c r="J32" s="17"/>
      <c r="K32" s="19"/>
      <c r="L32" s="11"/>
      <c r="M32" s="15"/>
      <c r="N32" s="14"/>
      <c r="O32" s="18"/>
      <c r="P32" s="12"/>
      <c r="Q32" s="17"/>
      <c r="R32" s="14"/>
      <c r="S32" s="19"/>
    </row>
    <row r="33" spans="1:19" x14ac:dyDescent="0.2">
      <c r="A33" s="6" t="s">
        <v>33</v>
      </c>
      <c r="B33" s="7" t="s">
        <v>61</v>
      </c>
      <c r="C33" s="7">
        <v>5</v>
      </c>
      <c r="D33" s="12"/>
      <c r="E33" s="14"/>
      <c r="F33" s="43">
        <v>18</v>
      </c>
      <c r="G33" s="45">
        <v>1</v>
      </c>
      <c r="H33" s="12">
        <v>2224</v>
      </c>
      <c r="I33" s="21">
        <v>2</v>
      </c>
      <c r="J33" s="17"/>
      <c r="K33" s="19"/>
      <c r="L33" s="11"/>
      <c r="M33" s="15"/>
      <c r="N33" s="14"/>
      <c r="O33" s="18"/>
      <c r="P33" s="12"/>
      <c r="Q33" s="17"/>
      <c r="R33" s="14"/>
      <c r="S33" s="19"/>
    </row>
    <row r="34" spans="1:19" x14ac:dyDescent="0.2">
      <c r="A34" s="6" t="s">
        <v>30</v>
      </c>
      <c r="B34" s="7" t="s">
        <v>61</v>
      </c>
      <c r="C34" s="7">
        <v>6</v>
      </c>
      <c r="D34" s="12"/>
      <c r="E34" s="14"/>
      <c r="F34" s="43">
        <v>38</v>
      </c>
      <c r="G34" s="45">
        <v>2</v>
      </c>
      <c r="H34" s="12"/>
      <c r="I34" s="14"/>
      <c r="J34" s="17">
        <v>238</v>
      </c>
      <c r="K34" s="19">
        <v>1</v>
      </c>
      <c r="L34" s="11"/>
      <c r="M34" s="15"/>
      <c r="N34" s="14"/>
      <c r="O34" s="18"/>
      <c r="P34" s="12"/>
      <c r="Q34" s="17"/>
      <c r="R34" s="14"/>
      <c r="S34" s="19"/>
    </row>
    <row r="35" spans="1:19" x14ac:dyDescent="0.2">
      <c r="A35" s="6"/>
      <c r="B35" s="7"/>
      <c r="C35" s="7"/>
      <c r="D35" s="12"/>
      <c r="E35" s="14"/>
      <c r="F35" s="17"/>
      <c r="G35" s="19"/>
      <c r="H35" s="12"/>
      <c r="I35" s="14"/>
      <c r="J35" s="17"/>
      <c r="K35" s="19"/>
      <c r="L35" s="11"/>
      <c r="M35" s="15"/>
      <c r="N35" s="14"/>
      <c r="O35" s="18"/>
      <c r="P35" s="12"/>
      <c r="Q35" s="17"/>
      <c r="R35" s="14"/>
      <c r="S35" s="19"/>
    </row>
    <row r="36" spans="1:19" x14ac:dyDescent="0.2">
      <c r="A36" s="6"/>
      <c r="B36" s="7"/>
      <c r="C36" s="7"/>
      <c r="D36" s="12" t="s">
        <v>37</v>
      </c>
      <c r="E36" s="14" t="s">
        <v>30</v>
      </c>
      <c r="F36" s="17" t="s">
        <v>37</v>
      </c>
      <c r="G36" s="19" t="s">
        <v>30</v>
      </c>
      <c r="H36" s="12" t="s">
        <v>37</v>
      </c>
      <c r="I36" s="14" t="s">
        <v>30</v>
      </c>
      <c r="J36" s="17" t="s">
        <v>37</v>
      </c>
      <c r="K36" s="19" t="s">
        <v>30</v>
      </c>
      <c r="L36" s="12" t="s">
        <v>37</v>
      </c>
      <c r="M36" s="14" t="s">
        <v>30</v>
      </c>
      <c r="N36" s="14"/>
      <c r="O36" s="18"/>
      <c r="P36" s="12"/>
      <c r="Q36" s="17"/>
      <c r="R36" s="14"/>
      <c r="S36" s="19"/>
    </row>
    <row r="37" spans="1:19" x14ac:dyDescent="0.2">
      <c r="A37" s="6" t="s">
        <v>37</v>
      </c>
      <c r="B37" s="7" t="s">
        <v>62</v>
      </c>
      <c r="C37" s="7">
        <v>1</v>
      </c>
      <c r="D37" s="11"/>
      <c r="E37" s="15"/>
      <c r="F37" s="17">
        <v>21</v>
      </c>
      <c r="G37" s="19">
        <v>3</v>
      </c>
      <c r="H37" s="11"/>
      <c r="I37" s="15"/>
      <c r="J37" s="17">
        <v>652</v>
      </c>
      <c r="K37" s="19">
        <v>1</v>
      </c>
      <c r="L37" s="11"/>
      <c r="M37" s="15"/>
      <c r="N37" s="14"/>
      <c r="O37" s="18"/>
      <c r="P37" s="12"/>
      <c r="Q37" s="17"/>
      <c r="R37" s="14"/>
      <c r="S37" s="19"/>
    </row>
    <row r="38" spans="1:19" x14ac:dyDescent="0.2">
      <c r="A38" s="6" t="s">
        <v>38</v>
      </c>
      <c r="B38" s="7" t="s">
        <v>62</v>
      </c>
      <c r="C38" s="7">
        <v>2</v>
      </c>
      <c r="D38" s="11"/>
      <c r="E38" s="15"/>
      <c r="F38" s="43">
        <v>9</v>
      </c>
      <c r="G38" s="45">
        <v>1</v>
      </c>
      <c r="H38" s="11"/>
      <c r="I38" s="15"/>
      <c r="J38" s="17">
        <v>684</v>
      </c>
      <c r="K38" s="19">
        <v>1</v>
      </c>
      <c r="L38" s="11"/>
      <c r="M38" s="15"/>
      <c r="N38" s="14"/>
      <c r="O38" s="18"/>
      <c r="P38" s="12"/>
      <c r="Q38" s="17"/>
      <c r="R38" s="14"/>
      <c r="S38" s="19"/>
    </row>
    <row r="39" spans="1:19" x14ac:dyDescent="0.2">
      <c r="A39" s="6" t="s">
        <v>39</v>
      </c>
      <c r="B39" s="7" t="s">
        <v>62</v>
      </c>
      <c r="C39" s="7">
        <v>3</v>
      </c>
      <c r="D39" s="12">
        <v>256</v>
      </c>
      <c r="E39" s="14">
        <v>27</v>
      </c>
      <c r="F39" s="17">
        <v>3</v>
      </c>
      <c r="G39" s="19">
        <v>0</v>
      </c>
      <c r="H39" s="12">
        <v>1980</v>
      </c>
      <c r="I39" s="14">
        <v>6</v>
      </c>
      <c r="J39" s="17">
        <v>278</v>
      </c>
      <c r="K39" s="19">
        <v>0</v>
      </c>
      <c r="L39" s="11"/>
      <c r="M39" s="15"/>
      <c r="N39" s="14"/>
      <c r="O39" s="18"/>
      <c r="P39" s="12"/>
      <c r="Q39" s="17"/>
      <c r="R39" s="14"/>
      <c r="S39" s="19"/>
    </row>
    <row r="40" spans="1:19" x14ac:dyDescent="0.2">
      <c r="A40" s="6" t="s">
        <v>41</v>
      </c>
      <c r="B40" s="7" t="s">
        <v>62</v>
      </c>
      <c r="C40" s="7">
        <v>4</v>
      </c>
      <c r="D40" s="12"/>
      <c r="E40" s="14"/>
      <c r="F40" s="17">
        <v>32</v>
      </c>
      <c r="G40" s="19">
        <v>16</v>
      </c>
      <c r="H40" s="12"/>
      <c r="I40" s="14"/>
      <c r="J40" s="17">
        <v>826</v>
      </c>
      <c r="K40" s="19">
        <v>27</v>
      </c>
      <c r="L40" s="11"/>
      <c r="M40" s="15"/>
      <c r="N40" s="14"/>
      <c r="O40" s="18"/>
      <c r="P40" s="12"/>
      <c r="Q40" s="17"/>
      <c r="R40" s="14"/>
      <c r="S40" s="19"/>
    </row>
    <row r="41" spans="1:19" x14ac:dyDescent="0.2">
      <c r="A41" s="6" t="s">
        <v>34</v>
      </c>
      <c r="B41" s="7" t="s">
        <v>62</v>
      </c>
      <c r="C41" s="7">
        <v>5</v>
      </c>
      <c r="D41" s="12"/>
      <c r="E41" s="14"/>
      <c r="F41" s="17">
        <v>15</v>
      </c>
      <c r="G41" s="19">
        <v>6</v>
      </c>
      <c r="H41" s="12"/>
      <c r="I41" s="14"/>
      <c r="J41" s="17">
        <v>259</v>
      </c>
      <c r="K41" s="19">
        <v>14</v>
      </c>
      <c r="L41" s="11"/>
      <c r="M41" s="15"/>
      <c r="N41" s="14"/>
      <c r="O41" s="18"/>
      <c r="P41" s="12"/>
      <c r="Q41" s="17"/>
      <c r="R41" s="14"/>
      <c r="S41" s="19"/>
    </row>
    <row r="42" spans="1:19" x14ac:dyDescent="0.2">
      <c r="A42" s="6" t="s">
        <v>33</v>
      </c>
      <c r="B42" s="7" t="s">
        <v>62</v>
      </c>
      <c r="C42" s="7">
        <v>6</v>
      </c>
      <c r="D42" s="12"/>
      <c r="E42" s="14"/>
      <c r="F42" s="43">
        <v>5</v>
      </c>
      <c r="G42" s="45">
        <v>1</v>
      </c>
      <c r="H42" s="12"/>
      <c r="I42" s="14"/>
      <c r="J42" s="17">
        <v>390</v>
      </c>
      <c r="K42" s="19">
        <v>7</v>
      </c>
      <c r="L42" s="11"/>
      <c r="M42" s="15"/>
      <c r="N42" s="14"/>
      <c r="O42" s="18"/>
      <c r="P42" s="12"/>
      <c r="Q42" s="17"/>
      <c r="R42" s="14"/>
      <c r="S42" s="19"/>
    </row>
    <row r="43" spans="1:19" x14ac:dyDescent="0.2">
      <c r="A43" s="6"/>
      <c r="B43" s="7"/>
      <c r="C43" s="7"/>
      <c r="D43" s="12"/>
      <c r="E43" s="14"/>
      <c r="F43" s="17"/>
      <c r="G43" s="19"/>
      <c r="H43" s="12"/>
      <c r="I43" s="14"/>
      <c r="J43" s="17"/>
      <c r="K43" s="19"/>
      <c r="L43" s="11"/>
      <c r="M43" s="15"/>
      <c r="N43" s="14"/>
      <c r="O43" s="18"/>
      <c r="P43" s="12"/>
      <c r="Q43" s="17"/>
      <c r="R43" s="14"/>
      <c r="S43" s="19"/>
    </row>
    <row r="44" spans="1:19" x14ac:dyDescent="0.2">
      <c r="A44" s="6"/>
      <c r="B44" s="7"/>
      <c r="C44" s="7"/>
      <c r="D44" s="12" t="s">
        <v>35</v>
      </c>
      <c r="E44" s="14" t="s">
        <v>37</v>
      </c>
      <c r="F44" s="17" t="s">
        <v>35</v>
      </c>
      <c r="G44" s="19" t="s">
        <v>37</v>
      </c>
      <c r="H44" s="12" t="s">
        <v>35</v>
      </c>
      <c r="I44" s="14" t="s">
        <v>37</v>
      </c>
      <c r="J44" s="17" t="s">
        <v>35</v>
      </c>
      <c r="K44" s="19" t="s">
        <v>37</v>
      </c>
      <c r="L44" s="12" t="s">
        <v>35</v>
      </c>
      <c r="M44" s="14" t="s">
        <v>37</v>
      </c>
      <c r="N44" s="17" t="s">
        <v>35</v>
      </c>
      <c r="O44" s="19" t="s">
        <v>37</v>
      </c>
      <c r="P44" s="12"/>
      <c r="Q44" s="17"/>
      <c r="R44" s="14"/>
      <c r="S44" s="19"/>
    </row>
    <row r="45" spans="1:19" x14ac:dyDescent="0.2">
      <c r="A45" s="6" t="s">
        <v>40</v>
      </c>
      <c r="B45" s="7" t="s">
        <v>63</v>
      </c>
      <c r="C45" s="7">
        <v>1</v>
      </c>
      <c r="D45" s="12">
        <v>373</v>
      </c>
      <c r="E45" s="14">
        <v>336</v>
      </c>
      <c r="F45" s="15"/>
      <c r="G45" s="16"/>
      <c r="H45" s="11"/>
      <c r="I45" s="15"/>
      <c r="J45" s="17">
        <v>84</v>
      </c>
      <c r="K45" s="19">
        <v>56</v>
      </c>
      <c r="L45" s="11"/>
      <c r="M45" s="15"/>
      <c r="N45" s="17">
        <v>43</v>
      </c>
      <c r="O45" s="18">
        <v>49</v>
      </c>
      <c r="P45" s="10"/>
      <c r="Q45" s="17"/>
      <c r="R45" s="14"/>
      <c r="S45" s="19"/>
    </row>
    <row r="46" spans="1:19" x14ac:dyDescent="0.2">
      <c r="A46" s="6" t="s">
        <v>41</v>
      </c>
      <c r="B46" s="7" t="s">
        <v>63</v>
      </c>
      <c r="C46" s="7">
        <v>2</v>
      </c>
      <c r="D46" s="12"/>
      <c r="E46" s="14"/>
      <c r="F46" s="43">
        <v>4</v>
      </c>
      <c r="G46" s="45">
        <v>5</v>
      </c>
      <c r="H46" s="11"/>
      <c r="I46" s="15"/>
      <c r="J46" s="17">
        <v>106</v>
      </c>
      <c r="K46" s="19">
        <v>126</v>
      </c>
      <c r="L46" s="11"/>
      <c r="M46" s="15"/>
      <c r="N46" s="17">
        <v>632</v>
      </c>
      <c r="O46" s="18">
        <v>268</v>
      </c>
      <c r="P46" s="10"/>
      <c r="Q46" s="17"/>
      <c r="R46" s="14"/>
      <c r="S46" s="19"/>
    </row>
    <row r="47" spans="1:19" x14ac:dyDescent="0.2">
      <c r="A47" s="6" t="s">
        <v>42</v>
      </c>
      <c r="B47" s="7" t="s">
        <v>63</v>
      </c>
      <c r="C47" s="7">
        <v>3</v>
      </c>
      <c r="D47" s="12">
        <v>672</v>
      </c>
      <c r="E47" s="14">
        <v>628</v>
      </c>
      <c r="F47" s="17">
        <v>6</v>
      </c>
      <c r="G47" s="19">
        <v>20</v>
      </c>
      <c r="H47" s="11"/>
      <c r="I47" s="15"/>
      <c r="J47" s="17">
        <v>131</v>
      </c>
      <c r="K47" s="19">
        <v>200</v>
      </c>
      <c r="L47" s="11"/>
      <c r="M47" s="15"/>
      <c r="N47" s="17">
        <v>420</v>
      </c>
      <c r="O47" s="18">
        <v>137</v>
      </c>
      <c r="P47" s="10"/>
      <c r="Q47" s="17"/>
      <c r="R47" s="14"/>
      <c r="S47" s="19"/>
    </row>
    <row r="48" spans="1:19" x14ac:dyDescent="0.2">
      <c r="A48" s="6" t="s">
        <v>53</v>
      </c>
      <c r="B48" s="7" t="s">
        <v>63</v>
      </c>
      <c r="C48" s="7">
        <v>4</v>
      </c>
      <c r="D48" s="12">
        <v>535</v>
      </c>
      <c r="E48" s="17">
        <v>146</v>
      </c>
      <c r="F48" s="17"/>
      <c r="G48" s="18"/>
      <c r="H48" s="12"/>
      <c r="I48" s="17"/>
      <c r="J48" s="17">
        <v>39</v>
      </c>
      <c r="K48" s="18">
        <v>11</v>
      </c>
      <c r="L48" s="10"/>
      <c r="M48" s="14"/>
      <c r="N48" s="14"/>
      <c r="O48" s="19"/>
      <c r="P48" s="10"/>
      <c r="Q48" s="14"/>
      <c r="R48" s="14"/>
      <c r="S48" s="19"/>
    </row>
    <row r="49" spans="1:19" x14ac:dyDescent="0.2">
      <c r="A49" s="6" t="s">
        <v>52</v>
      </c>
      <c r="B49" s="7" t="s">
        <v>63</v>
      </c>
      <c r="C49" s="7">
        <v>5</v>
      </c>
      <c r="D49" s="12">
        <v>10</v>
      </c>
      <c r="E49" s="17">
        <v>10</v>
      </c>
      <c r="F49" s="17"/>
      <c r="G49" s="18"/>
      <c r="H49" s="12"/>
      <c r="I49" s="17"/>
      <c r="J49" s="17">
        <v>56</v>
      </c>
      <c r="K49" s="18">
        <v>18</v>
      </c>
      <c r="L49" s="10"/>
      <c r="M49" s="14"/>
      <c r="N49" s="14"/>
      <c r="O49" s="19"/>
      <c r="P49" s="10"/>
      <c r="Q49" s="14"/>
      <c r="R49" s="14"/>
      <c r="S49" s="19"/>
    </row>
    <row r="50" spans="1:19" x14ac:dyDescent="0.2">
      <c r="A50" s="6" t="s">
        <v>33</v>
      </c>
      <c r="B50" s="7" t="s">
        <v>63</v>
      </c>
      <c r="C50" s="7">
        <v>6</v>
      </c>
      <c r="D50" s="12"/>
      <c r="E50" s="17"/>
      <c r="F50" s="17">
        <v>29</v>
      </c>
      <c r="G50" s="18">
        <v>15</v>
      </c>
      <c r="H50" s="12"/>
      <c r="I50" s="17"/>
      <c r="J50" s="17">
        <v>29</v>
      </c>
      <c r="K50" s="18">
        <v>13</v>
      </c>
      <c r="L50" s="10"/>
      <c r="M50" s="14"/>
      <c r="N50" s="14"/>
      <c r="O50" s="19"/>
      <c r="P50" s="10"/>
      <c r="Q50" s="14"/>
      <c r="R50" s="14"/>
      <c r="S50" s="19"/>
    </row>
    <row r="51" spans="1:19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9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9" x14ac:dyDescent="0.2">
      <c r="A53" s="22" t="s">
        <v>65</v>
      </c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9" x14ac:dyDescent="0.2">
      <c r="A54" s="6"/>
      <c r="B54" s="7"/>
      <c r="C54" s="7"/>
      <c r="D54" s="50" t="s">
        <v>22</v>
      </c>
      <c r="E54" s="50"/>
      <c r="F54" s="50" t="s">
        <v>23</v>
      </c>
      <c r="G54" s="50"/>
      <c r="H54" s="50" t="s">
        <v>50</v>
      </c>
      <c r="I54" s="50"/>
      <c r="J54" s="7"/>
      <c r="K54" s="7"/>
    </row>
    <row r="55" spans="1:19" x14ac:dyDescent="0.2">
      <c r="A55" t="s">
        <v>27</v>
      </c>
      <c r="B55" t="s">
        <v>28</v>
      </c>
      <c r="C55" t="s">
        <v>29</v>
      </c>
      <c r="D55" t="s">
        <v>56</v>
      </c>
      <c r="E55" t="s">
        <v>2</v>
      </c>
      <c r="F55" t="s">
        <v>2</v>
      </c>
      <c r="G55" t="s">
        <v>24</v>
      </c>
      <c r="H55" t="s">
        <v>2</v>
      </c>
      <c r="I55" t="s">
        <v>24</v>
      </c>
      <c r="J55" s="7"/>
      <c r="K55" s="7"/>
    </row>
    <row r="56" spans="1:19" x14ac:dyDescent="0.2">
      <c r="A56" t="s">
        <v>30</v>
      </c>
      <c r="B56" s="7" t="s">
        <v>57</v>
      </c>
      <c r="C56">
        <v>1</v>
      </c>
      <c r="D56">
        <f>222/385</f>
        <v>0.57662337662337659</v>
      </c>
      <c r="E56" s="48">
        <f>1/2</f>
        <v>0.5</v>
      </c>
      <c r="F56" s="23">
        <f>1424/932</f>
        <v>1.5278969957081545</v>
      </c>
      <c r="G56" s="23"/>
      <c r="H56" s="23"/>
      <c r="I56">
        <f>100/47</f>
        <v>2.1276595744680851</v>
      </c>
      <c r="J56" s="7"/>
      <c r="K56" s="7"/>
    </row>
    <row r="57" spans="1:19" x14ac:dyDescent="0.2">
      <c r="A57" t="s">
        <v>31</v>
      </c>
      <c r="B57" s="7" t="s">
        <v>57</v>
      </c>
      <c r="C57">
        <v>2</v>
      </c>
      <c r="E57">
        <f>28/3</f>
        <v>9.3333333333333339</v>
      </c>
      <c r="F57">
        <f>1544/72</f>
        <v>21.444444444444443</v>
      </c>
      <c r="I57">
        <f>260/13</f>
        <v>20</v>
      </c>
      <c r="J57" s="7"/>
      <c r="K57" s="7"/>
    </row>
    <row r="58" spans="1:19" x14ac:dyDescent="0.2">
      <c r="A58" t="s">
        <v>32</v>
      </c>
      <c r="B58" s="7" t="s">
        <v>57</v>
      </c>
      <c r="C58">
        <v>3</v>
      </c>
      <c r="E58">
        <f>24/16</f>
        <v>1.5</v>
      </c>
      <c r="F58">
        <f>1576/156</f>
        <v>10.102564102564102</v>
      </c>
      <c r="I58">
        <f>740/21</f>
        <v>35.238095238095241</v>
      </c>
      <c r="J58" s="7"/>
      <c r="K58" s="7"/>
    </row>
    <row r="59" spans="1:19" x14ac:dyDescent="0.2">
      <c r="A59" s="6" t="s">
        <v>35</v>
      </c>
      <c r="B59" s="7" t="s">
        <v>57</v>
      </c>
      <c r="C59">
        <v>4</v>
      </c>
      <c r="D59">
        <f>495/324</f>
        <v>1.5277777777777777</v>
      </c>
      <c r="F59">
        <f>223/241</f>
        <v>0.92531120331950212</v>
      </c>
      <c r="J59" s="7"/>
      <c r="K59" s="7"/>
    </row>
    <row r="60" spans="1:19" x14ac:dyDescent="0.2">
      <c r="A60" s="6" t="s">
        <v>33</v>
      </c>
      <c r="B60" s="7" t="s">
        <v>57</v>
      </c>
      <c r="C60">
        <v>5</v>
      </c>
      <c r="D60">
        <f>354/229</f>
        <v>1.5458515283842795</v>
      </c>
      <c r="F60">
        <f>345/114</f>
        <v>3.0263157894736841</v>
      </c>
      <c r="J60" s="7"/>
      <c r="K60" s="7"/>
    </row>
    <row r="61" spans="1:19" x14ac:dyDescent="0.2">
      <c r="A61" s="6" t="s">
        <v>37</v>
      </c>
      <c r="B61" s="7" t="s">
        <v>57</v>
      </c>
      <c r="C61">
        <v>6</v>
      </c>
      <c r="D61">
        <f>482/502</f>
        <v>0.96015936254980083</v>
      </c>
      <c r="G61">
        <f>16/7</f>
        <v>2.2857142857142856</v>
      </c>
      <c r="J61" s="7"/>
      <c r="K61" s="7"/>
    </row>
    <row r="62" spans="1:19" x14ac:dyDescent="0.2">
      <c r="B62" s="9"/>
      <c r="J62" s="7"/>
      <c r="K62" s="7"/>
    </row>
    <row r="63" spans="1:19" x14ac:dyDescent="0.2">
      <c r="A63" t="s">
        <v>30</v>
      </c>
      <c r="B63" s="7" t="s">
        <v>59</v>
      </c>
      <c r="C63">
        <v>1</v>
      </c>
      <c r="E63" s="47">
        <f>2/8</f>
        <v>0.25</v>
      </c>
      <c r="F63">
        <f>1568/620</f>
        <v>2.5290322580645159</v>
      </c>
      <c r="G63">
        <f>48/58</f>
        <v>0.82758620689655171</v>
      </c>
      <c r="I63">
        <f>57/17</f>
        <v>3.3529411764705883</v>
      </c>
      <c r="J63" s="7"/>
      <c r="K63" s="7"/>
    </row>
    <row r="64" spans="1:19" x14ac:dyDescent="0.2">
      <c r="A64" t="s">
        <v>31</v>
      </c>
      <c r="B64" s="7" t="s">
        <v>59</v>
      </c>
      <c r="C64">
        <v>2</v>
      </c>
      <c r="E64">
        <f>22/10</f>
        <v>2.2000000000000002</v>
      </c>
      <c r="G64">
        <f>437/92</f>
        <v>4.75</v>
      </c>
      <c r="I64">
        <f>204/9</f>
        <v>22.666666666666668</v>
      </c>
      <c r="J64" s="7"/>
      <c r="K64" s="7"/>
    </row>
    <row r="65" spans="1:11" x14ac:dyDescent="0.2">
      <c r="A65" t="s">
        <v>33</v>
      </c>
      <c r="B65" s="7" t="s">
        <v>59</v>
      </c>
      <c r="C65">
        <v>3</v>
      </c>
      <c r="E65">
        <f>26/12</f>
        <v>2.1666666666666665</v>
      </c>
      <c r="G65">
        <f>360/80</f>
        <v>4.5</v>
      </c>
      <c r="H65">
        <f>2320/732</f>
        <v>3.1693989071038251</v>
      </c>
      <c r="J65" s="7"/>
      <c r="K65" s="7"/>
    </row>
    <row r="66" spans="1:11" x14ac:dyDescent="0.2">
      <c r="A66" s="6" t="s">
        <v>36</v>
      </c>
      <c r="B66" s="7" t="s">
        <v>59</v>
      </c>
      <c r="C66">
        <v>4</v>
      </c>
      <c r="E66">
        <f>7/9</f>
        <v>0.77777777777777779</v>
      </c>
      <c r="G66">
        <f>39/11</f>
        <v>3.5454545454545454</v>
      </c>
      <c r="J66" s="7"/>
      <c r="K66" s="7"/>
    </row>
    <row r="67" spans="1:11" x14ac:dyDescent="0.2">
      <c r="A67" s="6" t="s">
        <v>40</v>
      </c>
      <c r="B67" s="7" t="s">
        <v>59</v>
      </c>
      <c r="C67">
        <v>5</v>
      </c>
      <c r="E67" s="47">
        <f>1/5</f>
        <v>0.2</v>
      </c>
      <c r="G67">
        <f>56/18</f>
        <v>3.1111111111111112</v>
      </c>
      <c r="J67" s="7"/>
      <c r="K67" s="7"/>
    </row>
    <row r="68" spans="1:11" x14ac:dyDescent="0.2">
      <c r="A68" s="6" t="s">
        <v>58</v>
      </c>
      <c r="B68" s="7" t="s">
        <v>59</v>
      </c>
      <c r="C68">
        <v>6</v>
      </c>
      <c r="E68">
        <f>10/28</f>
        <v>0.35714285714285715</v>
      </c>
      <c r="G68">
        <f>29/13</f>
        <v>2.2307692307692308</v>
      </c>
      <c r="J68" s="7"/>
      <c r="K68" s="7"/>
    </row>
    <row r="69" spans="1:11" x14ac:dyDescent="0.2">
      <c r="B69" s="9"/>
      <c r="J69" s="7"/>
      <c r="K69" s="7"/>
    </row>
    <row r="70" spans="1:11" x14ac:dyDescent="0.2">
      <c r="A70" t="s">
        <v>53</v>
      </c>
      <c r="B70" s="8" t="s">
        <v>60</v>
      </c>
      <c r="C70">
        <v>1</v>
      </c>
      <c r="D70">
        <f>298/56</f>
        <v>5.3214285714285712</v>
      </c>
      <c r="E70">
        <v>1</v>
      </c>
      <c r="G70">
        <v>0</v>
      </c>
      <c r="J70" s="7"/>
      <c r="K70" s="7"/>
    </row>
    <row r="71" spans="1:11" x14ac:dyDescent="0.2">
      <c r="A71" t="s">
        <v>52</v>
      </c>
      <c r="B71" s="8" t="s">
        <v>60</v>
      </c>
      <c r="C71">
        <v>2</v>
      </c>
      <c r="D71">
        <f>296/62</f>
        <v>4.774193548387097</v>
      </c>
      <c r="E71">
        <v>0</v>
      </c>
      <c r="G71">
        <v>0</v>
      </c>
      <c r="J71" s="7"/>
      <c r="K71" s="7"/>
    </row>
    <row r="72" spans="1:11" x14ac:dyDescent="0.2">
      <c r="A72" t="s">
        <v>51</v>
      </c>
      <c r="B72" s="8" t="s">
        <v>60</v>
      </c>
      <c r="C72">
        <v>3</v>
      </c>
      <c r="E72">
        <f>23/1</f>
        <v>23</v>
      </c>
      <c r="G72">
        <v>0</v>
      </c>
      <c r="J72" s="7"/>
      <c r="K72" s="7"/>
    </row>
    <row r="73" spans="1:11" x14ac:dyDescent="0.2">
      <c r="A73" s="6" t="s">
        <v>38</v>
      </c>
      <c r="B73" s="8" t="s">
        <v>60</v>
      </c>
      <c r="C73">
        <v>4</v>
      </c>
      <c r="E73">
        <f>42/94</f>
        <v>0.44680851063829785</v>
      </c>
      <c r="F73">
        <f>60/522</f>
        <v>0.11494252873563218</v>
      </c>
      <c r="G73">
        <f>2/42</f>
        <v>4.7619047619047616E-2</v>
      </c>
      <c r="J73" s="7"/>
      <c r="K73" s="7"/>
    </row>
    <row r="74" spans="1:11" x14ac:dyDescent="0.2">
      <c r="A74" s="6" t="s">
        <v>39</v>
      </c>
      <c r="B74" s="8" t="s">
        <v>60</v>
      </c>
      <c r="C74">
        <v>5</v>
      </c>
      <c r="E74" s="47">
        <f>1/9</f>
        <v>0.1111111111111111</v>
      </c>
      <c r="F74">
        <f>157/1023</f>
        <v>0.15347018572825025</v>
      </c>
      <c r="G74">
        <f>1/12</f>
        <v>8.3333333333333329E-2</v>
      </c>
      <c r="J74" s="7"/>
      <c r="K74" s="7"/>
    </row>
    <row r="75" spans="1:11" x14ac:dyDescent="0.2">
      <c r="A75" s="6" t="s">
        <v>64</v>
      </c>
      <c r="B75" s="8" t="s">
        <v>60</v>
      </c>
      <c r="C75">
        <v>6</v>
      </c>
      <c r="E75" s="47">
        <f>1/7</f>
        <v>0.14285714285714285</v>
      </c>
      <c r="F75">
        <f>10/1105</f>
        <v>9.0497737556561094E-3</v>
      </c>
      <c r="G75">
        <f>1/8</f>
        <v>0.125</v>
      </c>
      <c r="J75" s="7"/>
      <c r="K75" s="7"/>
    </row>
    <row r="76" spans="1:11" x14ac:dyDescent="0.2">
      <c r="B76" s="9"/>
      <c r="J76" s="7"/>
      <c r="K76" s="7"/>
    </row>
    <row r="77" spans="1:11" x14ac:dyDescent="0.2">
      <c r="A77" t="s">
        <v>34</v>
      </c>
      <c r="B77" s="7" t="s">
        <v>61</v>
      </c>
      <c r="C77">
        <v>1</v>
      </c>
      <c r="D77">
        <f>648/108</f>
        <v>6</v>
      </c>
      <c r="F77">
        <f>1680/6</f>
        <v>280</v>
      </c>
      <c r="G77">
        <f>25/3</f>
        <v>8.3333333333333339</v>
      </c>
      <c r="J77" s="7"/>
      <c r="K77" s="7"/>
    </row>
    <row r="78" spans="1:11" x14ac:dyDescent="0.2">
      <c r="A78" t="s">
        <v>35</v>
      </c>
      <c r="B78" s="7" t="s">
        <v>61</v>
      </c>
      <c r="C78">
        <v>2</v>
      </c>
      <c r="E78">
        <f>20/3</f>
        <v>6.666666666666667</v>
      </c>
      <c r="F78">
        <f>560/1</f>
        <v>560</v>
      </c>
      <c r="G78" t="s">
        <v>73</v>
      </c>
      <c r="J78" s="7"/>
      <c r="K78" s="7"/>
    </row>
    <row r="79" spans="1:11" x14ac:dyDescent="0.2">
      <c r="A79" t="s">
        <v>36</v>
      </c>
      <c r="B79" s="7" t="s">
        <v>61</v>
      </c>
      <c r="C79">
        <v>3</v>
      </c>
      <c r="D79">
        <f>268/804</f>
        <v>0.33333333333333331</v>
      </c>
      <c r="E79">
        <f>7/1</f>
        <v>7</v>
      </c>
      <c r="F79">
        <f>476/2</f>
        <v>238</v>
      </c>
      <c r="G79" t="s">
        <v>73</v>
      </c>
      <c r="J79" s="7"/>
      <c r="K79" s="7"/>
    </row>
    <row r="80" spans="1:11" x14ac:dyDescent="0.2">
      <c r="A80" s="6" t="s">
        <v>64</v>
      </c>
      <c r="B80" s="7" t="s">
        <v>61</v>
      </c>
      <c r="C80">
        <v>4</v>
      </c>
      <c r="E80" s="47">
        <f>29/3</f>
        <v>9.6666666666666661</v>
      </c>
      <c r="F80">
        <f>4224/16</f>
        <v>264</v>
      </c>
      <c r="J80" s="7"/>
      <c r="K80" s="7"/>
    </row>
    <row r="81" spans="1:11" x14ac:dyDescent="0.2">
      <c r="A81" s="6" t="s">
        <v>33</v>
      </c>
      <c r="B81" s="7" t="s">
        <v>61</v>
      </c>
      <c r="C81">
        <v>5</v>
      </c>
      <c r="E81" s="47">
        <f>18/1</f>
        <v>18</v>
      </c>
      <c r="F81">
        <f>2224/2</f>
        <v>1112</v>
      </c>
      <c r="J81" s="7"/>
      <c r="K81" s="7"/>
    </row>
    <row r="82" spans="1:11" x14ac:dyDescent="0.2">
      <c r="A82" s="6" t="s">
        <v>30</v>
      </c>
      <c r="B82" s="7" t="s">
        <v>61</v>
      </c>
      <c r="C82">
        <v>6</v>
      </c>
      <c r="E82" s="47">
        <f>38/2</f>
        <v>19</v>
      </c>
      <c r="G82">
        <f>238/1</f>
        <v>238</v>
      </c>
      <c r="J82" s="7"/>
      <c r="K82" s="7"/>
    </row>
    <row r="83" spans="1:11" x14ac:dyDescent="0.2">
      <c r="B83" s="9"/>
      <c r="J83" s="7"/>
      <c r="K83" s="7"/>
    </row>
    <row r="84" spans="1:11" x14ac:dyDescent="0.2">
      <c r="A84" t="s">
        <v>37</v>
      </c>
      <c r="B84" s="7" t="s">
        <v>62</v>
      </c>
      <c r="C84">
        <v>1</v>
      </c>
      <c r="E84">
        <f>7/1</f>
        <v>7</v>
      </c>
      <c r="G84">
        <f>652/1</f>
        <v>652</v>
      </c>
      <c r="J84" s="7"/>
      <c r="K84" s="7"/>
    </row>
    <row r="85" spans="1:11" x14ac:dyDescent="0.2">
      <c r="A85" t="s">
        <v>38</v>
      </c>
      <c r="B85" s="7" t="s">
        <v>62</v>
      </c>
      <c r="C85">
        <v>2</v>
      </c>
      <c r="E85" s="47">
        <v>9</v>
      </c>
      <c r="G85">
        <f>684/1</f>
        <v>684</v>
      </c>
      <c r="J85" s="7"/>
      <c r="K85" s="7"/>
    </row>
    <row r="86" spans="1:11" x14ac:dyDescent="0.2">
      <c r="A86" t="s">
        <v>39</v>
      </c>
      <c r="B86" s="7" t="s">
        <v>62</v>
      </c>
      <c r="C86">
        <v>3</v>
      </c>
      <c r="D86">
        <f>256/27</f>
        <v>9.481481481481481</v>
      </c>
      <c r="E86" t="s">
        <v>73</v>
      </c>
      <c r="F86">
        <f>1980/6</f>
        <v>330</v>
      </c>
      <c r="G86" t="s">
        <v>73</v>
      </c>
      <c r="J86" s="7"/>
      <c r="K86" s="7"/>
    </row>
    <row r="87" spans="1:11" x14ac:dyDescent="0.2">
      <c r="A87" s="6" t="s">
        <v>41</v>
      </c>
      <c r="B87" s="7" t="s">
        <v>62</v>
      </c>
      <c r="C87">
        <v>4</v>
      </c>
      <c r="E87">
        <f>32/16</f>
        <v>2</v>
      </c>
      <c r="G87">
        <f>826/27</f>
        <v>30.592592592592592</v>
      </c>
      <c r="J87" s="7"/>
      <c r="K87" s="7"/>
    </row>
    <row r="88" spans="1:11" x14ac:dyDescent="0.2">
      <c r="A88" s="6" t="s">
        <v>34</v>
      </c>
      <c r="B88" s="7" t="s">
        <v>62</v>
      </c>
      <c r="C88">
        <v>5</v>
      </c>
      <c r="E88">
        <f>15/6</f>
        <v>2.5</v>
      </c>
      <c r="G88">
        <f>259/14</f>
        <v>18.5</v>
      </c>
      <c r="J88" s="7"/>
      <c r="K88" s="7"/>
    </row>
    <row r="89" spans="1:11" x14ac:dyDescent="0.2">
      <c r="A89" s="6" t="s">
        <v>33</v>
      </c>
      <c r="B89" s="7" t="s">
        <v>62</v>
      </c>
      <c r="C89">
        <v>6</v>
      </c>
      <c r="E89" s="47">
        <v>5</v>
      </c>
      <c r="G89">
        <f>390/7</f>
        <v>55.714285714285715</v>
      </c>
      <c r="J89" s="7"/>
      <c r="K89" s="7"/>
    </row>
    <row r="90" spans="1:11" x14ac:dyDescent="0.2">
      <c r="J90" s="7"/>
      <c r="K90" s="7"/>
    </row>
    <row r="91" spans="1:11" x14ac:dyDescent="0.2">
      <c r="A91" t="s">
        <v>40</v>
      </c>
      <c r="B91" s="7" t="s">
        <v>63</v>
      </c>
      <c r="C91">
        <v>1</v>
      </c>
      <c r="D91">
        <f>373/336</f>
        <v>1.1101190476190477</v>
      </c>
      <c r="G91">
        <f>84/56</f>
        <v>1.5</v>
      </c>
      <c r="I91">
        <f>43/49</f>
        <v>0.87755102040816324</v>
      </c>
      <c r="J91" s="7"/>
      <c r="K91" s="7"/>
    </row>
    <row r="92" spans="1:11" x14ac:dyDescent="0.2">
      <c r="A92" t="s">
        <v>41</v>
      </c>
      <c r="B92" s="7" t="s">
        <v>63</v>
      </c>
      <c r="C92">
        <v>2</v>
      </c>
      <c r="E92" s="47">
        <f>4/5</f>
        <v>0.8</v>
      </c>
      <c r="G92">
        <f>106/126</f>
        <v>0.84126984126984128</v>
      </c>
      <c r="I92">
        <f>632/268</f>
        <v>2.3582089552238807</v>
      </c>
      <c r="J92" s="7"/>
      <c r="K92" s="7"/>
    </row>
    <row r="93" spans="1:11" x14ac:dyDescent="0.2">
      <c r="A93" t="s">
        <v>42</v>
      </c>
      <c r="B93" s="7" t="s">
        <v>63</v>
      </c>
      <c r="C93">
        <v>3</v>
      </c>
      <c r="D93">
        <f>672/628</f>
        <v>1.0700636942675159</v>
      </c>
      <c r="E93">
        <f>6/20</f>
        <v>0.3</v>
      </c>
      <c r="G93">
        <f>131/200</f>
        <v>0.65500000000000003</v>
      </c>
      <c r="I93">
        <f>420/137</f>
        <v>3.0656934306569341</v>
      </c>
      <c r="J93" s="7"/>
      <c r="K93" s="7"/>
    </row>
    <row r="94" spans="1:11" x14ac:dyDescent="0.2">
      <c r="A94" s="6" t="s">
        <v>53</v>
      </c>
      <c r="B94" s="7" t="s">
        <v>63</v>
      </c>
      <c r="C94">
        <v>4</v>
      </c>
      <c r="D94">
        <f>535/146</f>
        <v>3.6643835616438358</v>
      </c>
      <c r="G94">
        <f>39/11</f>
        <v>3.5454545454545454</v>
      </c>
      <c r="H94" s="7"/>
      <c r="I94" s="7"/>
      <c r="J94" s="7"/>
      <c r="K94" s="7"/>
    </row>
    <row r="95" spans="1:11" x14ac:dyDescent="0.2">
      <c r="A95" s="6" t="s">
        <v>52</v>
      </c>
      <c r="B95" s="7" t="s">
        <v>63</v>
      </c>
      <c r="C95">
        <v>5</v>
      </c>
      <c r="D95">
        <f>10/10</f>
        <v>1</v>
      </c>
      <c r="G95">
        <f>56/18</f>
        <v>3.1111111111111112</v>
      </c>
      <c r="H95" s="7"/>
      <c r="I95" s="7"/>
      <c r="J95" s="7"/>
      <c r="K95" s="7"/>
    </row>
    <row r="96" spans="1:11" x14ac:dyDescent="0.2">
      <c r="A96" s="6" t="s">
        <v>33</v>
      </c>
      <c r="B96" s="7" t="s">
        <v>63</v>
      </c>
      <c r="C96">
        <v>6</v>
      </c>
      <c r="E96">
        <f>29/15</f>
        <v>1.9333333333333333</v>
      </c>
      <c r="G96">
        <f>29/13</f>
        <v>2.2307692307692308</v>
      </c>
      <c r="H96" s="7"/>
      <c r="I96" s="7"/>
      <c r="J96" s="7"/>
      <c r="K96" s="7"/>
    </row>
    <row r="97" spans="1:13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</row>
    <row r="98" spans="1:13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</row>
    <row r="101" spans="1:13" x14ac:dyDescent="0.2">
      <c r="A101" s="5" t="s">
        <v>74</v>
      </c>
    </row>
    <row r="102" spans="1:13" x14ac:dyDescent="0.2">
      <c r="A102" t="s">
        <v>27</v>
      </c>
      <c r="B102" t="s">
        <v>28</v>
      </c>
      <c r="C102" t="s">
        <v>29</v>
      </c>
      <c r="D102" t="s">
        <v>23</v>
      </c>
      <c r="F102" t="s">
        <v>50</v>
      </c>
      <c r="J102" t="s">
        <v>49</v>
      </c>
      <c r="L102" t="s">
        <v>130</v>
      </c>
    </row>
    <row r="103" spans="1:13" x14ac:dyDescent="0.2">
      <c r="A103" s="6" t="s">
        <v>30</v>
      </c>
      <c r="B103" s="7" t="s">
        <v>57</v>
      </c>
      <c r="C103">
        <v>1</v>
      </c>
      <c r="D103" s="23">
        <f>F56/D56</f>
        <v>2.6497312763407184</v>
      </c>
      <c r="F103">
        <f>I56/D56</f>
        <v>3.6898600728387962</v>
      </c>
      <c r="J103">
        <f>LOG10(D103)</f>
        <v>0.42320183200471823</v>
      </c>
      <c r="L103">
        <v>0.42320183200471823</v>
      </c>
      <c r="M103" t="s">
        <v>44</v>
      </c>
    </row>
    <row r="104" spans="1:13" x14ac:dyDescent="0.2">
      <c r="A104" s="6" t="s">
        <v>31</v>
      </c>
      <c r="B104" s="7" t="s">
        <v>57</v>
      </c>
      <c r="C104">
        <v>2</v>
      </c>
      <c r="D104">
        <f>F57/E57</f>
        <v>2.2976190476190474</v>
      </c>
      <c r="F104">
        <f>I57/E57</f>
        <v>2.1428571428571428</v>
      </c>
      <c r="J104">
        <f t="shared" ref="J104:J136" si="0">LOG10(D104)</f>
        <v>0.36127802294589206</v>
      </c>
      <c r="L104">
        <v>0.36127802294589206</v>
      </c>
      <c r="M104" t="s">
        <v>44</v>
      </c>
    </row>
    <row r="105" spans="1:13" x14ac:dyDescent="0.2">
      <c r="A105" s="6" t="s">
        <v>32</v>
      </c>
      <c r="B105" s="7" t="s">
        <v>57</v>
      </c>
      <c r="C105">
        <v>3</v>
      </c>
      <c r="D105">
        <f>F58/E58</f>
        <v>6.7350427350427351</v>
      </c>
      <c r="F105">
        <f>I58/E58</f>
        <v>23.492063492063494</v>
      </c>
      <c r="J105">
        <f t="shared" si="0"/>
        <v>0.82834035574339371</v>
      </c>
      <c r="L105">
        <v>0.82834035574339371</v>
      </c>
      <c r="M105" t="s">
        <v>44</v>
      </c>
    </row>
    <row r="106" spans="1:13" x14ac:dyDescent="0.2">
      <c r="A106" s="6" t="s">
        <v>35</v>
      </c>
      <c r="B106" s="7" t="s">
        <v>57</v>
      </c>
      <c r="C106">
        <v>4</v>
      </c>
      <c r="D106">
        <f>F59/D59</f>
        <v>0.60565824217276509</v>
      </c>
      <c r="J106">
        <v>0.217772368253664</v>
      </c>
      <c r="L106">
        <v>0.217772368253664</v>
      </c>
      <c r="M106" t="s">
        <v>44</v>
      </c>
    </row>
    <row r="107" spans="1:13" x14ac:dyDescent="0.2">
      <c r="A107" s="6" t="s">
        <v>33</v>
      </c>
      <c r="B107" s="7" t="s">
        <v>57</v>
      </c>
      <c r="C107">
        <v>5</v>
      </c>
      <c r="D107">
        <f>F60/D60</f>
        <v>1.9577014570324114</v>
      </c>
      <c r="J107">
        <f t="shared" si="0"/>
        <v>0.29174646405090165</v>
      </c>
      <c r="L107">
        <v>0.29174646405090165</v>
      </c>
      <c r="M107" t="s">
        <v>44</v>
      </c>
    </row>
    <row r="108" spans="1:13" x14ac:dyDescent="0.2">
      <c r="A108" s="6" t="s">
        <v>37</v>
      </c>
      <c r="B108" s="7" t="s">
        <v>57</v>
      </c>
      <c r="C108">
        <v>6</v>
      </c>
      <c r="D108">
        <f>G61/D61</f>
        <v>2.3805572021339656</v>
      </c>
      <c r="J108">
        <f t="shared" si="0"/>
        <v>0.37667862154783771</v>
      </c>
      <c r="L108">
        <v>0.37667862154783771</v>
      </c>
      <c r="M108" t="s">
        <v>44</v>
      </c>
    </row>
    <row r="109" spans="1:13" x14ac:dyDescent="0.2">
      <c r="A109" s="6"/>
      <c r="C109" t="s">
        <v>75</v>
      </c>
      <c r="D109">
        <f>AVERAGE(D103:D108)</f>
        <v>2.7710516600569406</v>
      </c>
    </row>
    <row r="110" spans="1:13" x14ac:dyDescent="0.2">
      <c r="A110" s="6" t="s">
        <v>30</v>
      </c>
      <c r="B110" s="7" t="s">
        <v>59</v>
      </c>
      <c r="C110">
        <v>1</v>
      </c>
      <c r="D110" s="47">
        <f>F63/E63</f>
        <v>10.116129032258064</v>
      </c>
      <c r="F110">
        <f>I63/E63</f>
        <v>13.411764705882353</v>
      </c>
      <c r="J110" s="47">
        <f t="shared" si="0"/>
        <v>1.0050143601781281</v>
      </c>
      <c r="L110">
        <v>0.33427092880266024</v>
      </c>
      <c r="M110" t="s">
        <v>45</v>
      </c>
    </row>
    <row r="111" spans="1:13" x14ac:dyDescent="0.2">
      <c r="A111" s="6" t="s">
        <v>31</v>
      </c>
      <c r="B111" s="7" t="s">
        <v>59</v>
      </c>
      <c r="C111">
        <v>2</v>
      </c>
      <c r="D111">
        <f>G64/E64</f>
        <v>2.1590909090909087</v>
      </c>
      <c r="F111">
        <f>I64/E64</f>
        <v>10.303030303030303</v>
      </c>
      <c r="J111">
        <f t="shared" si="0"/>
        <v>0.33427092880266024</v>
      </c>
      <c r="L111">
        <v>0.31742041185215059</v>
      </c>
      <c r="M111" t="s">
        <v>45</v>
      </c>
    </row>
    <row r="112" spans="1:13" x14ac:dyDescent="0.2">
      <c r="A112" s="6" t="s">
        <v>33</v>
      </c>
      <c r="B112" s="7" t="s">
        <v>59</v>
      </c>
      <c r="C112">
        <v>3</v>
      </c>
      <c r="D112">
        <f>G65/E65</f>
        <v>2.0769230769230771</v>
      </c>
      <c r="F112">
        <f>H65/E65</f>
        <v>1.462799495586381</v>
      </c>
      <c r="J112">
        <f t="shared" si="0"/>
        <v>0.31742041185215059</v>
      </c>
      <c r="L112">
        <v>0.65881639129334213</v>
      </c>
      <c r="M112" t="s">
        <v>45</v>
      </c>
    </row>
    <row r="113" spans="1:13" x14ac:dyDescent="0.2">
      <c r="A113" s="6" t="s">
        <v>36</v>
      </c>
      <c r="B113" s="7" t="s">
        <v>59</v>
      </c>
      <c r="C113">
        <v>4</v>
      </c>
      <c r="D113">
        <f>G66/E66</f>
        <v>4.5584415584415581</v>
      </c>
      <c r="J113">
        <f t="shared" si="0"/>
        <v>0.65881639129334213</v>
      </c>
      <c r="L113">
        <v>0.79561267693433857</v>
      </c>
      <c r="M113" t="s">
        <v>45</v>
      </c>
    </row>
    <row r="114" spans="1:13" x14ac:dyDescent="0.2">
      <c r="A114" s="6" t="s">
        <v>40</v>
      </c>
      <c r="B114" s="7" t="s">
        <v>59</v>
      </c>
      <c r="C114">
        <v>5</v>
      </c>
      <c r="D114" s="47">
        <f>G67/E67</f>
        <v>15.555555555555555</v>
      </c>
      <c r="J114" s="47">
        <f t="shared" si="0"/>
        <v>1.1918855262389132</v>
      </c>
    </row>
    <row r="115" spans="1:13" x14ac:dyDescent="0.2">
      <c r="A115" s="6" t="s">
        <v>58</v>
      </c>
      <c r="B115" s="7" t="s">
        <v>59</v>
      </c>
      <c r="C115">
        <v>6</v>
      </c>
      <c r="D115">
        <f>G68/E68</f>
        <v>6.2461538461538462</v>
      </c>
      <c r="J115">
        <f t="shared" si="0"/>
        <v>0.79561267693433857</v>
      </c>
    </row>
    <row r="116" spans="1:13" x14ac:dyDescent="0.2">
      <c r="C116" t="s">
        <v>75</v>
      </c>
      <c r="D116">
        <f>AVERAGE(D110:D115)</f>
        <v>6.7853823297371676</v>
      </c>
    </row>
    <row r="117" spans="1:13" x14ac:dyDescent="0.2">
      <c r="A117" s="6" t="s">
        <v>34</v>
      </c>
      <c r="B117" s="7" t="s">
        <v>61</v>
      </c>
      <c r="C117">
        <v>1</v>
      </c>
      <c r="D117">
        <f>F77/D77</f>
        <v>46.666666666666664</v>
      </c>
      <c r="J117">
        <f t="shared" si="0"/>
        <v>1.6690067809585756</v>
      </c>
      <c r="L117">
        <v>1.6690067809585756</v>
      </c>
      <c r="M117" t="s">
        <v>46</v>
      </c>
    </row>
    <row r="118" spans="1:13" x14ac:dyDescent="0.2">
      <c r="A118" s="6" t="s">
        <v>35</v>
      </c>
      <c r="B118" s="7" t="s">
        <v>61</v>
      </c>
      <c r="C118">
        <v>2</v>
      </c>
      <c r="D118">
        <f>F78/E78</f>
        <v>84</v>
      </c>
      <c r="J118">
        <f t="shared" si="0"/>
        <v>1.9242792860618816</v>
      </c>
      <c r="L118">
        <v>1.9242792860618816</v>
      </c>
      <c r="M118" t="s">
        <v>46</v>
      </c>
    </row>
    <row r="119" spans="1:13" x14ac:dyDescent="0.2">
      <c r="A119" s="6" t="s">
        <v>36</v>
      </c>
      <c r="B119" s="7" t="s">
        <v>61</v>
      </c>
      <c r="C119">
        <v>3</v>
      </c>
      <c r="D119">
        <f>F79/E79</f>
        <v>34</v>
      </c>
      <c r="J119">
        <f t="shared" si="0"/>
        <v>1.5314789170422551</v>
      </c>
      <c r="L119">
        <v>1.5314789170422551</v>
      </c>
      <c r="M119" t="s">
        <v>46</v>
      </c>
    </row>
    <row r="120" spans="1:13" x14ac:dyDescent="0.2">
      <c r="A120" s="6" t="s">
        <v>64</v>
      </c>
      <c r="B120" s="7" t="s">
        <v>61</v>
      </c>
      <c r="C120">
        <v>4</v>
      </c>
      <c r="D120" s="47">
        <f>F80/E80</f>
        <v>27.31034482758621</v>
      </c>
      <c r="J120" s="47">
        <f t="shared" si="0"/>
        <v>1.4363271836905374</v>
      </c>
    </row>
    <row r="121" spans="1:13" x14ac:dyDescent="0.2">
      <c r="A121" s="6" t="s">
        <v>33</v>
      </c>
      <c r="B121" s="7" t="s">
        <v>61</v>
      </c>
      <c r="C121">
        <v>5</v>
      </c>
      <c r="D121" s="47">
        <f>F81/E81</f>
        <v>61.777777777777779</v>
      </c>
      <c r="J121" s="47">
        <f t="shared" si="0"/>
        <v>1.7908322821427327</v>
      </c>
    </row>
    <row r="122" spans="1:13" x14ac:dyDescent="0.2">
      <c r="A122" s="6" t="s">
        <v>30</v>
      </c>
      <c r="B122" s="7" t="s">
        <v>61</v>
      </c>
      <c r="C122">
        <v>6</v>
      </c>
      <c r="D122" s="47">
        <f>G82/E82</f>
        <v>12.526315789473685</v>
      </c>
      <c r="J122" s="47">
        <f t="shared" si="0"/>
        <v>1.097823356103683</v>
      </c>
    </row>
    <row r="123" spans="1:13" x14ac:dyDescent="0.2">
      <c r="A123" s="6"/>
      <c r="C123" t="s">
        <v>75</v>
      </c>
      <c r="D123">
        <f>AVERAGE(D117:D122)</f>
        <v>44.380184176917389</v>
      </c>
    </row>
    <row r="124" spans="1:13" x14ac:dyDescent="0.2">
      <c r="A124" s="6" t="s">
        <v>37</v>
      </c>
      <c r="B124" s="7" t="s">
        <v>62</v>
      </c>
      <c r="C124">
        <v>1</v>
      </c>
      <c r="D124">
        <f>G84/E84</f>
        <v>93.142857142857139</v>
      </c>
      <c r="J124">
        <f t="shared" si="0"/>
        <v>1.9691495557176633</v>
      </c>
      <c r="L124">
        <v>1.9691495557176633</v>
      </c>
      <c r="M124" t="s">
        <v>47</v>
      </c>
    </row>
    <row r="125" spans="1:13" x14ac:dyDescent="0.2">
      <c r="A125" s="6" t="s">
        <v>38</v>
      </c>
      <c r="B125" s="7" t="s">
        <v>62</v>
      </c>
      <c r="C125">
        <v>2</v>
      </c>
      <c r="D125" s="47">
        <f>G85/E85</f>
        <v>76</v>
      </c>
      <c r="J125" s="47">
        <f t="shared" si="0"/>
        <v>1.8808135922807914</v>
      </c>
      <c r="L125">
        <v>1.5416377387250253</v>
      </c>
      <c r="M125" t="s">
        <v>47</v>
      </c>
    </row>
    <row r="126" spans="1:13" x14ac:dyDescent="0.2">
      <c r="A126" s="6" t="s">
        <v>39</v>
      </c>
      <c r="B126" s="7" t="s">
        <v>62</v>
      </c>
      <c r="C126">
        <v>3</v>
      </c>
      <c r="D126">
        <f>F86/D86</f>
        <v>34.8046875</v>
      </c>
      <c r="J126">
        <f t="shared" si="0"/>
        <v>1.5416377387250253</v>
      </c>
      <c r="L126">
        <v>1.1845862874974138</v>
      </c>
      <c r="M126" t="s">
        <v>47</v>
      </c>
    </row>
    <row r="127" spans="1:13" x14ac:dyDescent="0.2">
      <c r="A127" s="6" t="s">
        <v>41</v>
      </c>
      <c r="B127" s="7" t="s">
        <v>62</v>
      </c>
      <c r="C127">
        <v>4</v>
      </c>
      <c r="D127">
        <f>G87/E87</f>
        <v>15.296296296296296</v>
      </c>
      <c r="J127">
        <f t="shared" si="0"/>
        <v>1.1845862874974138</v>
      </c>
      <c r="L127">
        <v>0.86923171973097624</v>
      </c>
      <c r="M127" t="s">
        <v>47</v>
      </c>
    </row>
    <row r="128" spans="1:13" x14ac:dyDescent="0.2">
      <c r="A128" s="6" t="s">
        <v>34</v>
      </c>
      <c r="B128" s="7" t="s">
        <v>62</v>
      </c>
      <c r="C128">
        <v>5</v>
      </c>
      <c r="D128">
        <f t="shared" ref="D128:D129" si="1">G88/E88</f>
        <v>7.4</v>
      </c>
      <c r="J128">
        <f t="shared" si="0"/>
        <v>0.86923171973097624</v>
      </c>
    </row>
    <row r="129" spans="1:14" x14ac:dyDescent="0.2">
      <c r="A129" s="6" t="s">
        <v>33</v>
      </c>
      <c r="B129" s="7" t="s">
        <v>62</v>
      </c>
      <c r="C129">
        <v>6</v>
      </c>
      <c r="D129" s="47">
        <f t="shared" si="1"/>
        <v>11.142857142857142</v>
      </c>
      <c r="J129" s="47">
        <f t="shared" si="0"/>
        <v>1.0469965626762237</v>
      </c>
    </row>
    <row r="130" spans="1:14" x14ac:dyDescent="0.2">
      <c r="C130" t="s">
        <v>75</v>
      </c>
      <c r="D130">
        <f>AVERAGE(D124:D129)</f>
        <v>39.631116347001765</v>
      </c>
    </row>
    <row r="131" spans="1:14" x14ac:dyDescent="0.2">
      <c r="A131" s="6" t="s">
        <v>40</v>
      </c>
      <c r="B131" s="7" t="s">
        <v>63</v>
      </c>
      <c r="C131">
        <v>1</v>
      </c>
      <c r="D131">
        <f>G91/D91</f>
        <v>1.3512064343163539</v>
      </c>
      <c r="J131">
        <f t="shared" si="0"/>
        <v>0.13072170463683769</v>
      </c>
      <c r="L131">
        <v>0.13072170463683769</v>
      </c>
      <c r="M131" t="s">
        <v>48</v>
      </c>
    </row>
    <row r="132" spans="1:14" x14ac:dyDescent="0.2">
      <c r="A132" s="6" t="s">
        <v>41</v>
      </c>
      <c r="B132" s="7" t="s">
        <v>63</v>
      </c>
      <c r="C132">
        <v>2</v>
      </c>
      <c r="D132" s="47">
        <f>G92/E92</f>
        <v>1.0515873015873016</v>
      </c>
      <c r="J132" s="47">
        <f t="shared" si="0"/>
        <v>2.1845333155263772E-2</v>
      </c>
      <c r="L132">
        <v>0.3391200452721207</v>
      </c>
      <c r="M132" t="s">
        <v>48</v>
      </c>
    </row>
    <row r="133" spans="1:14" x14ac:dyDescent="0.2">
      <c r="A133" s="6" t="s">
        <v>42</v>
      </c>
      <c r="B133" s="7" t="s">
        <v>63</v>
      </c>
      <c r="C133">
        <v>3</v>
      </c>
      <c r="D133">
        <f>G93/E93</f>
        <v>2.1833333333333336</v>
      </c>
      <c r="J133">
        <f t="shared" si="0"/>
        <v>0.3391200452721207</v>
      </c>
      <c r="L133">
        <v>-1.4329004368517235E-2</v>
      </c>
      <c r="M133" t="s">
        <v>48</v>
      </c>
    </row>
    <row r="134" spans="1:14" x14ac:dyDescent="0.2">
      <c r="A134" s="6" t="s">
        <v>53</v>
      </c>
      <c r="B134" s="7" t="s">
        <v>63</v>
      </c>
      <c r="C134">
        <v>4</v>
      </c>
      <c r="D134">
        <f>G94/D94</f>
        <v>0.96754460492778238</v>
      </c>
      <c r="J134">
        <f t="shared" si="0"/>
        <v>-1.4329004368517235E-2</v>
      </c>
      <c r="L134">
        <v>0.49291552190289434</v>
      </c>
      <c r="M134" t="s">
        <v>48</v>
      </c>
    </row>
    <row r="135" spans="1:14" x14ac:dyDescent="0.2">
      <c r="A135" s="6" t="s">
        <v>52</v>
      </c>
      <c r="B135" s="7" t="s">
        <v>63</v>
      </c>
      <c r="C135">
        <v>5</v>
      </c>
      <c r="D135">
        <f>G95/D95</f>
        <v>3.1111111111111112</v>
      </c>
      <c r="J135">
        <f t="shared" si="0"/>
        <v>0.49291552190289434</v>
      </c>
      <c r="L135">
        <v>6.2147906748844517E-2</v>
      </c>
      <c r="M135" t="s">
        <v>48</v>
      </c>
    </row>
    <row r="136" spans="1:14" x14ac:dyDescent="0.2">
      <c r="A136" s="6" t="s">
        <v>33</v>
      </c>
      <c r="B136" s="7" t="s">
        <v>63</v>
      </c>
      <c r="C136">
        <v>6</v>
      </c>
      <c r="D136">
        <f>G96/E96</f>
        <v>1.153846153846154</v>
      </c>
      <c r="J136">
        <f t="shared" si="0"/>
        <v>6.2147906748844517E-2</v>
      </c>
    </row>
    <row r="137" spans="1:14" x14ac:dyDescent="0.2">
      <c r="C137" t="s">
        <v>75</v>
      </c>
      <c r="D137">
        <f>AVERAGE(D131:D136)</f>
        <v>1.6364381565203392</v>
      </c>
      <c r="I137" t="s">
        <v>131</v>
      </c>
      <c r="M137" t="s">
        <v>132</v>
      </c>
    </row>
    <row r="138" spans="1:14" x14ac:dyDescent="0.2">
      <c r="J138" t="s">
        <v>43</v>
      </c>
      <c r="K138" t="s">
        <v>20</v>
      </c>
      <c r="M138" t="s">
        <v>43</v>
      </c>
      <c r="N138" t="s">
        <v>20</v>
      </c>
    </row>
    <row r="139" spans="1:14" x14ac:dyDescent="0.2">
      <c r="I139" t="s">
        <v>44</v>
      </c>
      <c r="J139">
        <f>AVERAGE(J103:J108)</f>
        <v>0.41650294409106792</v>
      </c>
      <c r="K139">
        <f>STDEV(J103:J108)/SQRT(6)</f>
        <v>8.7435446359388172E-2</v>
      </c>
      <c r="M139">
        <f>AVERAGE(L103:L108)</f>
        <v>0.41650294409106792</v>
      </c>
      <c r="N139">
        <f>STDEV(L103:L108)/SQRT(6)</f>
        <v>8.7435446359388172E-2</v>
      </c>
    </row>
    <row r="140" spans="1:14" x14ac:dyDescent="0.2">
      <c r="I140" t="s">
        <v>45</v>
      </c>
      <c r="J140">
        <f>AVERAGE(J110:J115)</f>
        <v>0.71717004921658878</v>
      </c>
      <c r="K140">
        <f>STDEV(J110:J115)/SQRT(6)</f>
        <v>0.14424273935517004</v>
      </c>
      <c r="M140">
        <f>AVERAGE(L110:L113)</f>
        <v>0.52653010222062291</v>
      </c>
      <c r="N140">
        <f>STDEV(L110:L113)/SQRT(4)</f>
        <v>0.119232107903223</v>
      </c>
    </row>
    <row r="141" spans="1:14" x14ac:dyDescent="0.2">
      <c r="A141" s="6"/>
      <c r="I141" t="s">
        <v>46</v>
      </c>
      <c r="J141">
        <f>AVERAGE(J117:J122)</f>
        <v>1.574957967666611</v>
      </c>
      <c r="K141">
        <f>STDEV(J117:J122)/SQRT(6)</f>
        <v>0.11919712553551683</v>
      </c>
      <c r="M141">
        <f>AVERAGE(L117:L119)</f>
        <v>1.7082549946875707</v>
      </c>
      <c r="N141">
        <f>STDEV(L117:L119)/SQRT(3)</f>
        <v>0.11507729168719076</v>
      </c>
    </row>
    <row r="142" spans="1:14" x14ac:dyDescent="0.2">
      <c r="A142" s="6"/>
      <c r="I142" t="s">
        <v>47</v>
      </c>
      <c r="J142">
        <f>AVERAGE(J124:J129)</f>
        <v>1.4154025761046822</v>
      </c>
      <c r="K142">
        <f>STDEV(J124:J129)/SQRT(6)</f>
        <v>0.18497569226423921</v>
      </c>
      <c r="M142">
        <f>AVERAGE(L124:L127)</f>
        <v>1.3911513254177696</v>
      </c>
      <c r="N142">
        <f>STDEV(L124:L127)/SQRT(4)</f>
        <v>0.23660749926675098</v>
      </c>
    </row>
    <row r="143" spans="1:14" x14ac:dyDescent="0.2">
      <c r="A143" s="6"/>
      <c r="I143" t="s">
        <v>48</v>
      </c>
      <c r="J143">
        <f>AVERAGE(J131:J136)</f>
        <v>0.17207025122457398</v>
      </c>
      <c r="K143">
        <f>STDEV(J131:J136)/SQRT(6)</f>
        <v>8.2047172208537258E-2</v>
      </c>
      <c r="M143">
        <f>AVERAGE(L131:L135)</f>
        <v>0.20211523483843602</v>
      </c>
      <c r="N143">
        <f>STDEV(L131:L135)/SQRT(5)</f>
        <v>9.3506984448169392E-2</v>
      </c>
    </row>
    <row r="144" spans="1:14" x14ac:dyDescent="0.2">
      <c r="A144" s="6"/>
    </row>
    <row r="145" spans="1:5" x14ac:dyDescent="0.2">
      <c r="A145" s="6"/>
    </row>
    <row r="146" spans="1:5" x14ac:dyDescent="0.2">
      <c r="A146" s="6"/>
    </row>
    <row r="147" spans="1:5" x14ac:dyDescent="0.2">
      <c r="A147" s="6"/>
    </row>
    <row r="148" spans="1:5" x14ac:dyDescent="0.2">
      <c r="A148" s="6"/>
    </row>
    <row r="149" spans="1:5" x14ac:dyDescent="0.2">
      <c r="A149" t="s">
        <v>66</v>
      </c>
    </row>
    <row r="150" spans="1:5" x14ac:dyDescent="0.2">
      <c r="A150" t="s">
        <v>67</v>
      </c>
      <c r="B150" t="s">
        <v>68</v>
      </c>
      <c r="C150" t="s">
        <v>69</v>
      </c>
      <c r="D150" t="s">
        <v>70</v>
      </c>
      <c r="E150" t="s">
        <v>71</v>
      </c>
    </row>
    <row r="151" spans="1:5" x14ac:dyDescent="0.2">
      <c r="A151" t="s">
        <v>44</v>
      </c>
      <c r="B151">
        <v>21</v>
      </c>
      <c r="C151">
        <v>13</v>
      </c>
      <c r="D151">
        <f>B151-C151</f>
        <v>8</v>
      </c>
      <c r="E151">
        <f>D151/B151</f>
        <v>0.38095238095238093</v>
      </c>
    </row>
    <row r="152" spans="1:5" x14ac:dyDescent="0.2">
      <c r="A152" t="s">
        <v>45</v>
      </c>
      <c r="B152">
        <v>21</v>
      </c>
      <c r="C152">
        <v>11</v>
      </c>
      <c r="D152">
        <f t="shared" ref="D152:D156" si="2">B152-C152</f>
        <v>10</v>
      </c>
      <c r="E152">
        <f t="shared" ref="E152:E156" si="3">D152/B152</f>
        <v>0.47619047619047616</v>
      </c>
    </row>
    <row r="153" spans="1:5" x14ac:dyDescent="0.2">
      <c r="A153" t="s">
        <v>46</v>
      </c>
      <c r="B153">
        <v>22</v>
      </c>
      <c r="C153">
        <v>10</v>
      </c>
      <c r="D153">
        <f t="shared" si="2"/>
        <v>12</v>
      </c>
      <c r="E153">
        <f t="shared" si="3"/>
        <v>0.54545454545454541</v>
      </c>
    </row>
    <row r="154" spans="1:5" x14ac:dyDescent="0.2">
      <c r="A154" t="s">
        <v>47</v>
      </c>
      <c r="B154">
        <v>17</v>
      </c>
      <c r="C154">
        <v>6</v>
      </c>
      <c r="D154">
        <f t="shared" si="2"/>
        <v>11</v>
      </c>
      <c r="E154">
        <f t="shared" si="3"/>
        <v>0.6470588235294118</v>
      </c>
    </row>
    <row r="155" spans="1:5" x14ac:dyDescent="0.2">
      <c r="A155" t="s">
        <v>72</v>
      </c>
      <c r="B155">
        <v>21</v>
      </c>
      <c r="C155">
        <v>6</v>
      </c>
      <c r="D155">
        <f t="shared" si="2"/>
        <v>15</v>
      </c>
      <c r="E155">
        <f t="shared" si="3"/>
        <v>0.7142857142857143</v>
      </c>
    </row>
    <row r="156" spans="1:5" x14ac:dyDescent="0.2">
      <c r="A156" t="s">
        <v>48</v>
      </c>
      <c r="B156">
        <v>20</v>
      </c>
      <c r="C156">
        <v>13</v>
      </c>
      <c r="D156">
        <f t="shared" si="2"/>
        <v>7</v>
      </c>
      <c r="E156">
        <f t="shared" si="3"/>
        <v>0.35</v>
      </c>
    </row>
  </sheetData>
  <mergeCells count="15">
    <mergeCell ref="D54:E54"/>
    <mergeCell ref="F54:G54"/>
    <mergeCell ref="H54:I54"/>
    <mergeCell ref="R3:S3"/>
    <mergeCell ref="P2:S2"/>
    <mergeCell ref="D2:G2"/>
    <mergeCell ref="D3:E3"/>
    <mergeCell ref="F3:G3"/>
    <mergeCell ref="H3:I3"/>
    <mergeCell ref="J3:K3"/>
    <mergeCell ref="L3:M3"/>
    <mergeCell ref="H2:K2"/>
    <mergeCell ref="N3:O3"/>
    <mergeCell ref="L2:O2"/>
    <mergeCell ref="P3:Q3"/>
  </mergeCells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tabSelected="1" topLeftCell="A41" workbookViewId="0">
      <selection activeCell="G59" sqref="G59:H90"/>
    </sheetView>
  </sheetViews>
  <sheetFormatPr baseColWidth="10" defaultColWidth="11" defaultRowHeight="16" x14ac:dyDescent="0.2"/>
  <cols>
    <col min="3" max="3" width="11.5" customWidth="1"/>
    <col min="5" max="5" width="11.5" customWidth="1"/>
    <col min="10" max="10" width="13.33203125" customWidth="1"/>
  </cols>
  <sheetData>
    <row r="1" spans="1:18" x14ac:dyDescent="0.2">
      <c r="C1" s="50" t="s">
        <v>104</v>
      </c>
      <c r="D1" s="50"/>
      <c r="E1" s="50"/>
      <c r="F1" s="50"/>
      <c r="G1" s="50"/>
    </row>
    <row r="2" spans="1:18" x14ac:dyDescent="0.2">
      <c r="A2" s="24"/>
      <c r="B2" s="24"/>
      <c r="C2" s="24" t="s">
        <v>22</v>
      </c>
      <c r="D2" s="57" t="s">
        <v>83</v>
      </c>
      <c r="E2" s="57"/>
      <c r="F2" s="57" t="s">
        <v>23</v>
      </c>
      <c r="G2" s="57"/>
      <c r="H2" s="24"/>
      <c r="I2" s="24"/>
      <c r="J2" s="27" t="s">
        <v>76</v>
      </c>
      <c r="K2" s="24"/>
      <c r="L2" s="24"/>
      <c r="M2" s="24"/>
      <c r="N2" s="27" t="s">
        <v>77</v>
      </c>
      <c r="O2" s="24"/>
      <c r="P2" s="24"/>
      <c r="Q2" s="24"/>
      <c r="R2" s="24"/>
    </row>
    <row r="3" spans="1:18" x14ac:dyDescent="0.2">
      <c r="A3" s="24" t="s">
        <v>84</v>
      </c>
      <c r="B3" s="24" t="s">
        <v>85</v>
      </c>
      <c r="C3" s="24" t="s">
        <v>35</v>
      </c>
      <c r="D3" s="24" t="s">
        <v>58</v>
      </c>
      <c r="E3" s="24" t="s">
        <v>35</v>
      </c>
      <c r="F3" s="24" t="s">
        <v>58</v>
      </c>
      <c r="G3" s="24" t="s">
        <v>35</v>
      </c>
      <c r="H3" s="24"/>
      <c r="I3" s="24"/>
      <c r="J3" s="29" t="s">
        <v>86</v>
      </c>
      <c r="K3" s="24" t="s">
        <v>87</v>
      </c>
      <c r="L3" s="24" t="s">
        <v>78</v>
      </c>
      <c r="M3" s="24"/>
      <c r="N3" s="29" t="s">
        <v>86</v>
      </c>
      <c r="O3" s="24" t="s">
        <v>87</v>
      </c>
      <c r="P3" s="24" t="s">
        <v>78</v>
      </c>
      <c r="Q3" s="24"/>
      <c r="R3" s="24"/>
    </row>
    <row r="4" spans="1:18" x14ac:dyDescent="0.2">
      <c r="A4" s="24" t="s">
        <v>80</v>
      </c>
      <c r="B4" s="24">
        <v>1</v>
      </c>
      <c r="C4" s="46">
        <v>5</v>
      </c>
      <c r="D4" s="29">
        <v>2732</v>
      </c>
      <c r="E4" s="29">
        <v>144</v>
      </c>
      <c r="F4" s="29">
        <v>202400</v>
      </c>
      <c r="G4" s="29">
        <v>13200</v>
      </c>
      <c r="H4" s="29"/>
      <c r="I4" s="29"/>
      <c r="J4" s="29">
        <f>F4/G4</f>
        <v>15.333333333333334</v>
      </c>
      <c r="K4" s="29">
        <f>D4/E4</f>
        <v>18.972222222222221</v>
      </c>
      <c r="L4" s="29">
        <f>J4/K4</f>
        <v>0.80819912152269402</v>
      </c>
      <c r="M4" s="24"/>
      <c r="N4" s="29">
        <f>G4/F4</f>
        <v>6.5217391304347824E-2</v>
      </c>
      <c r="O4" s="29">
        <f>E4/D4</f>
        <v>5.2708638360175697E-2</v>
      </c>
      <c r="P4" s="29">
        <f>N4/O4</f>
        <v>1.23731884057971</v>
      </c>
      <c r="Q4" s="24"/>
      <c r="R4" s="24"/>
    </row>
    <row r="5" spans="1:18" x14ac:dyDescent="0.2">
      <c r="A5" s="24" t="s">
        <v>80</v>
      </c>
      <c r="B5" s="24">
        <v>2</v>
      </c>
      <c r="C5" s="29">
        <v>10</v>
      </c>
      <c r="D5" s="29">
        <v>4144</v>
      </c>
      <c r="E5" s="29">
        <v>184</v>
      </c>
      <c r="F5" s="29">
        <v>130000</v>
      </c>
      <c r="G5" s="29">
        <v>60000</v>
      </c>
      <c r="H5" s="29"/>
      <c r="I5" s="29"/>
      <c r="J5" s="29">
        <f>G5/F5</f>
        <v>0.46153846153846156</v>
      </c>
      <c r="K5" s="29">
        <f>D5/E5</f>
        <v>22.521739130434781</v>
      </c>
      <c r="L5" s="29">
        <f>J5/K5</f>
        <v>2.0493020493020497E-2</v>
      </c>
      <c r="M5" s="24"/>
      <c r="N5" s="29">
        <f t="shared" ref="N5:N6" si="0">G5/F5</f>
        <v>0.46153846153846156</v>
      </c>
      <c r="O5" s="29">
        <f t="shared" ref="O5" si="1">E5/D5</f>
        <v>4.4401544401544403E-2</v>
      </c>
      <c r="P5" s="29">
        <f t="shared" ref="P5:P6" si="2">N5/O5</f>
        <v>10.394648829431439</v>
      </c>
      <c r="Q5" s="24"/>
      <c r="R5" s="24"/>
    </row>
    <row r="6" spans="1:18" x14ac:dyDescent="0.2">
      <c r="A6" s="24" t="s">
        <v>80</v>
      </c>
      <c r="B6" s="24">
        <v>3</v>
      </c>
      <c r="C6" s="29">
        <v>6</v>
      </c>
      <c r="D6" s="29">
        <v>3912</v>
      </c>
      <c r="E6" s="29">
        <v>48</v>
      </c>
      <c r="F6" s="29">
        <v>143600</v>
      </c>
      <c r="G6" s="29">
        <v>1600</v>
      </c>
      <c r="H6" s="29"/>
      <c r="I6" s="29"/>
      <c r="J6" s="29">
        <f t="shared" ref="J6" si="3">G6/F6</f>
        <v>1.1142061281337047E-2</v>
      </c>
      <c r="K6" s="29">
        <f t="shared" ref="K6" si="4">E6/D6</f>
        <v>1.2269938650306749E-2</v>
      </c>
      <c r="L6" s="29">
        <f t="shared" ref="L6:L14" si="5">J6/K6</f>
        <v>0.9080779944289693</v>
      </c>
      <c r="M6" s="24"/>
      <c r="N6" s="29">
        <f t="shared" si="0"/>
        <v>1.1142061281337047E-2</v>
      </c>
      <c r="O6" s="29">
        <f>C6/D6</f>
        <v>1.5337423312883436E-3</v>
      </c>
      <c r="P6" s="29">
        <f t="shared" si="2"/>
        <v>7.2646239554317544</v>
      </c>
      <c r="Q6" s="24"/>
      <c r="R6" s="24"/>
    </row>
    <row r="7" spans="1:18" x14ac:dyDescent="0.2">
      <c r="A7" s="24" t="s">
        <v>80</v>
      </c>
      <c r="B7" s="24">
        <v>4</v>
      </c>
      <c r="C7" s="29">
        <v>259</v>
      </c>
      <c r="D7" s="29">
        <v>185</v>
      </c>
      <c r="E7" s="29">
        <v>443</v>
      </c>
      <c r="F7" s="29">
        <v>29</v>
      </c>
      <c r="G7" s="29">
        <v>196</v>
      </c>
      <c r="H7" s="26"/>
      <c r="I7" s="24"/>
      <c r="J7" s="29">
        <f>F7/G7</f>
        <v>0.14795918367346939</v>
      </c>
      <c r="K7" s="29">
        <f>D7/E7</f>
        <v>0.41760722347629797</v>
      </c>
      <c r="L7" s="29">
        <f t="shared" si="5"/>
        <v>0.35430226144511856</v>
      </c>
      <c r="M7" s="24"/>
      <c r="N7" s="29">
        <f>G7/F7</f>
        <v>6.7586206896551726</v>
      </c>
      <c r="O7" s="29">
        <f>E7/D7</f>
        <v>2.3945945945945946</v>
      </c>
      <c r="P7" s="29">
        <f>N7/O7</f>
        <v>2.8224488207363589</v>
      </c>
      <c r="Q7" s="24"/>
      <c r="R7" s="24"/>
    </row>
    <row r="8" spans="1:18" x14ac:dyDescent="0.2">
      <c r="A8" s="24" t="s">
        <v>80</v>
      </c>
      <c r="B8" s="24">
        <v>5</v>
      </c>
      <c r="C8" s="29">
        <v>303</v>
      </c>
      <c r="D8" s="29">
        <v>2060</v>
      </c>
      <c r="E8" s="29">
        <v>136</v>
      </c>
      <c r="F8" s="29">
        <v>17600</v>
      </c>
      <c r="G8" s="29">
        <v>4200</v>
      </c>
      <c r="H8" s="24"/>
      <c r="I8" s="24"/>
      <c r="J8" s="29">
        <f t="shared" ref="J8:J14" si="6">F8/G8</f>
        <v>4.1904761904761907</v>
      </c>
      <c r="K8" s="29">
        <f t="shared" ref="K8:K14" si="7">D8/E8</f>
        <v>15.147058823529411</v>
      </c>
      <c r="L8" s="29">
        <f t="shared" si="5"/>
        <v>0.27665279704114659</v>
      </c>
      <c r="M8" s="24"/>
      <c r="N8" s="29">
        <f>G8/F8</f>
        <v>0.23863636363636365</v>
      </c>
      <c r="O8" s="29">
        <f>E8/D8</f>
        <v>6.6019417475728162E-2</v>
      </c>
      <c r="P8" s="29">
        <f>N8/O8</f>
        <v>3.6146390374331547</v>
      </c>
      <c r="Q8" s="24"/>
      <c r="R8" s="24"/>
    </row>
    <row r="9" spans="1:18" x14ac:dyDescent="0.2">
      <c r="A9" s="24" t="s">
        <v>80</v>
      </c>
      <c r="B9" s="24">
        <v>6</v>
      </c>
      <c r="C9" s="30" t="s">
        <v>73</v>
      </c>
      <c r="D9" s="30" t="s">
        <v>73</v>
      </c>
      <c r="E9" s="30" t="s">
        <v>73</v>
      </c>
      <c r="F9" s="29">
        <v>61600</v>
      </c>
      <c r="G9" s="29">
        <v>38400</v>
      </c>
      <c r="H9" s="24"/>
      <c r="I9" s="24"/>
      <c r="J9" s="29">
        <f t="shared" si="6"/>
        <v>1.6041666666666667</v>
      </c>
      <c r="K9" s="30" t="s">
        <v>73</v>
      </c>
      <c r="L9" s="30" t="s">
        <v>73</v>
      </c>
      <c r="M9" s="24"/>
      <c r="N9" s="29">
        <f>G9/F9</f>
        <v>0.62337662337662336</v>
      </c>
      <c r="O9" s="30" t="s">
        <v>73</v>
      </c>
      <c r="P9" s="30" t="s">
        <v>73</v>
      </c>
      <c r="Q9" s="24"/>
      <c r="R9" s="24"/>
    </row>
    <row r="10" spans="1:18" x14ac:dyDescent="0.2">
      <c r="A10" s="24" t="s">
        <v>80</v>
      </c>
      <c r="B10" s="24">
        <v>7</v>
      </c>
      <c r="C10" s="29">
        <v>203</v>
      </c>
      <c r="D10" s="29">
        <v>19500</v>
      </c>
      <c r="E10" s="29">
        <v>100</v>
      </c>
      <c r="F10" s="29">
        <v>5500</v>
      </c>
      <c r="G10" s="29">
        <v>14700</v>
      </c>
      <c r="H10" s="24"/>
      <c r="I10" s="24"/>
      <c r="J10" s="29">
        <f t="shared" si="6"/>
        <v>0.37414965986394561</v>
      </c>
      <c r="K10" s="29">
        <f t="shared" si="7"/>
        <v>195</v>
      </c>
      <c r="L10" s="29">
        <f t="shared" si="5"/>
        <v>1.9187162044304903E-3</v>
      </c>
      <c r="M10" s="24"/>
      <c r="N10" s="29">
        <f>G10/F10</f>
        <v>2.6727272727272728</v>
      </c>
      <c r="O10" s="29">
        <f>E10/D10</f>
        <v>5.1282051282051282E-3</v>
      </c>
      <c r="P10" s="29">
        <f>N10/O10</f>
        <v>521.18181818181824</v>
      </c>
      <c r="Q10" s="24"/>
      <c r="R10" s="24"/>
    </row>
    <row r="11" spans="1:18" x14ac:dyDescent="0.2">
      <c r="A11" s="24" t="s">
        <v>80</v>
      </c>
      <c r="B11" s="24">
        <v>8</v>
      </c>
      <c r="C11" s="29">
        <v>4</v>
      </c>
      <c r="D11" s="29">
        <v>5100</v>
      </c>
      <c r="E11" s="29">
        <v>10</v>
      </c>
      <c r="F11" s="29">
        <v>620000</v>
      </c>
      <c r="G11" s="29">
        <v>220000</v>
      </c>
      <c r="H11" s="24"/>
      <c r="I11" s="24"/>
      <c r="J11" s="29">
        <f t="shared" si="6"/>
        <v>2.8181818181818183</v>
      </c>
      <c r="K11" s="29">
        <f t="shared" si="7"/>
        <v>510</v>
      </c>
      <c r="L11" s="29">
        <f t="shared" si="5"/>
        <v>5.5258467023172912E-3</v>
      </c>
      <c r="M11" s="24"/>
      <c r="N11" s="29">
        <f>G11/F11</f>
        <v>0.35483870967741937</v>
      </c>
      <c r="O11" s="29">
        <f>E11/D11</f>
        <v>1.9607843137254902E-3</v>
      </c>
      <c r="P11" s="29">
        <f>N11/O11</f>
        <v>180.96774193548387</v>
      </c>
      <c r="Q11" s="24"/>
      <c r="R11" s="24"/>
    </row>
    <row r="12" spans="1:18" x14ac:dyDescent="0.2">
      <c r="A12" s="24" t="s">
        <v>80</v>
      </c>
      <c r="B12" s="24">
        <v>9</v>
      </c>
      <c r="C12" s="29">
        <v>1276</v>
      </c>
      <c r="D12" s="29">
        <v>144</v>
      </c>
      <c r="E12" s="29">
        <v>275</v>
      </c>
      <c r="F12" s="29">
        <v>16900</v>
      </c>
      <c r="G12" s="29">
        <v>146400</v>
      </c>
      <c r="H12" s="29"/>
      <c r="I12" s="29"/>
      <c r="J12" s="29">
        <f t="shared" si="6"/>
        <v>0.11543715846994536</v>
      </c>
      <c r="K12" s="29">
        <f t="shared" si="7"/>
        <v>0.52363636363636368</v>
      </c>
      <c r="L12" s="29">
        <f t="shared" si="5"/>
        <v>0.22045290680024285</v>
      </c>
      <c r="M12" s="24"/>
      <c r="N12" s="29">
        <f t="shared" ref="N12:N14" si="8">G12/F12</f>
        <v>8.6627218934911241</v>
      </c>
      <c r="O12" s="29">
        <f t="shared" ref="O12:O14" si="9">E12/D12</f>
        <v>1.9097222222222223</v>
      </c>
      <c r="P12" s="29">
        <f t="shared" ref="P12:P14" si="10">N12/O12</f>
        <v>4.5361161915008061</v>
      </c>
      <c r="Q12" s="24"/>
      <c r="R12" s="24"/>
    </row>
    <row r="13" spans="1:18" x14ac:dyDescent="0.2">
      <c r="A13" s="24" t="s">
        <v>80</v>
      </c>
      <c r="B13" s="24">
        <v>10</v>
      </c>
      <c r="C13" s="29">
        <v>864</v>
      </c>
      <c r="D13" s="29">
        <v>248</v>
      </c>
      <c r="E13" s="29">
        <v>1061</v>
      </c>
      <c r="F13" s="29">
        <v>19600</v>
      </c>
      <c r="G13" s="29">
        <v>182800</v>
      </c>
      <c r="H13" s="29"/>
      <c r="I13" s="29"/>
      <c r="J13" s="29">
        <f t="shared" si="6"/>
        <v>0.10722100656455143</v>
      </c>
      <c r="K13" s="29">
        <f t="shared" si="7"/>
        <v>0.23374175306314798</v>
      </c>
      <c r="L13" s="29">
        <f t="shared" si="5"/>
        <v>0.45871567727818169</v>
      </c>
      <c r="M13" s="24"/>
      <c r="N13" s="29">
        <f t="shared" si="8"/>
        <v>9.3265306122448983</v>
      </c>
      <c r="O13" s="29">
        <f t="shared" si="9"/>
        <v>4.278225806451613</v>
      </c>
      <c r="P13" s="29">
        <f t="shared" si="10"/>
        <v>2.1799996153032373</v>
      </c>
      <c r="Q13" s="24"/>
      <c r="R13" s="24"/>
    </row>
    <row r="14" spans="1:18" x14ac:dyDescent="0.2">
      <c r="A14" s="24" t="s">
        <v>80</v>
      </c>
      <c r="B14" s="24">
        <v>11</v>
      </c>
      <c r="C14" s="29">
        <v>1311</v>
      </c>
      <c r="D14" s="29">
        <v>528</v>
      </c>
      <c r="E14" s="29">
        <v>290</v>
      </c>
      <c r="F14" s="29">
        <v>68400</v>
      </c>
      <c r="G14" s="29">
        <v>175600</v>
      </c>
      <c r="H14" s="29"/>
      <c r="I14" s="29"/>
      <c r="J14" s="29">
        <f t="shared" si="6"/>
        <v>0.38952164009111617</v>
      </c>
      <c r="K14" s="29">
        <f t="shared" si="7"/>
        <v>1.8206896551724139</v>
      </c>
      <c r="L14" s="29">
        <f t="shared" si="5"/>
        <v>0.21394180989852971</v>
      </c>
      <c r="M14" s="24"/>
      <c r="N14" s="29">
        <f t="shared" si="8"/>
        <v>2.5672514619883042</v>
      </c>
      <c r="O14" s="29">
        <f t="shared" si="9"/>
        <v>0.5492424242424242</v>
      </c>
      <c r="P14" s="29">
        <f t="shared" si="10"/>
        <v>4.6741681790683609</v>
      </c>
      <c r="Q14" s="24"/>
      <c r="R14" s="24"/>
    </row>
    <row r="15" spans="1:18" x14ac:dyDescent="0.2">
      <c r="A15" s="24"/>
      <c r="B15" s="24"/>
      <c r="C15" s="29"/>
      <c r="D15" s="29"/>
      <c r="E15" s="29"/>
      <c r="F15" s="29"/>
      <c r="G15" s="29"/>
      <c r="H15" s="29"/>
      <c r="I15" s="29"/>
      <c r="J15" s="29"/>
      <c r="K15" s="24"/>
      <c r="L15" s="24"/>
      <c r="M15" s="24"/>
      <c r="N15" s="24"/>
      <c r="O15" s="24"/>
      <c r="P15" s="24"/>
      <c r="Q15" s="24"/>
      <c r="R15" s="24"/>
    </row>
    <row r="16" spans="1:18" x14ac:dyDescent="0.2">
      <c r="A16" s="24"/>
      <c r="B16" s="24"/>
      <c r="C16" s="29" t="s">
        <v>58</v>
      </c>
      <c r="D16" s="29" t="s">
        <v>35</v>
      </c>
      <c r="E16" s="29" t="s">
        <v>58</v>
      </c>
      <c r="F16" s="29" t="s">
        <v>35</v>
      </c>
      <c r="G16" s="29" t="s">
        <v>58</v>
      </c>
      <c r="H16" s="29"/>
      <c r="I16" s="29"/>
      <c r="J16" s="29" t="s">
        <v>86</v>
      </c>
      <c r="K16" s="24" t="s">
        <v>87</v>
      </c>
      <c r="L16" s="24" t="s">
        <v>78</v>
      </c>
      <c r="M16" s="24"/>
      <c r="N16" s="29" t="s">
        <v>86</v>
      </c>
      <c r="O16" s="24" t="s">
        <v>87</v>
      </c>
      <c r="P16" s="24" t="s">
        <v>78</v>
      </c>
      <c r="Q16" s="24"/>
      <c r="R16" s="24"/>
    </row>
    <row r="17" spans="1:18" x14ac:dyDescent="0.2">
      <c r="A17" s="24" t="s">
        <v>81</v>
      </c>
      <c r="B17" s="24">
        <v>1</v>
      </c>
      <c r="C17" s="29">
        <v>2056</v>
      </c>
      <c r="D17" s="29">
        <v>92</v>
      </c>
      <c r="E17" s="29">
        <v>1032</v>
      </c>
      <c r="F17" s="29">
        <v>7400</v>
      </c>
      <c r="G17" s="29">
        <v>46800</v>
      </c>
      <c r="H17" s="29"/>
      <c r="I17" s="29"/>
      <c r="J17" s="29">
        <f>G17/F17</f>
        <v>6.3243243243243246</v>
      </c>
      <c r="K17" s="29">
        <f t="shared" ref="K17:K27" si="11">E17/D17</f>
        <v>11.217391304347826</v>
      </c>
      <c r="L17" s="29">
        <f t="shared" ref="L17:L27" si="12">J17/K17</f>
        <v>0.56379635449402898</v>
      </c>
      <c r="M17" s="24"/>
      <c r="N17" s="29">
        <f>F17/G17</f>
        <v>0.15811965811965811</v>
      </c>
      <c r="O17" s="29">
        <f>D17/E17</f>
        <v>8.9147286821705432E-2</v>
      </c>
      <c r="P17" s="29">
        <f>N17/O17</f>
        <v>1.7736900780379039</v>
      </c>
      <c r="Q17" s="24"/>
      <c r="R17" s="24"/>
    </row>
    <row r="18" spans="1:18" x14ac:dyDescent="0.2">
      <c r="A18" s="24" t="s">
        <v>81</v>
      </c>
      <c r="B18" s="24">
        <v>2</v>
      </c>
      <c r="C18" s="46">
        <v>4</v>
      </c>
      <c r="D18" s="29">
        <v>356</v>
      </c>
      <c r="E18" s="29">
        <v>3080</v>
      </c>
      <c r="F18" s="29">
        <v>41300</v>
      </c>
      <c r="G18" s="29">
        <v>19800</v>
      </c>
      <c r="H18" s="29"/>
      <c r="I18" s="29"/>
      <c r="J18" s="29">
        <f t="shared" ref="J18:J24" si="13">G18/F18</f>
        <v>0.47941888619854722</v>
      </c>
      <c r="K18" s="29">
        <f t="shared" si="11"/>
        <v>8.6516853932584272</v>
      </c>
      <c r="L18" s="29">
        <f t="shared" si="12"/>
        <v>5.5413351781390521E-2</v>
      </c>
      <c r="M18" s="24"/>
      <c r="N18" s="29">
        <f t="shared" ref="N18:N26" si="14">F18/G18</f>
        <v>2.0858585858585861</v>
      </c>
      <c r="O18" s="29">
        <f t="shared" ref="O18:O23" si="15">D18/E18</f>
        <v>0.11558441558441558</v>
      </c>
      <c r="P18" s="29">
        <f t="shared" ref="P18:P22" si="16">N18/O18</f>
        <v>18.046192259675408</v>
      </c>
      <c r="Q18" s="24"/>
      <c r="R18" s="24"/>
    </row>
    <row r="19" spans="1:18" x14ac:dyDescent="0.2">
      <c r="A19" s="24" t="s">
        <v>81</v>
      </c>
      <c r="B19" s="24">
        <v>3</v>
      </c>
      <c r="C19" s="46">
        <v>3</v>
      </c>
      <c r="D19" s="29">
        <v>300</v>
      </c>
      <c r="E19" s="29">
        <v>5500</v>
      </c>
      <c r="F19" s="29">
        <v>56400</v>
      </c>
      <c r="G19" s="29">
        <v>76000</v>
      </c>
      <c r="H19" s="29"/>
      <c r="I19" s="29"/>
      <c r="J19" s="29">
        <f t="shared" si="13"/>
        <v>1.3475177304964538</v>
      </c>
      <c r="K19" s="29">
        <f t="shared" si="11"/>
        <v>18.333333333333332</v>
      </c>
      <c r="L19" s="29">
        <f t="shared" si="12"/>
        <v>7.3500967117988397E-2</v>
      </c>
      <c r="M19" s="24"/>
      <c r="N19" s="29">
        <f t="shared" si="14"/>
        <v>0.74210526315789471</v>
      </c>
      <c r="O19" s="29">
        <f t="shared" si="15"/>
        <v>5.4545454545454543E-2</v>
      </c>
      <c r="P19" s="29">
        <f t="shared" si="16"/>
        <v>13.605263157894736</v>
      </c>
      <c r="Q19" s="24"/>
      <c r="R19" s="24"/>
    </row>
    <row r="20" spans="1:18" x14ac:dyDescent="0.2">
      <c r="A20" s="24" t="s">
        <v>81</v>
      </c>
      <c r="B20" s="24">
        <v>4</v>
      </c>
      <c r="C20" s="29">
        <v>51</v>
      </c>
      <c r="D20" s="29">
        <v>300</v>
      </c>
      <c r="E20" s="29">
        <v>6000</v>
      </c>
      <c r="F20" s="29">
        <v>5650000</v>
      </c>
      <c r="G20" s="29">
        <v>4530000</v>
      </c>
      <c r="H20" s="29"/>
      <c r="I20" s="29"/>
      <c r="J20" s="29">
        <f t="shared" si="13"/>
        <v>0.80176991150442478</v>
      </c>
      <c r="K20" s="29">
        <f t="shared" si="11"/>
        <v>20</v>
      </c>
      <c r="L20" s="29">
        <f t="shared" si="12"/>
        <v>4.008849557522124E-2</v>
      </c>
      <c r="M20" s="24"/>
      <c r="N20" s="29">
        <f t="shared" si="14"/>
        <v>1.2472406181015452</v>
      </c>
      <c r="O20" s="29">
        <f t="shared" si="15"/>
        <v>0.05</v>
      </c>
      <c r="P20" s="29">
        <f t="shared" si="16"/>
        <v>24.944812362030902</v>
      </c>
      <c r="Q20" s="24"/>
      <c r="R20" s="24"/>
    </row>
    <row r="21" spans="1:18" x14ac:dyDescent="0.2">
      <c r="A21" s="24" t="s">
        <v>81</v>
      </c>
      <c r="B21" s="24">
        <v>5</v>
      </c>
      <c r="C21" s="29">
        <v>433</v>
      </c>
      <c r="D21" s="29">
        <v>256</v>
      </c>
      <c r="E21" s="29">
        <v>2760</v>
      </c>
      <c r="F21" s="29">
        <v>47100</v>
      </c>
      <c r="G21" s="29">
        <v>13700</v>
      </c>
      <c r="H21" s="29"/>
      <c r="I21" s="29"/>
      <c r="J21" s="29">
        <f t="shared" si="13"/>
        <v>0.29087048832271761</v>
      </c>
      <c r="K21" s="29">
        <f t="shared" si="11"/>
        <v>10.78125</v>
      </c>
      <c r="L21" s="29">
        <f t="shared" si="12"/>
        <v>2.6979291670512939E-2</v>
      </c>
      <c r="M21" s="24"/>
      <c r="N21" s="29">
        <f t="shared" si="14"/>
        <v>3.437956204379562</v>
      </c>
      <c r="O21" s="29">
        <f t="shared" si="15"/>
        <v>9.2753623188405798E-2</v>
      </c>
      <c r="P21" s="29">
        <f t="shared" si="16"/>
        <v>37.065465328467155</v>
      </c>
      <c r="Q21" s="24"/>
      <c r="R21" s="24"/>
    </row>
    <row r="22" spans="1:18" x14ac:dyDescent="0.2">
      <c r="A22" s="24" t="s">
        <v>81</v>
      </c>
      <c r="B22" s="24">
        <v>6</v>
      </c>
      <c r="C22" s="29">
        <v>472</v>
      </c>
      <c r="D22" s="29">
        <v>385</v>
      </c>
      <c r="E22" s="29">
        <v>134</v>
      </c>
      <c r="F22" s="29">
        <v>700000</v>
      </c>
      <c r="G22" s="29">
        <v>100000</v>
      </c>
      <c r="H22" s="29"/>
      <c r="I22" s="29"/>
      <c r="J22" s="29">
        <f t="shared" si="13"/>
        <v>0.14285714285714285</v>
      </c>
      <c r="K22" s="29">
        <f t="shared" si="11"/>
        <v>0.34805194805194806</v>
      </c>
      <c r="L22" s="29">
        <f t="shared" si="12"/>
        <v>0.41044776119402981</v>
      </c>
      <c r="M22" s="24"/>
      <c r="N22" s="29">
        <f t="shared" si="14"/>
        <v>7</v>
      </c>
      <c r="O22" s="29">
        <f t="shared" si="15"/>
        <v>2.8731343283582089</v>
      </c>
      <c r="P22" s="29">
        <f t="shared" si="16"/>
        <v>2.4363636363636365</v>
      </c>
      <c r="Q22" s="24"/>
      <c r="R22" s="24"/>
    </row>
    <row r="23" spans="1:18" x14ac:dyDescent="0.2">
      <c r="A23" s="24" t="s">
        <v>81</v>
      </c>
      <c r="B23" s="24">
        <v>7</v>
      </c>
      <c r="C23" s="29">
        <v>2000</v>
      </c>
      <c r="D23" s="29">
        <v>800</v>
      </c>
      <c r="E23" s="29">
        <v>8800</v>
      </c>
      <c r="F23" s="30" t="s">
        <v>73</v>
      </c>
      <c r="G23" s="30" t="s">
        <v>73</v>
      </c>
      <c r="H23" s="29"/>
      <c r="I23" s="29"/>
      <c r="J23" s="30" t="s">
        <v>73</v>
      </c>
      <c r="K23" s="29">
        <f t="shared" si="11"/>
        <v>11</v>
      </c>
      <c r="L23" s="30" t="s">
        <v>73</v>
      </c>
      <c r="M23" s="24"/>
      <c r="N23" s="30" t="s">
        <v>73</v>
      </c>
      <c r="O23" s="29">
        <f t="shared" si="15"/>
        <v>9.0909090909090912E-2</v>
      </c>
      <c r="P23" s="30" t="s">
        <v>73</v>
      </c>
      <c r="Q23" s="24"/>
      <c r="R23" s="24"/>
    </row>
    <row r="24" spans="1:18" x14ac:dyDescent="0.2">
      <c r="A24" s="24" t="s">
        <v>81</v>
      </c>
      <c r="B24" s="24">
        <v>8</v>
      </c>
      <c r="C24" s="46">
        <v>4</v>
      </c>
      <c r="D24" s="29">
        <v>300</v>
      </c>
      <c r="E24" s="29">
        <v>12300</v>
      </c>
      <c r="F24" s="29">
        <v>1200</v>
      </c>
      <c r="G24" s="29">
        <v>2500</v>
      </c>
      <c r="H24" s="29"/>
      <c r="I24" s="29"/>
      <c r="J24" s="29">
        <f>G24/F24</f>
        <v>2.0833333333333335</v>
      </c>
      <c r="K24" s="29">
        <f>E24/D24</f>
        <v>41</v>
      </c>
      <c r="L24" s="29">
        <f>J24/K24</f>
        <v>5.0813008130081307E-2</v>
      </c>
      <c r="M24" s="24"/>
      <c r="N24" s="29">
        <f t="shared" si="14"/>
        <v>0.48</v>
      </c>
      <c r="O24" s="24">
        <v>2.4390243902439025E-2</v>
      </c>
      <c r="P24" s="29">
        <f>N24/O24</f>
        <v>19.68</v>
      </c>
      <c r="Q24" s="24"/>
      <c r="R24" s="24"/>
    </row>
    <row r="25" spans="1:18" x14ac:dyDescent="0.2">
      <c r="A25" s="24" t="s">
        <v>81</v>
      </c>
      <c r="B25" s="24">
        <v>9</v>
      </c>
      <c r="C25" s="29">
        <v>227</v>
      </c>
      <c r="D25" s="29">
        <v>335</v>
      </c>
      <c r="E25" s="29">
        <v>420</v>
      </c>
      <c r="F25" s="29">
        <v>136900</v>
      </c>
      <c r="G25" s="29">
        <v>72800</v>
      </c>
      <c r="H25" s="29"/>
      <c r="I25" s="29"/>
      <c r="J25" s="29">
        <f>G25/F25</f>
        <v>0.53177501826150475</v>
      </c>
      <c r="K25" s="29">
        <f t="shared" si="11"/>
        <v>1.2537313432835822</v>
      </c>
      <c r="L25" s="29">
        <f t="shared" si="12"/>
        <v>0.42415388361334305</v>
      </c>
      <c r="M25" s="24"/>
      <c r="N25" s="29">
        <f t="shared" si="14"/>
        <v>1.8804945054945055</v>
      </c>
      <c r="O25" s="29">
        <f>D25/E25</f>
        <v>0.79761904761904767</v>
      </c>
      <c r="P25" s="29">
        <f>N25/O25</f>
        <v>2.3576349024110215</v>
      </c>
      <c r="Q25" s="24"/>
      <c r="R25" s="24"/>
    </row>
    <row r="26" spans="1:18" x14ac:dyDescent="0.2">
      <c r="A26" s="24" t="s">
        <v>81</v>
      </c>
      <c r="B26" s="24">
        <v>10</v>
      </c>
      <c r="C26" s="29">
        <v>2004</v>
      </c>
      <c r="D26" s="29">
        <v>147</v>
      </c>
      <c r="E26" s="29">
        <v>324</v>
      </c>
      <c r="F26" s="29">
        <v>153200</v>
      </c>
      <c r="G26" s="29">
        <v>53200</v>
      </c>
      <c r="H26" s="29"/>
      <c r="I26" s="29"/>
      <c r="J26" s="29">
        <f t="shared" ref="J26:J27" si="17">G26/F26</f>
        <v>0.3472584856396867</v>
      </c>
      <c r="K26" s="29">
        <f t="shared" si="11"/>
        <v>2.204081632653061</v>
      </c>
      <c r="L26" s="29">
        <f t="shared" si="12"/>
        <v>0.15755246107726528</v>
      </c>
      <c r="M26" s="24"/>
      <c r="N26" s="29">
        <f t="shared" si="14"/>
        <v>2.8796992481203008</v>
      </c>
      <c r="O26" s="24">
        <v>2.4390243902439025E-2</v>
      </c>
      <c r="P26" s="29">
        <f t="shared" ref="P26:P27" si="18">N26/O26</f>
        <v>118.06766917293233</v>
      </c>
      <c r="Q26" s="24"/>
      <c r="R26" s="24"/>
    </row>
    <row r="27" spans="1:18" x14ac:dyDescent="0.2">
      <c r="A27" s="24" t="s">
        <v>81</v>
      </c>
      <c r="B27" s="24">
        <v>11</v>
      </c>
      <c r="C27" s="29">
        <v>1476</v>
      </c>
      <c r="D27" s="29">
        <v>36</v>
      </c>
      <c r="E27" s="29">
        <v>168</v>
      </c>
      <c r="F27" s="29">
        <v>165000</v>
      </c>
      <c r="G27" s="29">
        <v>19400</v>
      </c>
      <c r="H27" s="29"/>
      <c r="I27" s="29"/>
      <c r="J27" s="29">
        <f t="shared" si="17"/>
        <v>0.11757575757575757</v>
      </c>
      <c r="K27" s="29">
        <f t="shared" si="11"/>
        <v>4.666666666666667</v>
      </c>
      <c r="L27" s="29">
        <f t="shared" si="12"/>
        <v>2.5194805194805193E-2</v>
      </c>
      <c r="M27" s="24"/>
      <c r="N27" s="29">
        <f t="shared" ref="N27" si="19">F27/G27</f>
        <v>8.5051546391752577</v>
      </c>
      <c r="O27" s="24">
        <v>2.4390243902439025E-2</v>
      </c>
      <c r="P27" s="29">
        <f t="shared" si="18"/>
        <v>348.71134020618558</v>
      </c>
      <c r="Q27" s="24"/>
      <c r="R27" s="24"/>
    </row>
    <row r="28" spans="1:18" x14ac:dyDescent="0.2">
      <c r="A28" s="24"/>
      <c r="B28" s="24"/>
      <c r="C28" s="29"/>
      <c r="D28" s="29"/>
      <c r="E28" s="29"/>
      <c r="F28" s="29"/>
      <c r="G28" s="29"/>
      <c r="H28" s="29"/>
      <c r="I28" s="29"/>
      <c r="J28" s="29"/>
      <c r="K28" s="24"/>
      <c r="L28" s="24"/>
      <c r="M28" s="24"/>
      <c r="N28" s="24"/>
      <c r="O28" s="24"/>
      <c r="P28" s="24"/>
      <c r="Q28" s="24"/>
      <c r="R28" s="24"/>
    </row>
    <row r="29" spans="1:18" x14ac:dyDescent="0.2">
      <c r="A29" s="24"/>
      <c r="B29" s="24"/>
      <c r="C29" s="29"/>
      <c r="D29" s="29"/>
      <c r="E29" s="29"/>
      <c r="F29" s="29"/>
      <c r="G29" s="29"/>
      <c r="H29" s="29"/>
      <c r="I29" s="29"/>
      <c r="J29" s="29"/>
      <c r="K29" s="24"/>
      <c r="L29" s="24"/>
      <c r="M29" s="24"/>
      <c r="N29" s="24"/>
      <c r="O29" s="24"/>
      <c r="P29" s="24"/>
      <c r="Q29" s="24"/>
      <c r="R29" s="24"/>
    </row>
    <row r="30" spans="1:18" x14ac:dyDescent="0.2">
      <c r="A30" s="24"/>
      <c r="B30" s="24"/>
      <c r="C30" s="24" t="s">
        <v>90</v>
      </c>
      <c r="D30" s="29"/>
      <c r="E30" s="24" t="s">
        <v>91</v>
      </c>
      <c r="F30" s="29"/>
      <c r="G30" s="29"/>
      <c r="H30" s="29"/>
      <c r="I30" s="29"/>
      <c r="J30" s="29"/>
      <c r="K30" s="24"/>
      <c r="L30" s="24"/>
      <c r="M30" s="24"/>
      <c r="N30" s="24"/>
      <c r="O30" s="24"/>
      <c r="P30" s="24"/>
      <c r="Q30" s="24"/>
      <c r="R30" s="24"/>
    </row>
    <row r="31" spans="1:18" x14ac:dyDescent="0.2">
      <c r="A31" s="24"/>
      <c r="B31" s="24"/>
      <c r="C31" s="29" t="s">
        <v>35</v>
      </c>
      <c r="D31" s="29" t="s">
        <v>58</v>
      </c>
      <c r="E31" s="29" t="s">
        <v>35</v>
      </c>
      <c r="F31" s="29" t="s">
        <v>58</v>
      </c>
      <c r="G31" s="29"/>
      <c r="H31" s="29"/>
      <c r="I31" s="29"/>
      <c r="J31" s="29" t="s">
        <v>86</v>
      </c>
      <c r="K31" s="24" t="s">
        <v>87</v>
      </c>
      <c r="L31" s="24" t="s">
        <v>78</v>
      </c>
      <c r="M31" s="24"/>
      <c r="N31" s="29" t="s">
        <v>86</v>
      </c>
      <c r="O31" s="24" t="s">
        <v>87</v>
      </c>
      <c r="P31" s="24" t="s">
        <v>78</v>
      </c>
      <c r="Q31" s="24"/>
      <c r="R31" s="24"/>
    </row>
    <row r="32" spans="1:18" x14ac:dyDescent="0.2">
      <c r="A32" s="24" t="s">
        <v>44</v>
      </c>
      <c r="B32" s="24">
        <v>1</v>
      </c>
      <c r="C32" s="29">
        <v>1300</v>
      </c>
      <c r="D32" s="29">
        <v>900</v>
      </c>
      <c r="E32" s="29">
        <v>165200</v>
      </c>
      <c r="F32" s="29">
        <v>59200</v>
      </c>
      <c r="G32" s="29"/>
      <c r="H32" s="29"/>
      <c r="I32" s="29"/>
      <c r="J32" s="29">
        <f>F32/E32</f>
        <v>0.3583535108958838</v>
      </c>
      <c r="K32" s="29">
        <f>D32/C32</f>
        <v>0.69230769230769229</v>
      </c>
      <c r="L32" s="29">
        <f>J32/K32</f>
        <v>0.51762173796072108</v>
      </c>
      <c r="M32" s="24"/>
      <c r="N32" s="29">
        <f>E32/F32</f>
        <v>2.7905405405405403</v>
      </c>
      <c r="O32" s="29">
        <f>C32/D32</f>
        <v>1.4444444444444444</v>
      </c>
      <c r="P32" s="29">
        <f>N32/O32</f>
        <v>1.9319126819126817</v>
      </c>
      <c r="Q32" s="24"/>
      <c r="R32" s="24"/>
    </row>
    <row r="33" spans="1:18" x14ac:dyDescent="0.2">
      <c r="A33" s="24" t="s">
        <v>44</v>
      </c>
      <c r="B33" s="24">
        <v>2</v>
      </c>
      <c r="C33" s="29">
        <v>3500</v>
      </c>
      <c r="D33" s="29">
        <v>1700</v>
      </c>
      <c r="E33" s="29">
        <v>177600</v>
      </c>
      <c r="F33" s="29">
        <v>88400</v>
      </c>
      <c r="G33" s="29"/>
      <c r="H33" s="29"/>
      <c r="I33" s="29"/>
      <c r="J33" s="29">
        <f t="shared" ref="J32:J41" si="20">F33/E33</f>
        <v>0.49774774774774777</v>
      </c>
      <c r="K33" s="29">
        <f t="shared" ref="K32:K41" si="21">D33/C33</f>
        <v>0.48571428571428571</v>
      </c>
      <c r="L33" s="29">
        <f t="shared" ref="L32:L35" si="22">J33/K33</f>
        <v>1.0247747747747749</v>
      </c>
      <c r="M33" s="24"/>
      <c r="N33" s="29">
        <f t="shared" ref="N33:N34" si="23">E33/F33</f>
        <v>2.0090497737556561</v>
      </c>
      <c r="O33" s="29">
        <f t="shared" ref="O33:O34" si="24">C33/D33</f>
        <v>2.0588235294117645</v>
      </c>
      <c r="P33" s="29">
        <f t="shared" ref="P33:P34" si="25">N33/O33</f>
        <v>0.97582417582417591</v>
      </c>
      <c r="Q33" s="24"/>
      <c r="R33" s="24"/>
    </row>
    <row r="34" spans="1:18" x14ac:dyDescent="0.2">
      <c r="A34" s="24" t="s">
        <v>44</v>
      </c>
      <c r="B34" s="24">
        <v>3</v>
      </c>
      <c r="C34" s="29">
        <v>1800</v>
      </c>
      <c r="D34" s="29">
        <v>1100</v>
      </c>
      <c r="E34" s="29">
        <v>86000</v>
      </c>
      <c r="F34" s="29">
        <v>48000</v>
      </c>
      <c r="G34" s="29"/>
      <c r="H34" s="29"/>
      <c r="I34" s="29"/>
      <c r="J34" s="29">
        <f t="shared" si="20"/>
        <v>0.55813953488372092</v>
      </c>
      <c r="K34" s="29">
        <f t="shared" si="21"/>
        <v>0.61111111111111116</v>
      </c>
      <c r="L34" s="29">
        <f t="shared" si="22"/>
        <v>0.91331923890063416</v>
      </c>
      <c r="M34" s="24"/>
      <c r="N34" s="29">
        <f t="shared" si="23"/>
        <v>1.7916666666666667</v>
      </c>
      <c r="O34" s="29">
        <f t="shared" si="24"/>
        <v>1.6363636363636365</v>
      </c>
      <c r="P34" s="29">
        <f t="shared" si="25"/>
        <v>1.0949074074074074</v>
      </c>
      <c r="Q34" s="24"/>
      <c r="R34" s="24"/>
    </row>
    <row r="35" spans="1:18" x14ac:dyDescent="0.2">
      <c r="A35" s="24" t="s">
        <v>44</v>
      </c>
      <c r="B35" s="24">
        <v>4</v>
      </c>
      <c r="C35" s="29">
        <v>300</v>
      </c>
      <c r="D35" s="29">
        <v>300</v>
      </c>
      <c r="E35" s="29">
        <v>690000</v>
      </c>
      <c r="F35" s="29">
        <v>280000</v>
      </c>
      <c r="G35" s="29"/>
      <c r="H35" s="29"/>
      <c r="I35" s="29"/>
      <c r="J35" s="29">
        <f t="shared" si="20"/>
        <v>0.40579710144927539</v>
      </c>
      <c r="K35" s="29">
        <f t="shared" si="21"/>
        <v>1</v>
      </c>
      <c r="L35" s="29">
        <f t="shared" si="22"/>
        <v>0.40579710144927539</v>
      </c>
      <c r="M35" s="24"/>
      <c r="N35" s="29">
        <f>E35/F35</f>
        <v>2.4642857142857144</v>
      </c>
      <c r="O35" s="29">
        <f>C35/D35</f>
        <v>1</v>
      </c>
      <c r="P35" s="29">
        <f>N35/O35</f>
        <v>2.4642857142857144</v>
      </c>
      <c r="Q35" s="24"/>
      <c r="R35" s="24"/>
    </row>
    <row r="36" spans="1:18" x14ac:dyDescent="0.2">
      <c r="A36" s="24" t="s">
        <v>44</v>
      </c>
      <c r="B36" s="24">
        <v>5</v>
      </c>
      <c r="C36" s="29">
        <v>145</v>
      </c>
      <c r="D36" s="29">
        <v>272</v>
      </c>
      <c r="E36" s="29">
        <v>500000</v>
      </c>
      <c r="F36" s="29">
        <v>130000</v>
      </c>
      <c r="G36" s="29"/>
      <c r="H36" s="29"/>
      <c r="I36" s="29"/>
      <c r="J36" s="29">
        <f t="shared" si="20"/>
        <v>0.26</v>
      </c>
      <c r="K36" s="29">
        <f t="shared" si="21"/>
        <v>1.8758620689655172</v>
      </c>
      <c r="L36" s="29">
        <f>J36/K36</f>
        <v>0.1386029411764706</v>
      </c>
      <c r="M36" s="24"/>
      <c r="N36" s="29">
        <f>E36/F36</f>
        <v>3.8461538461538463</v>
      </c>
      <c r="O36" s="29">
        <f>C36/D36</f>
        <v>0.53308823529411764</v>
      </c>
      <c r="P36" s="29">
        <f>N36/O36</f>
        <v>7.2148541114058355</v>
      </c>
      <c r="Q36" s="24"/>
      <c r="R36" s="24"/>
    </row>
    <row r="37" spans="1:18" x14ac:dyDescent="0.2">
      <c r="A37" s="24" t="s">
        <v>44</v>
      </c>
      <c r="B37" s="24">
        <v>6</v>
      </c>
      <c r="C37" s="29">
        <v>236</v>
      </c>
      <c r="D37" s="29">
        <v>258</v>
      </c>
      <c r="E37" s="29">
        <v>610000</v>
      </c>
      <c r="F37" s="29">
        <v>158625.00398161093</v>
      </c>
      <c r="G37" s="29"/>
      <c r="H37" s="29"/>
      <c r="I37" s="29"/>
      <c r="J37" s="29">
        <f t="shared" si="20"/>
        <v>0.2600409901337884</v>
      </c>
      <c r="K37" s="29">
        <f t="shared" si="21"/>
        <v>1.0932203389830508</v>
      </c>
      <c r="L37" s="29">
        <f>J37/K37</f>
        <v>0.23786695221540335</v>
      </c>
      <c r="M37" s="24"/>
      <c r="N37" s="29">
        <f>E37/F37</f>
        <v>3.8455475788086728</v>
      </c>
      <c r="O37" s="29">
        <f>C37/D37</f>
        <v>0.9147286821705426</v>
      </c>
      <c r="P37" s="29">
        <f>N37/O37</f>
        <v>4.2040308276806675</v>
      </c>
      <c r="Q37" s="24"/>
      <c r="R37" s="24"/>
    </row>
    <row r="38" spans="1:18" x14ac:dyDescent="0.2">
      <c r="A38" s="24" t="s">
        <v>44</v>
      </c>
      <c r="B38" s="24">
        <v>7</v>
      </c>
      <c r="C38" s="29">
        <v>92</v>
      </c>
      <c r="D38" s="29">
        <v>1032</v>
      </c>
      <c r="E38" s="29">
        <v>7400</v>
      </c>
      <c r="F38" s="29">
        <v>46800</v>
      </c>
      <c r="G38" s="29"/>
      <c r="H38" s="29"/>
      <c r="I38" s="29"/>
      <c r="J38" s="29">
        <f t="shared" si="20"/>
        <v>6.3243243243243246</v>
      </c>
      <c r="K38" s="29">
        <f t="shared" si="21"/>
        <v>11.217391304347826</v>
      </c>
      <c r="L38" s="29">
        <f t="shared" ref="L38:L41" si="26">J38/K38</f>
        <v>0.56379635449402898</v>
      </c>
      <c r="M38" s="24"/>
      <c r="N38" s="29">
        <f t="shared" ref="N38:N41" si="27">E38/F38</f>
        <v>0.15811965811965811</v>
      </c>
      <c r="O38" s="29">
        <f t="shared" ref="O38:O41" si="28">C38/D38</f>
        <v>8.9147286821705432E-2</v>
      </c>
      <c r="P38" s="29">
        <f t="shared" ref="P38:P41" si="29">N38/O38</f>
        <v>1.7736900780379039</v>
      </c>
      <c r="Q38" s="24"/>
      <c r="R38" s="24"/>
    </row>
    <row r="39" spans="1:18" x14ac:dyDescent="0.2">
      <c r="A39" s="24" t="s">
        <v>44</v>
      </c>
      <c r="B39" s="24">
        <v>8</v>
      </c>
      <c r="C39" s="29">
        <v>356</v>
      </c>
      <c r="D39" s="29">
        <v>3080</v>
      </c>
      <c r="E39" s="29">
        <v>41300</v>
      </c>
      <c r="F39" s="29">
        <v>19800</v>
      </c>
      <c r="G39" s="29"/>
      <c r="H39" s="29"/>
      <c r="I39" s="29"/>
      <c r="J39" s="29">
        <f t="shared" si="20"/>
        <v>0.47941888619854722</v>
      </c>
      <c r="K39" s="29">
        <f t="shared" si="21"/>
        <v>8.6516853932584272</v>
      </c>
      <c r="L39" s="29">
        <f t="shared" si="26"/>
        <v>5.5413351781390521E-2</v>
      </c>
      <c r="M39" s="24"/>
      <c r="N39" s="29">
        <f t="shared" si="27"/>
        <v>2.0858585858585861</v>
      </c>
      <c r="O39" s="29">
        <f t="shared" si="28"/>
        <v>0.11558441558441558</v>
      </c>
      <c r="P39" s="29">
        <f t="shared" si="29"/>
        <v>18.046192259675408</v>
      </c>
      <c r="Q39" s="24"/>
      <c r="R39" s="24"/>
    </row>
    <row r="40" spans="1:18" x14ac:dyDescent="0.2">
      <c r="A40" s="24" t="s">
        <v>44</v>
      </c>
      <c r="B40" s="24">
        <v>9</v>
      </c>
      <c r="C40" s="29">
        <v>300</v>
      </c>
      <c r="D40" s="29">
        <v>5500</v>
      </c>
      <c r="E40" s="29">
        <v>56400</v>
      </c>
      <c r="F40" s="29">
        <v>76000</v>
      </c>
      <c r="G40" s="29"/>
      <c r="H40" s="29"/>
      <c r="I40" s="29"/>
      <c r="J40" s="29">
        <f t="shared" si="20"/>
        <v>1.3475177304964538</v>
      </c>
      <c r="K40" s="29">
        <f t="shared" si="21"/>
        <v>18.333333333333332</v>
      </c>
      <c r="L40" s="29">
        <f t="shared" si="26"/>
        <v>7.3500967117988397E-2</v>
      </c>
      <c r="M40" s="24"/>
      <c r="N40" s="29">
        <f t="shared" si="27"/>
        <v>0.74210526315789471</v>
      </c>
      <c r="O40" s="29">
        <f t="shared" si="28"/>
        <v>5.4545454545454543E-2</v>
      </c>
      <c r="P40" s="29">
        <f t="shared" si="29"/>
        <v>13.605263157894736</v>
      </c>
      <c r="Q40" s="24"/>
      <c r="R40" s="24"/>
    </row>
    <row r="41" spans="1:18" x14ac:dyDescent="0.2">
      <c r="A41" s="24"/>
      <c r="B41" s="24">
        <v>10</v>
      </c>
      <c r="C41" s="29">
        <v>261</v>
      </c>
      <c r="D41" s="29">
        <v>305</v>
      </c>
      <c r="E41" s="29">
        <v>51600</v>
      </c>
      <c r="F41" s="29">
        <v>2349.3154834854327</v>
      </c>
      <c r="G41" s="29"/>
      <c r="H41" s="29"/>
      <c r="I41" s="29"/>
      <c r="J41" s="29">
        <f t="shared" si="20"/>
        <v>4.5529369834989002E-2</v>
      </c>
      <c r="K41" s="29">
        <f t="shared" si="21"/>
        <v>1.1685823754789273</v>
      </c>
      <c r="L41" s="29">
        <f t="shared" si="26"/>
        <v>3.8961198448957797E-2</v>
      </c>
      <c r="M41" s="24"/>
      <c r="N41" s="29">
        <f t="shared" si="27"/>
        <v>21.963844516721313</v>
      </c>
      <c r="O41" s="29">
        <f t="shared" si="28"/>
        <v>0.8557377049180328</v>
      </c>
      <c r="P41" s="29">
        <f t="shared" si="29"/>
        <v>25.666561600000001</v>
      </c>
      <c r="Q41" s="24"/>
      <c r="R41" s="24"/>
    </row>
    <row r="42" spans="1:18" x14ac:dyDescent="0.2">
      <c r="A42" s="24"/>
      <c r="B42" s="24"/>
      <c r="C42" s="29"/>
      <c r="D42" s="29"/>
      <c r="E42" s="29"/>
      <c r="F42" s="29"/>
      <c r="G42" s="29"/>
      <c r="H42" s="29"/>
      <c r="I42" s="29"/>
      <c r="J42" s="29"/>
      <c r="K42" s="24"/>
      <c r="L42" s="24"/>
      <c r="M42" s="24"/>
      <c r="N42" s="24"/>
      <c r="O42" s="24"/>
      <c r="P42" s="24"/>
      <c r="Q42" s="24"/>
      <c r="R42" s="24"/>
    </row>
    <row r="43" spans="1:18" x14ac:dyDescent="0.2">
      <c r="A43" s="24"/>
      <c r="B43" s="24"/>
      <c r="C43" s="29" t="s">
        <v>35</v>
      </c>
      <c r="D43" s="29"/>
      <c r="E43" s="29"/>
      <c r="F43" s="29" t="s">
        <v>35</v>
      </c>
      <c r="G43" s="29"/>
      <c r="H43" s="29"/>
      <c r="I43" s="29"/>
      <c r="J43" s="29"/>
      <c r="K43" s="24"/>
      <c r="L43" s="24"/>
      <c r="M43" s="24"/>
      <c r="N43" s="24"/>
      <c r="O43" s="24"/>
      <c r="P43" s="24"/>
      <c r="Q43" s="24"/>
      <c r="R43" s="24"/>
    </row>
    <row r="44" spans="1:18" x14ac:dyDescent="0.2">
      <c r="A44" s="24" t="s">
        <v>88</v>
      </c>
      <c r="B44" s="24">
        <v>1</v>
      </c>
      <c r="C44" s="29">
        <v>5500</v>
      </c>
      <c r="D44" s="29"/>
      <c r="E44" s="29"/>
      <c r="F44" s="29">
        <v>180000</v>
      </c>
      <c r="G44" s="29"/>
      <c r="H44" s="29"/>
      <c r="I44" s="29"/>
      <c r="J44" s="29"/>
      <c r="K44" s="24"/>
      <c r="L44" s="24"/>
      <c r="M44" s="24"/>
      <c r="N44" s="24"/>
      <c r="O44" s="24"/>
      <c r="P44" s="24"/>
      <c r="Q44" s="24"/>
      <c r="R44" s="24"/>
    </row>
    <row r="45" spans="1:18" x14ac:dyDescent="0.2">
      <c r="A45" s="24" t="s">
        <v>88</v>
      </c>
      <c r="B45" s="24">
        <v>2</v>
      </c>
      <c r="C45" s="29">
        <v>3800</v>
      </c>
      <c r="D45" s="29"/>
      <c r="E45" s="29"/>
      <c r="F45" s="29">
        <v>1420000</v>
      </c>
      <c r="G45" s="29"/>
      <c r="H45" s="29"/>
      <c r="I45" s="29"/>
      <c r="J45" s="29"/>
      <c r="K45" s="24"/>
      <c r="L45" s="24"/>
      <c r="M45" s="24"/>
      <c r="N45" s="24"/>
      <c r="O45" s="24"/>
      <c r="P45" s="24"/>
      <c r="Q45" s="24"/>
      <c r="R45" s="24"/>
    </row>
    <row r="46" spans="1:18" x14ac:dyDescent="0.2">
      <c r="A46" s="24" t="s">
        <v>88</v>
      </c>
      <c r="B46" s="24">
        <v>3</v>
      </c>
      <c r="C46" s="29">
        <v>1200</v>
      </c>
      <c r="D46" s="29"/>
      <c r="E46" s="29"/>
      <c r="F46" s="29">
        <v>310000</v>
      </c>
      <c r="G46" s="29"/>
      <c r="H46" s="29"/>
      <c r="I46" s="29"/>
      <c r="J46" s="29"/>
      <c r="K46" s="24"/>
      <c r="L46" s="24"/>
      <c r="M46" s="24"/>
      <c r="N46" s="24"/>
      <c r="O46" s="24"/>
      <c r="P46" s="24"/>
      <c r="Q46" s="24"/>
      <c r="R46" s="24"/>
    </row>
    <row r="47" spans="1:18" x14ac:dyDescent="0.2">
      <c r="A47" s="24"/>
      <c r="B47" s="24"/>
      <c r="C47" s="29"/>
      <c r="D47" s="29"/>
      <c r="E47" s="29"/>
      <c r="F47" s="29"/>
      <c r="G47" s="29"/>
      <c r="H47" s="29"/>
      <c r="I47" s="29"/>
      <c r="J47" s="29"/>
      <c r="K47" s="24"/>
      <c r="L47" s="24"/>
      <c r="M47" s="24"/>
      <c r="N47" s="24"/>
      <c r="O47" s="24"/>
      <c r="P47" s="24"/>
      <c r="Q47" s="24"/>
      <c r="R47" s="24"/>
    </row>
    <row r="48" spans="1:18" x14ac:dyDescent="0.2">
      <c r="A48" s="24"/>
      <c r="B48" s="24"/>
      <c r="C48" s="29"/>
      <c r="D48" s="29"/>
      <c r="E48" s="29"/>
      <c r="F48" s="29"/>
      <c r="G48" s="29"/>
      <c r="H48" s="29"/>
      <c r="I48" s="29"/>
      <c r="J48" s="29"/>
      <c r="K48" s="24"/>
      <c r="L48" s="24"/>
      <c r="M48" s="24"/>
      <c r="N48" s="24"/>
      <c r="O48" s="24"/>
      <c r="P48" s="24"/>
      <c r="Q48" s="24"/>
      <c r="R48" s="24"/>
    </row>
    <row r="49" spans="1:18" x14ac:dyDescent="0.2">
      <c r="A49" s="24"/>
      <c r="B49" s="24"/>
      <c r="C49" s="29" t="s">
        <v>58</v>
      </c>
      <c r="D49" s="29"/>
      <c r="E49" s="29"/>
      <c r="F49" s="29" t="s">
        <v>58</v>
      </c>
      <c r="G49" s="29"/>
      <c r="H49" s="29"/>
      <c r="I49" s="29"/>
      <c r="J49" s="29"/>
      <c r="K49" s="24"/>
      <c r="L49" s="24"/>
      <c r="M49" s="24"/>
      <c r="N49" s="24"/>
      <c r="O49" s="24"/>
      <c r="P49" s="24"/>
      <c r="Q49" s="24"/>
      <c r="R49" s="24"/>
    </row>
    <row r="50" spans="1:18" x14ac:dyDescent="0.2">
      <c r="A50" s="24" t="s">
        <v>89</v>
      </c>
      <c r="B50" s="24">
        <v>1</v>
      </c>
      <c r="C50" s="29">
        <v>600</v>
      </c>
      <c r="D50" s="29"/>
      <c r="E50" s="29"/>
      <c r="F50" s="29">
        <v>185200</v>
      </c>
      <c r="G50" s="29"/>
      <c r="H50" s="29"/>
      <c r="I50" s="29"/>
      <c r="J50" s="29"/>
      <c r="K50" s="24"/>
      <c r="L50" s="24"/>
      <c r="M50" s="24"/>
      <c r="N50" s="24"/>
      <c r="O50" s="24"/>
      <c r="P50" s="24"/>
      <c r="Q50" s="24"/>
      <c r="R50" s="24"/>
    </row>
    <row r="51" spans="1:18" x14ac:dyDescent="0.2">
      <c r="A51" s="24" t="s">
        <v>89</v>
      </c>
      <c r="B51" s="24">
        <v>2</v>
      </c>
      <c r="C51" s="29">
        <v>687</v>
      </c>
      <c r="D51" s="29"/>
      <c r="E51" s="29"/>
      <c r="F51" s="29">
        <v>152000</v>
      </c>
      <c r="G51" s="29"/>
      <c r="H51" s="29"/>
      <c r="I51" s="29"/>
      <c r="J51" s="29"/>
      <c r="K51" s="24"/>
      <c r="L51" s="24"/>
      <c r="M51" s="24"/>
      <c r="N51" s="24"/>
      <c r="O51" s="24"/>
      <c r="P51" s="24"/>
      <c r="Q51" s="24"/>
      <c r="R51" s="24"/>
    </row>
    <row r="52" spans="1:18" x14ac:dyDescent="0.2">
      <c r="A52" s="24" t="s">
        <v>89</v>
      </c>
      <c r="B52" s="24">
        <v>3</v>
      </c>
      <c r="C52" s="29">
        <v>985</v>
      </c>
      <c r="D52" s="29"/>
      <c r="E52" s="29"/>
      <c r="F52" s="29">
        <v>231600</v>
      </c>
      <c r="G52" s="29"/>
      <c r="H52" s="29"/>
      <c r="I52" s="29"/>
      <c r="J52" s="29"/>
      <c r="K52" s="24"/>
      <c r="L52" s="24"/>
      <c r="M52" s="24"/>
      <c r="N52" s="24"/>
      <c r="O52" s="24"/>
      <c r="P52" s="24"/>
      <c r="Q52" s="24"/>
      <c r="R52" s="24"/>
    </row>
    <row r="53" spans="1:18" x14ac:dyDescent="0.2">
      <c r="A53" s="24"/>
      <c r="B53" s="24"/>
      <c r="C53" s="29"/>
      <c r="D53" s="29"/>
      <c r="E53" s="29"/>
      <c r="F53" s="29"/>
      <c r="G53" s="29"/>
      <c r="H53" s="29"/>
      <c r="I53" s="29"/>
      <c r="J53" s="29"/>
      <c r="K53" s="24"/>
      <c r="L53" s="24"/>
      <c r="M53" s="24"/>
      <c r="N53" s="24"/>
      <c r="O53" s="24"/>
      <c r="P53" s="24"/>
      <c r="Q53" s="24"/>
      <c r="R53" s="24"/>
    </row>
    <row r="54" spans="1:18" x14ac:dyDescent="0.2">
      <c r="A54" s="24"/>
      <c r="B54" s="24"/>
      <c r="C54" s="29"/>
      <c r="D54" s="29"/>
      <c r="E54" s="29"/>
      <c r="F54" s="29"/>
      <c r="G54" s="29"/>
      <c r="H54" s="29"/>
      <c r="I54" s="29"/>
      <c r="J54" s="29"/>
      <c r="K54" s="24"/>
      <c r="L54" s="24"/>
      <c r="M54" s="24"/>
      <c r="N54" s="24"/>
      <c r="O54" s="24"/>
      <c r="P54" s="24"/>
      <c r="Q54" s="24"/>
      <c r="R54" s="24"/>
    </row>
    <row r="57" spans="1:18" x14ac:dyDescent="0.2">
      <c r="B57" s="26"/>
      <c r="C57" s="27" t="s">
        <v>76</v>
      </c>
      <c r="D57" s="28"/>
      <c r="E57" s="27" t="s">
        <v>77</v>
      </c>
      <c r="F57" s="24"/>
      <c r="G57" s="24"/>
    </row>
    <row r="58" spans="1:18" x14ac:dyDescent="0.2">
      <c r="A58" s="24"/>
      <c r="B58" s="24"/>
      <c r="C58" s="24" t="s">
        <v>78</v>
      </c>
      <c r="D58" s="24"/>
      <c r="E58" s="24" t="s">
        <v>78</v>
      </c>
      <c r="F58" s="24"/>
      <c r="G58" s="24" t="s">
        <v>79</v>
      </c>
    </row>
    <row r="59" spans="1:18" x14ac:dyDescent="0.2">
      <c r="A59" s="24" t="s">
        <v>80</v>
      </c>
      <c r="B59" s="24" t="s">
        <v>44</v>
      </c>
      <c r="C59" s="24">
        <v>0.80819912152269402</v>
      </c>
      <c r="D59" s="24"/>
      <c r="E59" s="24">
        <v>1.23731884057971</v>
      </c>
      <c r="F59" s="24"/>
      <c r="G59" s="24">
        <f>LOG10(E59)</f>
        <v>9.2481625952333599E-2</v>
      </c>
      <c r="H59" t="s">
        <v>133</v>
      </c>
    </row>
    <row r="60" spans="1:18" x14ac:dyDescent="0.2">
      <c r="A60" s="24" t="s">
        <v>80</v>
      </c>
      <c r="B60" s="24" t="s">
        <v>44</v>
      </c>
      <c r="C60" s="24">
        <v>2.0493020493020497E-2</v>
      </c>
      <c r="D60" s="24"/>
      <c r="E60" s="24">
        <v>10.394648829431439</v>
      </c>
      <c r="F60" s="24"/>
      <c r="G60" s="24">
        <f t="shared" ref="G60:G90" si="30">LOG10(E60)</f>
        <v>1.016809821804447</v>
      </c>
      <c r="H60" t="s">
        <v>133</v>
      </c>
    </row>
    <row r="61" spans="1:18" x14ac:dyDescent="0.2">
      <c r="A61" s="24" t="s">
        <v>80</v>
      </c>
      <c r="B61" s="24" t="s">
        <v>44</v>
      </c>
      <c r="C61" s="24">
        <v>0.9080779944289693</v>
      </c>
      <c r="D61" s="24"/>
      <c r="E61" s="24">
        <v>7.2646239554317544</v>
      </c>
      <c r="F61" s="24"/>
      <c r="G61" s="24">
        <f t="shared" si="30"/>
        <v>0.86121313848156344</v>
      </c>
      <c r="H61" t="s">
        <v>133</v>
      </c>
    </row>
    <row r="62" spans="1:18" x14ac:dyDescent="0.2">
      <c r="A62" s="24" t="s">
        <v>80</v>
      </c>
      <c r="B62" s="24" t="s">
        <v>44</v>
      </c>
      <c r="C62" s="24">
        <v>0.35430226144511856</v>
      </c>
      <c r="D62" s="24"/>
      <c r="E62" s="24">
        <v>2.8224488207363589</v>
      </c>
      <c r="F62" s="24"/>
      <c r="G62" s="24">
        <f t="shared" si="30"/>
        <v>0.45062607563746426</v>
      </c>
      <c r="H62" t="s">
        <v>133</v>
      </c>
    </row>
    <row r="63" spans="1:18" x14ac:dyDescent="0.2">
      <c r="A63" s="24" t="s">
        <v>80</v>
      </c>
      <c r="B63" s="24" t="s">
        <v>44</v>
      </c>
      <c r="C63" s="24">
        <v>0.27665279704114659</v>
      </c>
      <c r="D63" s="24"/>
      <c r="E63" s="24">
        <v>3.6146390374331547</v>
      </c>
      <c r="F63" s="24"/>
      <c r="G63" s="24">
        <f t="shared" si="30"/>
        <v>0.55806493458268647</v>
      </c>
      <c r="H63" t="s">
        <v>133</v>
      </c>
    </row>
    <row r="64" spans="1:18" x14ac:dyDescent="0.2">
      <c r="A64" s="24" t="s">
        <v>80</v>
      </c>
      <c r="B64" s="24" t="s">
        <v>44</v>
      </c>
      <c r="C64" s="24">
        <v>1.9187162044304899E-3</v>
      </c>
      <c r="D64" s="24"/>
      <c r="E64" s="24">
        <v>521.18181818181824</v>
      </c>
      <c r="F64" s="24"/>
      <c r="G64" s="24">
        <f t="shared" si="30"/>
        <v>2.7169892566164502</v>
      </c>
      <c r="H64" t="s">
        <v>133</v>
      </c>
    </row>
    <row r="65" spans="1:8" x14ac:dyDescent="0.2">
      <c r="A65" s="24" t="s">
        <v>80</v>
      </c>
      <c r="B65" s="24" t="s">
        <v>44</v>
      </c>
      <c r="C65" s="24">
        <v>5.5258467023172912E-3</v>
      </c>
      <c r="D65" s="24"/>
      <c r="E65" s="24">
        <v>180.96774193548387</v>
      </c>
      <c r="F65" s="24"/>
      <c r="G65" s="24">
        <f t="shared" si="30"/>
        <v>2.2576011674218885</v>
      </c>
      <c r="H65" t="s">
        <v>133</v>
      </c>
    </row>
    <row r="66" spans="1:8" x14ac:dyDescent="0.2">
      <c r="A66" s="24" t="s">
        <v>80</v>
      </c>
      <c r="B66" s="24" t="s">
        <v>44</v>
      </c>
      <c r="C66" s="24">
        <v>0.22045290680024285</v>
      </c>
      <c r="D66" s="24"/>
      <c r="E66" s="24">
        <v>4.5361161915008061</v>
      </c>
      <c r="F66" s="24"/>
      <c r="G66" s="24">
        <f t="shared" si="30"/>
        <v>0.65668417037368643</v>
      </c>
      <c r="H66" t="s">
        <v>133</v>
      </c>
    </row>
    <row r="67" spans="1:8" x14ac:dyDescent="0.2">
      <c r="A67" s="24" t="s">
        <v>80</v>
      </c>
      <c r="B67" s="24" t="s">
        <v>44</v>
      </c>
      <c r="C67" s="24">
        <v>0.45871567727818169</v>
      </c>
      <c r="D67" s="24"/>
      <c r="E67" s="24">
        <v>2.1799996153032373</v>
      </c>
      <c r="F67" s="24"/>
      <c r="G67" s="24">
        <f t="shared" si="30"/>
        <v>0.33845641696621215</v>
      </c>
      <c r="H67" t="s">
        <v>133</v>
      </c>
    </row>
    <row r="68" spans="1:8" x14ac:dyDescent="0.2">
      <c r="A68" s="24" t="s">
        <v>80</v>
      </c>
      <c r="B68" s="24" t="s">
        <v>44</v>
      </c>
      <c r="C68" s="24">
        <v>0.21394180989852971</v>
      </c>
      <c r="D68" s="24"/>
      <c r="E68" s="24">
        <v>4.6741681790683609</v>
      </c>
      <c r="F68" s="24"/>
      <c r="G68" s="24">
        <f t="shared" si="30"/>
        <v>0.66970433448482369</v>
      </c>
      <c r="H68" t="s">
        <v>133</v>
      </c>
    </row>
    <row r="69" spans="1:8" x14ac:dyDescent="0.2">
      <c r="A69" s="24"/>
      <c r="B69" s="24"/>
      <c r="C69" s="24"/>
      <c r="D69" s="24"/>
      <c r="E69" s="24"/>
      <c r="F69" s="24"/>
      <c r="G69" s="24"/>
    </row>
    <row r="70" spans="1:8" x14ac:dyDescent="0.2">
      <c r="A70" s="24" t="s">
        <v>81</v>
      </c>
      <c r="B70" s="24" t="s">
        <v>82</v>
      </c>
      <c r="C70" s="24">
        <v>0.56379635449402898</v>
      </c>
      <c r="D70" s="24"/>
      <c r="E70" s="24">
        <v>1.7736900780379039</v>
      </c>
      <c r="F70" s="24"/>
      <c r="G70" s="24">
        <f t="shared" si="30"/>
        <v>0.24887773660248938</v>
      </c>
      <c r="H70" t="s">
        <v>134</v>
      </c>
    </row>
    <row r="71" spans="1:8" x14ac:dyDescent="0.2">
      <c r="A71" s="24" t="s">
        <v>81</v>
      </c>
      <c r="B71" s="24" t="s">
        <v>82</v>
      </c>
      <c r="C71" s="24">
        <v>5.5413351781390521E-2</v>
      </c>
      <c r="D71" s="24"/>
      <c r="E71" s="24">
        <v>18.046192259675408</v>
      </c>
      <c r="F71" s="24"/>
      <c r="G71" s="24">
        <f t="shared" si="30"/>
        <v>1.256385579922439</v>
      </c>
      <c r="H71" t="s">
        <v>134</v>
      </c>
    </row>
    <row r="72" spans="1:8" x14ac:dyDescent="0.2">
      <c r="A72" s="24" t="s">
        <v>81</v>
      </c>
      <c r="B72" s="24" t="s">
        <v>82</v>
      </c>
      <c r="C72" s="24">
        <v>7.3500967117988397E-2</v>
      </c>
      <c r="D72" s="24"/>
      <c r="E72" s="24">
        <v>13.605263157894736</v>
      </c>
      <c r="F72" s="24"/>
      <c r="G72" s="24">
        <f t="shared" si="30"/>
        <v>1.1337069464771323</v>
      </c>
      <c r="H72" t="s">
        <v>134</v>
      </c>
    </row>
    <row r="73" spans="1:8" x14ac:dyDescent="0.2">
      <c r="A73" s="24" t="s">
        <v>81</v>
      </c>
      <c r="B73" s="24" t="s">
        <v>82</v>
      </c>
      <c r="C73" s="24">
        <v>4.008849557522124E-2</v>
      </c>
      <c r="D73" s="24"/>
      <c r="E73" s="24">
        <v>24.944812362030902</v>
      </c>
      <c r="F73" s="24"/>
      <c r="G73" s="24">
        <f t="shared" si="30"/>
        <v>1.3969802414705879</v>
      </c>
      <c r="H73" t="s">
        <v>134</v>
      </c>
    </row>
    <row r="74" spans="1:8" x14ac:dyDescent="0.2">
      <c r="A74" s="24" t="s">
        <v>81</v>
      </c>
      <c r="B74" s="24" t="s">
        <v>82</v>
      </c>
      <c r="C74" s="24">
        <v>2.6979291670512939E-2</v>
      </c>
      <c r="D74" s="24"/>
      <c r="E74" s="24">
        <v>37.065465328467155</v>
      </c>
      <c r="F74" s="24"/>
      <c r="G74" s="24">
        <f t="shared" si="30"/>
        <v>1.5689694567258576</v>
      </c>
      <c r="H74" t="s">
        <v>134</v>
      </c>
    </row>
    <row r="75" spans="1:8" x14ac:dyDescent="0.2">
      <c r="A75" s="24" t="s">
        <v>81</v>
      </c>
      <c r="B75" s="24" t="s">
        <v>82</v>
      </c>
      <c r="C75" s="24">
        <v>0.41044776119402981</v>
      </c>
      <c r="D75" s="24"/>
      <c r="E75" s="24">
        <v>2.4363636363636365</v>
      </c>
      <c r="F75" s="24"/>
      <c r="G75" s="24">
        <f t="shared" si="30"/>
        <v>0.38674210887056382</v>
      </c>
      <c r="H75" t="s">
        <v>134</v>
      </c>
    </row>
    <row r="76" spans="1:8" x14ac:dyDescent="0.2">
      <c r="A76" s="24" t="s">
        <v>81</v>
      </c>
      <c r="B76" s="24" t="s">
        <v>82</v>
      </c>
      <c r="C76" s="25">
        <v>5.0799999999999998E-2</v>
      </c>
      <c r="D76" s="24"/>
      <c r="E76" s="24">
        <v>19.68</v>
      </c>
      <c r="F76" s="24"/>
      <c r="G76" s="24">
        <f t="shared" si="30"/>
        <v>1.2940250940953226</v>
      </c>
      <c r="H76" t="s">
        <v>134</v>
      </c>
    </row>
    <row r="77" spans="1:8" x14ac:dyDescent="0.2">
      <c r="A77" s="24" t="s">
        <v>81</v>
      </c>
      <c r="B77" s="24" t="s">
        <v>82</v>
      </c>
      <c r="C77" s="24">
        <v>0.42415388361334305</v>
      </c>
      <c r="D77" s="24"/>
      <c r="E77" s="24">
        <v>2.3576349024110215</v>
      </c>
      <c r="F77" s="24"/>
      <c r="G77" s="24">
        <f t="shared" si="30"/>
        <v>0.37247655218200798</v>
      </c>
      <c r="H77" t="s">
        <v>134</v>
      </c>
    </row>
    <row r="78" spans="1:8" x14ac:dyDescent="0.2">
      <c r="A78" s="24" t="s">
        <v>81</v>
      </c>
      <c r="B78" s="24" t="s">
        <v>82</v>
      </c>
      <c r="C78" s="24">
        <v>0.15755246107726528</v>
      </c>
      <c r="D78" s="24"/>
      <c r="E78" s="24">
        <v>6.3470922203467852</v>
      </c>
      <c r="F78" s="24"/>
      <c r="G78" s="24">
        <f t="shared" si="30"/>
        <v>0.80257480845997298</v>
      </c>
      <c r="H78" t="s">
        <v>134</v>
      </c>
    </row>
    <row r="79" spans="1:8" x14ac:dyDescent="0.2">
      <c r="A79" s="24" t="s">
        <v>81</v>
      </c>
      <c r="B79" s="24" t="s">
        <v>82</v>
      </c>
      <c r="C79" s="24">
        <v>2.5194805194805193E-2</v>
      </c>
      <c r="D79" s="24"/>
      <c r="E79" s="24">
        <v>39.690721649484537</v>
      </c>
      <c r="F79" s="24"/>
      <c r="G79" s="24">
        <f t="shared" si="30"/>
        <v>1.5986889952422558</v>
      </c>
      <c r="H79" t="s">
        <v>134</v>
      </c>
    </row>
    <row r="80" spans="1:8" x14ac:dyDescent="0.2">
      <c r="A80" s="24"/>
      <c r="B80" s="24"/>
      <c r="C80" s="24"/>
      <c r="D80" s="24"/>
      <c r="E80" s="24"/>
      <c r="F80" s="24"/>
      <c r="G80" s="24"/>
    </row>
    <row r="81" spans="1:8" x14ac:dyDescent="0.2">
      <c r="A81" s="24" t="s">
        <v>44</v>
      </c>
      <c r="B81" s="24" t="s">
        <v>57</v>
      </c>
      <c r="C81" s="24">
        <v>0.51762173796072108</v>
      </c>
      <c r="D81" s="24"/>
      <c r="E81" s="24">
        <v>1.9319126819126817</v>
      </c>
      <c r="F81" s="24"/>
      <c r="G81" s="24">
        <f t="shared" si="30"/>
        <v>0.2859874933939317</v>
      </c>
      <c r="H81" t="s">
        <v>135</v>
      </c>
    </row>
    <row r="82" spans="1:8" x14ac:dyDescent="0.2">
      <c r="A82" s="24" t="s">
        <v>44</v>
      </c>
      <c r="B82" s="24" t="s">
        <v>57</v>
      </c>
      <c r="C82" s="24">
        <v>1.0247747747747749</v>
      </c>
      <c r="D82" s="24"/>
      <c r="E82" s="24">
        <v>0.97582417582417591</v>
      </c>
      <c r="F82" s="24"/>
      <c r="G82" s="24">
        <f t="shared" si="30"/>
        <v>-1.0628426542492542E-2</v>
      </c>
      <c r="H82" t="s">
        <v>135</v>
      </c>
    </row>
    <row r="83" spans="1:8" x14ac:dyDescent="0.2">
      <c r="A83" s="24" t="s">
        <v>44</v>
      </c>
      <c r="B83" s="24" t="s">
        <v>57</v>
      </c>
      <c r="C83" s="24">
        <v>0.91331923890063416</v>
      </c>
      <c r="D83" s="24"/>
      <c r="E83" s="24">
        <v>1.0949074074074074</v>
      </c>
      <c r="F83" s="24"/>
      <c r="G83" s="24">
        <f t="shared" si="30"/>
        <v>3.937739392289949E-2</v>
      </c>
      <c r="H83" t="s">
        <v>135</v>
      </c>
    </row>
    <row r="84" spans="1:8" x14ac:dyDescent="0.2">
      <c r="A84" s="24" t="s">
        <v>44</v>
      </c>
      <c r="B84" s="24" t="s">
        <v>57</v>
      </c>
      <c r="C84" s="24">
        <v>0.40579710144927539</v>
      </c>
      <c r="D84" s="24"/>
      <c r="E84" s="24">
        <v>2.4642857142857144</v>
      </c>
      <c r="F84" s="24"/>
      <c r="G84" s="24">
        <f t="shared" si="30"/>
        <v>0.39169105939503612</v>
      </c>
      <c r="H84" t="s">
        <v>135</v>
      </c>
    </row>
    <row r="85" spans="1:8" x14ac:dyDescent="0.2">
      <c r="A85" s="24" t="s">
        <v>44</v>
      </c>
      <c r="B85" s="24" t="s">
        <v>57</v>
      </c>
      <c r="C85" s="24">
        <v>0.1386029411764706</v>
      </c>
      <c r="D85" s="24"/>
      <c r="E85" s="24">
        <v>7.2148541114058355</v>
      </c>
      <c r="F85" s="24"/>
      <c r="G85" s="24">
        <f t="shared" si="30"/>
        <v>0.85822755382840588</v>
      </c>
      <c r="H85" t="s">
        <v>135</v>
      </c>
    </row>
    <row r="86" spans="1:8" x14ac:dyDescent="0.2">
      <c r="A86" s="24" t="s">
        <v>44</v>
      </c>
      <c r="B86" s="24" t="s">
        <v>57</v>
      </c>
      <c r="C86" s="24">
        <v>0.23786695221540335</v>
      </c>
      <c r="D86" s="24"/>
      <c r="E86" s="24">
        <v>4.2040308276806675</v>
      </c>
      <c r="F86" s="24"/>
      <c r="G86" s="24">
        <f t="shared" si="30"/>
        <v>0.62366589200000011</v>
      </c>
      <c r="H86" t="s">
        <v>135</v>
      </c>
    </row>
    <row r="87" spans="1:8" x14ac:dyDescent="0.2">
      <c r="A87" s="24" t="s">
        <v>44</v>
      </c>
      <c r="B87" s="24" t="s">
        <v>57</v>
      </c>
      <c r="C87" s="24">
        <v>0.56379635449402898</v>
      </c>
      <c r="D87" s="24"/>
      <c r="E87" s="24">
        <v>1.7736900780379039</v>
      </c>
      <c r="F87" s="24"/>
      <c r="G87" s="24">
        <f t="shared" si="30"/>
        <v>0.24887773660248938</v>
      </c>
      <c r="H87" t="s">
        <v>135</v>
      </c>
    </row>
    <row r="88" spans="1:8" x14ac:dyDescent="0.2">
      <c r="A88" s="24" t="s">
        <v>44</v>
      </c>
      <c r="B88" s="24" t="s">
        <v>57</v>
      </c>
      <c r="C88" s="24">
        <v>5.5413351781390521E-2</v>
      </c>
      <c r="D88" s="24"/>
      <c r="E88" s="24">
        <v>18.046192259675408</v>
      </c>
      <c r="F88" s="24"/>
      <c r="G88" s="24">
        <f t="shared" si="30"/>
        <v>1.256385579922439</v>
      </c>
      <c r="H88" t="s">
        <v>135</v>
      </c>
    </row>
    <row r="89" spans="1:8" x14ac:dyDescent="0.2">
      <c r="A89" s="24" t="s">
        <v>44</v>
      </c>
      <c r="B89" s="24" t="s">
        <v>57</v>
      </c>
      <c r="C89" s="24">
        <v>7.3500967117988397E-2</v>
      </c>
      <c r="D89" s="24"/>
      <c r="E89" s="24">
        <v>13.605263157894736</v>
      </c>
      <c r="F89" s="24"/>
      <c r="G89" s="24">
        <f t="shared" si="30"/>
        <v>1.1337069464771323</v>
      </c>
      <c r="H89" t="s">
        <v>135</v>
      </c>
    </row>
    <row r="90" spans="1:8" x14ac:dyDescent="0.2">
      <c r="A90" s="24" t="s">
        <v>44</v>
      </c>
      <c r="B90" s="24" t="s">
        <v>57</v>
      </c>
      <c r="C90">
        <v>3.8961198448957797E-2</v>
      </c>
      <c r="D90" s="24"/>
      <c r="E90">
        <v>25.666561600000001</v>
      </c>
      <c r="F90" s="24"/>
      <c r="G90" s="24">
        <f t="shared" si="30"/>
        <v>1.409367692661899</v>
      </c>
      <c r="H90" t="s">
        <v>135</v>
      </c>
    </row>
  </sheetData>
  <mergeCells count="3">
    <mergeCell ref="D2:E2"/>
    <mergeCell ref="F2:G2"/>
    <mergeCell ref="C1:G1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C6" sqref="C6"/>
    </sheetView>
  </sheetViews>
  <sheetFormatPr baseColWidth="10" defaultColWidth="11" defaultRowHeight="16" x14ac:dyDescent="0.2"/>
  <cols>
    <col min="12" max="12" width="22.33203125" customWidth="1"/>
  </cols>
  <sheetData>
    <row r="1" spans="1:14" x14ac:dyDescent="0.2">
      <c r="B1" t="s">
        <v>104</v>
      </c>
    </row>
    <row r="2" spans="1:14" x14ac:dyDescent="0.2">
      <c r="A2" s="24"/>
      <c r="B2" s="24"/>
      <c r="C2" s="24" t="s">
        <v>92</v>
      </c>
      <c r="D2" s="24"/>
      <c r="E2" s="24"/>
      <c r="F2" s="24"/>
      <c r="G2" s="24"/>
      <c r="H2" s="24" t="s">
        <v>93</v>
      </c>
      <c r="I2" s="24"/>
      <c r="J2" s="24"/>
    </row>
    <row r="3" spans="1:14" x14ac:dyDescent="0.2">
      <c r="A3" s="24"/>
      <c r="B3" s="24"/>
      <c r="C3" s="31" t="s">
        <v>101</v>
      </c>
      <c r="D3" s="31" t="s">
        <v>102</v>
      </c>
      <c r="E3" s="24"/>
      <c r="F3" s="24"/>
      <c r="G3" s="24"/>
      <c r="H3" s="31" t="s">
        <v>101</v>
      </c>
      <c r="I3" s="31" t="s">
        <v>102</v>
      </c>
      <c r="J3" s="24"/>
    </row>
    <row r="4" spans="1:14" x14ac:dyDescent="0.2">
      <c r="A4" s="24"/>
      <c r="B4" s="24"/>
      <c r="C4" s="24" t="s">
        <v>35</v>
      </c>
      <c r="D4" s="24" t="s">
        <v>58</v>
      </c>
      <c r="E4" s="24" t="s">
        <v>87</v>
      </c>
      <c r="F4" s="24"/>
      <c r="G4" s="24"/>
      <c r="H4" s="24" t="s">
        <v>35</v>
      </c>
      <c r="I4" s="24" t="s">
        <v>58</v>
      </c>
      <c r="J4" s="24" t="s">
        <v>86</v>
      </c>
      <c r="L4" s="5" t="s">
        <v>103</v>
      </c>
      <c r="M4" s="5" t="s">
        <v>128</v>
      </c>
    </row>
    <row r="5" spans="1:14" x14ac:dyDescent="0.2">
      <c r="A5" s="24">
        <v>1</v>
      </c>
      <c r="B5" s="24" t="s">
        <v>80</v>
      </c>
      <c r="C5" s="29">
        <f>(34/20)*10000</f>
        <v>17000</v>
      </c>
      <c r="D5" s="29">
        <f>(49/20)*10000</f>
        <v>24500</v>
      </c>
      <c r="E5" s="29">
        <f>C5/D5</f>
        <v>0.69387755102040816</v>
      </c>
      <c r="F5" s="24"/>
      <c r="G5" s="24"/>
      <c r="H5" s="29">
        <v>460000000</v>
      </c>
      <c r="I5" s="29">
        <v>1360000000</v>
      </c>
      <c r="J5" s="29">
        <f>H5/I5</f>
        <v>0.33823529411764708</v>
      </c>
      <c r="L5" s="4">
        <f>J5/E5</f>
        <v>0.48745674740484435</v>
      </c>
      <c r="M5">
        <f>LOG10(L5)</f>
        <v>-0.31206391370238484</v>
      </c>
    </row>
    <row r="6" spans="1:14" x14ac:dyDescent="0.2">
      <c r="A6" s="24">
        <v>2</v>
      </c>
      <c r="B6" s="24" t="s">
        <v>80</v>
      </c>
      <c r="C6" s="29">
        <f>(57/20)*10000</f>
        <v>28500</v>
      </c>
      <c r="D6" s="29">
        <f>(65/20)*10000</f>
        <v>32500</v>
      </c>
      <c r="E6" s="29">
        <f t="shared" ref="E6" si="0">C6/D6</f>
        <v>0.87692307692307692</v>
      </c>
      <c r="F6" s="24"/>
      <c r="G6" s="24"/>
      <c r="H6" s="29">
        <v>290000000</v>
      </c>
      <c r="I6" s="29">
        <v>1080000000</v>
      </c>
      <c r="J6" s="29">
        <f>H6/I6</f>
        <v>0.26851851851851855</v>
      </c>
      <c r="L6" s="4">
        <f t="shared" ref="L6:L44" si="1">J6/E6</f>
        <v>0.30620532813515272</v>
      </c>
      <c r="M6">
        <f t="shared" ref="M6:M7" si="2">LOG10(L6)</f>
        <v>-0.51398725661762945</v>
      </c>
    </row>
    <row r="7" spans="1:14" x14ac:dyDescent="0.2">
      <c r="A7" s="24">
        <v>3</v>
      </c>
      <c r="B7" s="24" t="s">
        <v>80</v>
      </c>
      <c r="C7" s="29">
        <f>(28/20)*10000</f>
        <v>14000</v>
      </c>
      <c r="D7" s="29">
        <f>(23/20)*10000</f>
        <v>11500</v>
      </c>
      <c r="E7" s="29">
        <f>C7/D7</f>
        <v>1.2173913043478262</v>
      </c>
      <c r="F7" s="24"/>
      <c r="G7" s="24"/>
      <c r="H7" s="29">
        <v>160000000</v>
      </c>
      <c r="I7" s="29">
        <v>540000000</v>
      </c>
      <c r="J7" s="29">
        <f>H7/I7</f>
        <v>0.29629629629629628</v>
      </c>
      <c r="L7" s="4">
        <f t="shared" si="1"/>
        <v>0.24338624338624334</v>
      </c>
      <c r="M7">
        <f t="shared" si="2"/>
        <v>-0.61370397249167019</v>
      </c>
    </row>
    <row r="8" spans="1:14" x14ac:dyDescent="0.2">
      <c r="A8" s="24"/>
      <c r="B8" s="24"/>
      <c r="C8" s="29"/>
      <c r="D8" s="29"/>
      <c r="E8" s="29"/>
      <c r="F8" s="24"/>
      <c r="G8" s="24"/>
      <c r="H8" s="29"/>
      <c r="I8" s="29"/>
      <c r="J8" s="29"/>
      <c r="L8" s="32">
        <f>AVERAGE(L5:L7)</f>
        <v>0.34568277297541344</v>
      </c>
      <c r="M8" s="32">
        <f>AVERAGE(M5:M7)</f>
        <v>-0.47991838093722822</v>
      </c>
      <c r="N8" t="s">
        <v>75</v>
      </c>
    </row>
    <row r="9" spans="1:14" x14ac:dyDescent="0.2">
      <c r="A9" s="24"/>
      <c r="B9" s="24"/>
      <c r="C9" s="29"/>
      <c r="D9" s="29"/>
      <c r="E9" s="29"/>
      <c r="F9" s="24"/>
      <c r="G9" s="24"/>
      <c r="H9" s="29"/>
      <c r="I9" s="29"/>
      <c r="J9" s="29"/>
      <c r="L9">
        <f>STDEV(L5:L7)/SQRT(3)</f>
        <v>7.3169789351686193E-2</v>
      </c>
      <c r="M9">
        <f>STDEV(M5:M7)/SQRT(3)</f>
        <v>8.8726541470963538E-2</v>
      </c>
      <c r="N9" t="s">
        <v>20</v>
      </c>
    </row>
    <row r="10" spans="1:14" x14ac:dyDescent="0.2">
      <c r="A10" s="24"/>
      <c r="B10" s="24"/>
      <c r="C10" s="29"/>
      <c r="D10" s="29"/>
      <c r="E10" s="29"/>
      <c r="F10" s="24"/>
      <c r="G10" s="24"/>
      <c r="H10" s="29"/>
      <c r="I10" s="29"/>
      <c r="J10" s="29"/>
      <c r="L10" s="4"/>
    </row>
    <row r="11" spans="1:14" x14ac:dyDescent="0.2">
      <c r="A11" s="24"/>
      <c r="B11" s="24"/>
      <c r="C11" s="29" t="s">
        <v>37</v>
      </c>
      <c r="D11" s="29" t="s">
        <v>58</v>
      </c>
      <c r="E11" s="29"/>
      <c r="F11" s="24"/>
      <c r="G11" s="24"/>
      <c r="H11" s="29" t="s">
        <v>37</v>
      </c>
      <c r="I11" s="29" t="s">
        <v>58</v>
      </c>
      <c r="J11" s="29"/>
      <c r="L11" s="4"/>
    </row>
    <row r="12" spans="1:14" x14ac:dyDescent="0.2">
      <c r="A12" s="24">
        <v>1</v>
      </c>
      <c r="B12" s="24" t="s">
        <v>94</v>
      </c>
      <c r="C12" s="29">
        <f>(1088/20)*100</f>
        <v>5440</v>
      </c>
      <c r="D12" s="29">
        <f>1092*5</f>
        <v>5460</v>
      </c>
      <c r="E12" s="29">
        <f>C12/D12</f>
        <v>0.99633699633699635</v>
      </c>
      <c r="F12" s="24"/>
      <c r="G12" s="24"/>
      <c r="H12" s="29">
        <v>210000000</v>
      </c>
      <c r="I12" s="29">
        <v>1250000000</v>
      </c>
      <c r="J12" s="29">
        <f>H12/I12</f>
        <v>0.16800000000000001</v>
      </c>
      <c r="L12" s="4">
        <f t="shared" si="1"/>
        <v>0.16861764705882354</v>
      </c>
      <c r="M12">
        <f>LOG10(L12)</f>
        <v>-0.77309697526757981</v>
      </c>
    </row>
    <row r="13" spans="1:14" x14ac:dyDescent="0.2">
      <c r="A13" s="24">
        <v>2</v>
      </c>
      <c r="B13" s="24" t="s">
        <v>94</v>
      </c>
      <c r="C13" s="29">
        <f>(33/20)*10000</f>
        <v>16500</v>
      </c>
      <c r="D13" s="29">
        <f>(38/20)*10000</f>
        <v>19000</v>
      </c>
      <c r="E13" s="29">
        <f t="shared" ref="E13:E14" si="3">C13/D13</f>
        <v>0.86842105263157898</v>
      </c>
      <c r="F13" s="24"/>
      <c r="G13" s="24"/>
      <c r="H13" s="29">
        <v>190000000</v>
      </c>
      <c r="I13" s="29">
        <v>1120000000</v>
      </c>
      <c r="J13" s="29">
        <f t="shared" ref="J13:J14" si="4">H13/I13</f>
        <v>0.16964285714285715</v>
      </c>
      <c r="L13" s="4">
        <f t="shared" si="1"/>
        <v>0.19534632034632035</v>
      </c>
      <c r="M13">
        <f t="shared" ref="M13:M14" si="5">LOG10(L13)</f>
        <v>-0.70919476497842993</v>
      </c>
    </row>
    <row r="14" spans="1:14" x14ac:dyDescent="0.2">
      <c r="A14" s="24">
        <v>3</v>
      </c>
      <c r="B14" s="24" t="s">
        <v>94</v>
      </c>
      <c r="C14" s="29">
        <f>(42/20)*10000</f>
        <v>21000</v>
      </c>
      <c r="D14" s="29">
        <f>(39/20)*10000</f>
        <v>19500</v>
      </c>
      <c r="E14" s="29">
        <f t="shared" si="3"/>
        <v>1.0769230769230769</v>
      </c>
      <c r="F14" s="24"/>
      <c r="G14" s="24"/>
      <c r="H14" s="29">
        <v>370000000</v>
      </c>
      <c r="I14" s="29">
        <v>1210000000</v>
      </c>
      <c r="J14" s="29">
        <f t="shared" si="4"/>
        <v>0.30578512396694213</v>
      </c>
      <c r="L14" s="4">
        <f t="shared" si="1"/>
        <v>0.28394332939787487</v>
      </c>
      <c r="M14">
        <f t="shared" si="5"/>
        <v>-0.54676832962085631</v>
      </c>
    </row>
    <row r="15" spans="1:14" x14ac:dyDescent="0.2">
      <c r="A15" s="24"/>
      <c r="B15" s="24"/>
      <c r="C15" s="29"/>
      <c r="D15" s="29"/>
      <c r="E15" s="29"/>
      <c r="F15" s="24"/>
      <c r="G15" s="24"/>
      <c r="H15" s="29"/>
      <c r="I15" s="29"/>
      <c r="J15" s="29"/>
      <c r="L15" s="32">
        <f>AVERAGE(L12:L14)</f>
        <v>0.2159690989343396</v>
      </c>
      <c r="M15" s="32">
        <f>AVERAGE(M12:M14)</f>
        <v>-0.67635335662228879</v>
      </c>
      <c r="N15" t="s">
        <v>75</v>
      </c>
    </row>
    <row r="16" spans="1:14" x14ac:dyDescent="0.2">
      <c r="A16" s="24"/>
      <c r="B16" s="24"/>
      <c r="C16" s="29"/>
      <c r="D16" s="29"/>
      <c r="E16" s="29"/>
      <c r="F16" s="24"/>
      <c r="G16" s="24"/>
      <c r="H16" s="29"/>
      <c r="I16" s="29"/>
      <c r="J16" s="29"/>
      <c r="L16">
        <f>STDEV(L12:L14)/SQRT(3)</f>
        <v>3.4851960725616665E-2</v>
      </c>
      <c r="M16">
        <f>STDEV(M12:M14)/SQRT(3)</f>
        <v>6.736735741979917E-2</v>
      </c>
      <c r="N16" t="s">
        <v>20</v>
      </c>
    </row>
    <row r="17" spans="1:14" x14ac:dyDescent="0.2">
      <c r="A17" s="24"/>
      <c r="B17" s="24"/>
      <c r="C17" s="29"/>
      <c r="D17" s="29"/>
      <c r="E17" s="29"/>
      <c r="F17" s="24"/>
      <c r="G17" s="24"/>
      <c r="H17" s="29"/>
      <c r="I17" s="29"/>
      <c r="J17" s="29"/>
      <c r="L17" s="4"/>
    </row>
    <row r="18" spans="1:14" x14ac:dyDescent="0.2">
      <c r="A18" s="24"/>
      <c r="B18" s="24"/>
      <c r="C18" s="29" t="s">
        <v>30</v>
      </c>
      <c r="D18" s="29" t="s">
        <v>58</v>
      </c>
      <c r="E18" s="29"/>
      <c r="F18" s="24"/>
      <c r="G18" s="24"/>
      <c r="H18" s="29" t="s">
        <v>30</v>
      </c>
      <c r="I18" s="29" t="s">
        <v>58</v>
      </c>
      <c r="J18" s="29"/>
      <c r="L18" s="4"/>
    </row>
    <row r="19" spans="1:14" x14ac:dyDescent="0.2">
      <c r="A19" s="24">
        <v>1</v>
      </c>
      <c r="B19" s="24" t="s">
        <v>95</v>
      </c>
      <c r="C19" s="29">
        <f>(27/20)*10000</f>
        <v>13500</v>
      </c>
      <c r="D19" s="29">
        <f>(62/20)*10000</f>
        <v>31000</v>
      </c>
      <c r="E19" s="29">
        <f>C19/D19</f>
        <v>0.43548387096774194</v>
      </c>
      <c r="F19" s="24"/>
      <c r="G19" s="24"/>
      <c r="H19" s="29">
        <v>1</v>
      </c>
      <c r="I19" s="29">
        <v>1260000000</v>
      </c>
      <c r="J19" s="29">
        <f>H19/I19</f>
        <v>7.9365079365079363E-10</v>
      </c>
      <c r="L19" s="4">
        <f t="shared" si="1"/>
        <v>1.8224573780129335E-9</v>
      </c>
      <c r="M19">
        <f>LOG10(L19)</f>
        <v>-8.7393426197782969</v>
      </c>
    </row>
    <row r="20" spans="1:14" x14ac:dyDescent="0.2">
      <c r="A20" s="24">
        <v>2</v>
      </c>
      <c r="B20" s="24" t="s">
        <v>95</v>
      </c>
      <c r="C20" s="29">
        <f>(6/20)*10000</f>
        <v>3000</v>
      </c>
      <c r="D20" s="29">
        <f>(47/20)*10000</f>
        <v>23500</v>
      </c>
      <c r="E20" s="29">
        <f t="shared" ref="E20:E21" si="6">C20/D20</f>
        <v>0.1276595744680851</v>
      </c>
      <c r="F20" s="24"/>
      <c r="G20" s="24"/>
      <c r="H20" s="29">
        <v>1</v>
      </c>
      <c r="I20" s="29">
        <v>940000000</v>
      </c>
      <c r="J20" s="29">
        <f t="shared" ref="J20:J21" si="7">H20/I20</f>
        <v>1.0638297872340426E-9</v>
      </c>
      <c r="L20" s="4">
        <f t="shared" si="1"/>
        <v>8.3333333333333335E-9</v>
      </c>
      <c r="M20">
        <f t="shared" ref="M20:M21" si="8">LOG10(L20)</f>
        <v>-8.0791812460476251</v>
      </c>
    </row>
    <row r="21" spans="1:14" x14ac:dyDescent="0.2">
      <c r="A21" s="24">
        <v>3</v>
      </c>
      <c r="B21" s="24" t="s">
        <v>95</v>
      </c>
      <c r="C21" s="29">
        <f>(12/20)*10000</f>
        <v>6000</v>
      </c>
      <c r="D21" s="29">
        <f>(72/20)*10000</f>
        <v>36000</v>
      </c>
      <c r="E21" s="29">
        <f t="shared" si="6"/>
        <v>0.16666666666666666</v>
      </c>
      <c r="F21" s="24"/>
      <c r="G21" s="24"/>
      <c r="H21" s="29">
        <v>1</v>
      </c>
      <c r="I21" s="29">
        <v>1140000000</v>
      </c>
      <c r="J21" s="29">
        <f t="shared" si="7"/>
        <v>8.7719298245614035E-10</v>
      </c>
      <c r="L21" s="4">
        <f t="shared" si="1"/>
        <v>5.2631578947368421E-9</v>
      </c>
      <c r="M21">
        <f t="shared" si="8"/>
        <v>-8.2787536009528289</v>
      </c>
    </row>
    <row r="22" spans="1:14" x14ac:dyDescent="0.2">
      <c r="A22" s="24"/>
      <c r="B22" s="24"/>
      <c r="C22" s="29"/>
      <c r="D22" s="29"/>
      <c r="E22" s="29"/>
      <c r="F22" s="24"/>
      <c r="G22" s="24"/>
      <c r="H22" s="29"/>
      <c r="I22" s="29"/>
      <c r="J22" s="29"/>
      <c r="L22" s="4">
        <f>AVERAGE(L19:L21)</f>
        <v>5.1396495353610364E-9</v>
      </c>
      <c r="M22" s="4">
        <f>AVERAGE(M19:M21)</f>
        <v>-8.3657591555929169</v>
      </c>
      <c r="N22" t="s">
        <v>75</v>
      </c>
    </row>
    <row r="23" spans="1:14" x14ac:dyDescent="0.2">
      <c r="A23" s="24"/>
      <c r="B23" s="24"/>
      <c r="C23" s="29"/>
      <c r="D23" s="29"/>
      <c r="E23" s="29"/>
      <c r="F23" s="24"/>
      <c r="G23" s="24"/>
      <c r="H23" s="29"/>
      <c r="I23" s="29"/>
      <c r="J23" s="29"/>
      <c r="L23">
        <f>STDEV(L19:L21)/SQRT(3)</f>
        <v>1.8805422234486088E-9</v>
      </c>
      <c r="M23">
        <f>STDEV(M19:M21)/SQRT(3)</f>
        <v>0.19547440987263434</v>
      </c>
      <c r="N23" t="s">
        <v>20</v>
      </c>
    </row>
    <row r="24" spans="1:14" x14ac:dyDescent="0.2">
      <c r="A24" s="24"/>
      <c r="B24" s="24"/>
      <c r="C24" s="29"/>
      <c r="D24" s="29"/>
      <c r="E24" s="29"/>
      <c r="F24" s="24"/>
      <c r="G24" s="24"/>
      <c r="H24" s="29"/>
      <c r="I24" s="29"/>
      <c r="J24" s="29"/>
      <c r="L24" s="4"/>
    </row>
    <row r="25" spans="1:14" x14ac:dyDescent="0.2">
      <c r="A25" s="24"/>
      <c r="B25" s="24"/>
      <c r="C25" s="29" t="s">
        <v>35</v>
      </c>
      <c r="D25" s="29" t="s">
        <v>30</v>
      </c>
      <c r="E25" s="29"/>
      <c r="F25" s="24"/>
      <c r="G25" s="24"/>
      <c r="H25" s="29" t="s">
        <v>35</v>
      </c>
      <c r="I25" s="29" t="s">
        <v>30</v>
      </c>
      <c r="J25" s="29"/>
      <c r="L25" s="4"/>
    </row>
    <row r="26" spans="1:14" x14ac:dyDescent="0.2">
      <c r="A26" s="24">
        <v>1</v>
      </c>
      <c r="B26" s="24" t="s">
        <v>96</v>
      </c>
      <c r="C26" s="29">
        <f>(48/20)*10000</f>
        <v>24000</v>
      </c>
      <c r="D26" s="29">
        <v>13359.999999999998</v>
      </c>
      <c r="E26" s="29">
        <f>C26/D26</f>
        <v>1.7964071856287427</v>
      </c>
      <c r="F26" s="24"/>
      <c r="G26" s="24"/>
      <c r="H26" s="29">
        <v>480000000</v>
      </c>
      <c r="I26" s="29">
        <v>80000000</v>
      </c>
      <c r="J26" s="29">
        <f>H26/I26</f>
        <v>6</v>
      </c>
      <c r="L26" s="4">
        <f t="shared" si="1"/>
        <v>3.34</v>
      </c>
      <c r="M26">
        <f>LOG10(L26)</f>
        <v>0.52374646681156445</v>
      </c>
    </row>
    <row r="27" spans="1:14" x14ac:dyDescent="0.2">
      <c r="A27" s="24">
        <v>2</v>
      </c>
      <c r="B27" s="24" t="s">
        <v>96</v>
      </c>
      <c r="C27" s="29">
        <f>(40/20)*10000</f>
        <v>20000</v>
      </c>
      <c r="D27" s="29">
        <f>(31/20)*10000</f>
        <v>15500</v>
      </c>
      <c r="E27" s="29">
        <f t="shared" ref="E27:E28" si="9">C27/D27</f>
        <v>1.2903225806451613</v>
      </c>
      <c r="F27" s="24"/>
      <c r="G27" s="24"/>
      <c r="H27" s="29">
        <v>730000000</v>
      </c>
      <c r="I27" s="29">
        <v>90000000</v>
      </c>
      <c r="J27" s="29">
        <f t="shared" ref="J27:J28" si="10">H27/I27</f>
        <v>8.1111111111111107</v>
      </c>
      <c r="L27" s="4">
        <f t="shared" si="1"/>
        <v>6.2861111111111105</v>
      </c>
      <c r="M27">
        <f t="shared" ref="M27:M28" si="11">LOG10(L27)</f>
        <v>0.79838205318744127</v>
      </c>
    </row>
    <row r="28" spans="1:14" x14ac:dyDescent="0.2">
      <c r="A28" s="24">
        <v>3</v>
      </c>
      <c r="B28" s="24" t="s">
        <v>96</v>
      </c>
      <c r="C28" s="29">
        <f>(56/20)*10000</f>
        <v>28000</v>
      </c>
      <c r="D28" s="29">
        <f>(41/20)*10000</f>
        <v>20500</v>
      </c>
      <c r="E28" s="29">
        <f t="shared" si="9"/>
        <v>1.3658536585365855</v>
      </c>
      <c r="F28" s="24"/>
      <c r="G28" s="24"/>
      <c r="H28" s="29">
        <v>920000000</v>
      </c>
      <c r="I28" s="29">
        <v>80000000</v>
      </c>
      <c r="J28" s="29">
        <f t="shared" si="10"/>
        <v>11.5</v>
      </c>
      <c r="L28" s="4">
        <f t="shared" si="1"/>
        <v>8.4196428571428559</v>
      </c>
      <c r="M28">
        <f t="shared" si="11"/>
        <v>0.92529367006714669</v>
      </c>
    </row>
    <row r="29" spans="1:14" x14ac:dyDescent="0.2">
      <c r="A29" s="24"/>
      <c r="B29" s="24"/>
      <c r="C29" s="29"/>
      <c r="D29" s="29"/>
      <c r="E29" s="29"/>
      <c r="F29" s="24"/>
      <c r="G29" s="24"/>
      <c r="H29" s="29"/>
      <c r="I29" s="29"/>
      <c r="J29" s="29"/>
      <c r="L29" s="32">
        <f>AVERAGE(L26:L28)</f>
        <v>6.0152513227513227</v>
      </c>
      <c r="M29" s="32">
        <f>AVERAGE(M26:M28)</f>
        <v>0.74914073002205084</v>
      </c>
      <c r="N29" t="s">
        <v>75</v>
      </c>
    </row>
    <row r="30" spans="1:14" x14ac:dyDescent="0.2">
      <c r="A30" s="24"/>
      <c r="B30" s="24"/>
      <c r="C30" s="29"/>
      <c r="D30" s="29"/>
      <c r="E30" s="29"/>
      <c r="F30" s="24"/>
      <c r="G30" s="24"/>
      <c r="H30" s="29"/>
      <c r="I30" s="29"/>
      <c r="J30" s="29"/>
      <c r="L30">
        <f>STDEV(L26:L28)/SQRT(3)</f>
        <v>1.4726072861587289</v>
      </c>
      <c r="M30">
        <f>STDEV(M26:M28)/SQRT(3)</f>
        <v>0.11850255980484664</v>
      </c>
      <c r="N30" t="s">
        <v>20</v>
      </c>
    </row>
    <row r="31" spans="1:14" x14ac:dyDescent="0.2">
      <c r="A31" s="24"/>
      <c r="B31" s="24"/>
      <c r="C31" s="29"/>
      <c r="D31" s="29"/>
      <c r="E31" s="29"/>
      <c r="F31" s="24"/>
      <c r="G31" s="24"/>
      <c r="H31" s="29"/>
      <c r="I31" s="29"/>
      <c r="J31" s="29"/>
      <c r="L31" s="4"/>
    </row>
    <row r="32" spans="1:14" x14ac:dyDescent="0.2">
      <c r="A32" s="24"/>
      <c r="B32" s="24"/>
      <c r="C32" s="29"/>
      <c r="D32" s="29"/>
      <c r="E32" s="29"/>
      <c r="F32" s="24"/>
      <c r="G32" s="24"/>
      <c r="H32" s="29"/>
      <c r="I32" s="29"/>
      <c r="J32" s="29"/>
      <c r="L32" s="4"/>
    </row>
    <row r="33" spans="1:14" x14ac:dyDescent="0.2">
      <c r="A33" s="24"/>
      <c r="B33" s="24"/>
      <c r="C33" s="29" t="s">
        <v>37</v>
      </c>
      <c r="D33" s="29" t="s">
        <v>30</v>
      </c>
      <c r="E33" s="29"/>
      <c r="F33" s="24"/>
      <c r="G33" s="24"/>
      <c r="H33" s="29" t="s">
        <v>37</v>
      </c>
      <c r="I33" s="29" t="s">
        <v>30</v>
      </c>
      <c r="J33" s="29"/>
      <c r="L33" s="4"/>
    </row>
    <row r="34" spans="1:14" x14ac:dyDescent="0.2">
      <c r="A34" s="24">
        <v>1</v>
      </c>
      <c r="B34" s="24" t="s">
        <v>97</v>
      </c>
      <c r="C34" s="29">
        <f>(106/20)*10000</f>
        <v>53000</v>
      </c>
      <c r="D34" s="29">
        <v>46444.736842105267</v>
      </c>
      <c r="E34" s="29">
        <f>C34/D34</f>
        <v>1.141141141141141</v>
      </c>
      <c r="F34" s="24"/>
      <c r="G34" s="24"/>
      <c r="H34" s="29">
        <v>570000000</v>
      </c>
      <c r="I34" s="29">
        <v>150000000</v>
      </c>
      <c r="J34" s="29">
        <f>H34/I34</f>
        <v>3.8</v>
      </c>
      <c r="L34" s="4">
        <f t="shared" si="1"/>
        <v>3.3300000000000005</v>
      </c>
      <c r="M34">
        <f>LOG10(L34)</f>
        <v>0.52244423350631997</v>
      </c>
    </row>
    <row r="35" spans="1:14" x14ac:dyDescent="0.2">
      <c r="A35" s="24">
        <v>2</v>
      </c>
      <c r="B35" s="24" t="s">
        <v>97</v>
      </c>
      <c r="C35" s="29">
        <f>(60/20)*10000</f>
        <v>30000</v>
      </c>
      <c r="D35" s="29">
        <f>(29/20)*10000</f>
        <v>14500</v>
      </c>
      <c r="E35" s="29">
        <f t="shared" ref="E35:E36" si="12">C35/D35</f>
        <v>2.0689655172413794</v>
      </c>
      <c r="F35" s="24"/>
      <c r="G35" s="24"/>
      <c r="H35" s="29">
        <v>880000000</v>
      </c>
      <c r="I35" s="29">
        <v>120000000</v>
      </c>
      <c r="J35" s="29">
        <f t="shared" ref="J35:J36" si="13">H35/I35</f>
        <v>7.333333333333333</v>
      </c>
      <c r="L35" s="4">
        <f t="shared" si="1"/>
        <v>3.5444444444444443</v>
      </c>
      <c r="M35">
        <f t="shared" ref="M35:M36" si="14">LOG10(L35)</f>
        <v>0.54954817361785624</v>
      </c>
    </row>
    <row r="36" spans="1:14" x14ac:dyDescent="0.2">
      <c r="A36" s="24">
        <v>3</v>
      </c>
      <c r="B36" s="24" t="s">
        <v>97</v>
      </c>
      <c r="C36" s="29">
        <f>(54/20)*10000</f>
        <v>27000</v>
      </c>
      <c r="D36" s="29">
        <f>(22/20)*10000</f>
        <v>11000</v>
      </c>
      <c r="E36" s="29">
        <f t="shared" si="12"/>
        <v>2.4545454545454546</v>
      </c>
      <c r="F36" s="24"/>
      <c r="G36" s="24"/>
      <c r="H36" s="29">
        <v>360000000</v>
      </c>
      <c r="I36" s="29">
        <v>70000000</v>
      </c>
      <c r="J36" s="29">
        <f t="shared" si="13"/>
        <v>5.1428571428571432</v>
      </c>
      <c r="L36" s="4">
        <f t="shared" si="1"/>
        <v>2.0952380952380953</v>
      </c>
      <c r="M36">
        <f t="shared" si="14"/>
        <v>0.32123338175226818</v>
      </c>
    </row>
    <row r="37" spans="1:14" x14ac:dyDescent="0.2">
      <c r="A37" s="24"/>
      <c r="B37" s="24"/>
      <c r="C37" s="29"/>
      <c r="D37" s="29"/>
      <c r="E37" s="29"/>
      <c r="F37" s="24"/>
      <c r="G37" s="24"/>
      <c r="H37" s="29"/>
      <c r="I37" s="29"/>
      <c r="J37" s="29"/>
      <c r="L37" s="32">
        <f>AVERAGE(L34:L36)</f>
        <v>2.9898941798941796</v>
      </c>
      <c r="M37" s="32">
        <f>AVERAGE(M34:M36)</f>
        <v>0.46440859629214809</v>
      </c>
      <c r="N37" t="s">
        <v>75</v>
      </c>
    </row>
    <row r="38" spans="1:14" x14ac:dyDescent="0.2">
      <c r="A38" s="24"/>
      <c r="B38" s="24"/>
      <c r="C38" s="29"/>
      <c r="D38" s="29"/>
      <c r="E38" s="29"/>
      <c r="F38" s="24"/>
      <c r="G38" s="24"/>
      <c r="H38" s="29"/>
      <c r="I38" s="29"/>
      <c r="J38" s="29"/>
      <c r="L38">
        <f>STDEV(L34:L36)/SQRT(3)</f>
        <v>0.45159116366369528</v>
      </c>
      <c r="M38">
        <f>STDEV(M34:M36)/SQRT(3)</f>
        <v>7.2013916331724867E-2</v>
      </c>
      <c r="N38" t="s">
        <v>20</v>
      </c>
    </row>
    <row r="39" spans="1:14" x14ac:dyDescent="0.2">
      <c r="A39" s="24"/>
      <c r="B39" s="24"/>
      <c r="C39" s="29"/>
      <c r="D39" s="29"/>
      <c r="E39" s="29"/>
      <c r="F39" s="24"/>
      <c r="G39" s="24"/>
      <c r="H39" s="29"/>
      <c r="I39" s="29"/>
      <c r="J39" s="29"/>
      <c r="L39" s="4"/>
    </row>
    <row r="40" spans="1:14" x14ac:dyDescent="0.2">
      <c r="A40" s="24"/>
      <c r="B40" s="24"/>
      <c r="C40" s="29"/>
      <c r="D40" s="29"/>
      <c r="E40" s="29"/>
      <c r="F40" s="24"/>
      <c r="G40" s="24"/>
      <c r="H40" s="29"/>
      <c r="I40" s="29"/>
      <c r="J40" s="29"/>
      <c r="L40" s="4"/>
    </row>
    <row r="41" spans="1:14" x14ac:dyDescent="0.2">
      <c r="A41" s="24"/>
      <c r="B41" s="24"/>
      <c r="C41" s="29" t="s">
        <v>35</v>
      </c>
      <c r="D41" s="29" t="s">
        <v>37</v>
      </c>
      <c r="E41" s="29"/>
      <c r="F41" s="24"/>
      <c r="G41" s="24"/>
      <c r="H41" s="29" t="s">
        <v>35</v>
      </c>
      <c r="I41" s="29" t="s">
        <v>37</v>
      </c>
      <c r="J41" s="29"/>
      <c r="L41" s="4"/>
    </row>
    <row r="42" spans="1:14" x14ac:dyDescent="0.2">
      <c r="A42" s="24">
        <v>1</v>
      </c>
      <c r="B42" s="24" t="s">
        <v>98</v>
      </c>
      <c r="C42" s="29">
        <f>(277/20)*10000</f>
        <v>138500</v>
      </c>
      <c r="D42" s="29">
        <f>(535/20)*10000</f>
        <v>267500</v>
      </c>
      <c r="E42" s="29">
        <f>C42/D42</f>
        <v>0.51775700934579438</v>
      </c>
      <c r="F42" s="24"/>
      <c r="G42" s="24"/>
      <c r="H42" s="29">
        <v>270000000</v>
      </c>
      <c r="I42" s="29">
        <v>230000000</v>
      </c>
      <c r="J42" s="29">
        <f>H42/I42</f>
        <v>1.173913043478261</v>
      </c>
      <c r="L42" s="4">
        <f t="shared" si="1"/>
        <v>2.2673049756710095</v>
      </c>
      <c r="M42">
        <f>LOG10(L42)</f>
        <v>0.35550994109817435</v>
      </c>
    </row>
    <row r="43" spans="1:14" x14ac:dyDescent="0.2">
      <c r="A43" s="24">
        <v>2</v>
      </c>
      <c r="B43" s="24" t="s">
        <v>98</v>
      </c>
      <c r="C43" s="29">
        <f>(120/20)*10000</f>
        <v>60000</v>
      </c>
      <c r="D43" s="29">
        <f>(246/20)*10000</f>
        <v>123000</v>
      </c>
      <c r="E43" s="29">
        <f t="shared" ref="E43:E44" si="15">C43/D43</f>
        <v>0.48780487804878048</v>
      </c>
      <c r="F43" s="24"/>
      <c r="G43" s="24"/>
      <c r="H43" s="29">
        <v>500000000</v>
      </c>
      <c r="I43" s="29">
        <v>360000000</v>
      </c>
      <c r="J43" s="29">
        <f t="shared" ref="J43:J44" si="16">H43/I43</f>
        <v>1.3888888888888888</v>
      </c>
      <c r="L43" s="4">
        <f t="shared" si="1"/>
        <v>2.8472222222222223</v>
      </c>
      <c r="M43">
        <f t="shared" ref="M43:M44" si="17">LOG10(L43)</f>
        <v>0.45442136462448585</v>
      </c>
    </row>
    <row r="44" spans="1:14" x14ac:dyDescent="0.2">
      <c r="A44" s="24">
        <v>3</v>
      </c>
      <c r="B44" s="24" t="s">
        <v>98</v>
      </c>
      <c r="C44" s="29">
        <f>(132/20)*10000</f>
        <v>66000</v>
      </c>
      <c r="D44" s="29">
        <f>(292/20)*10000</f>
        <v>146000</v>
      </c>
      <c r="E44" s="29">
        <f t="shared" si="15"/>
        <v>0.45205479452054792</v>
      </c>
      <c r="F44" s="24"/>
      <c r="G44" s="24"/>
      <c r="H44" s="29">
        <v>680000000</v>
      </c>
      <c r="I44" s="29">
        <v>500000000</v>
      </c>
      <c r="J44" s="29">
        <f t="shared" si="16"/>
        <v>1.36</v>
      </c>
      <c r="L44" s="4">
        <f t="shared" si="1"/>
        <v>3.0084848484848488</v>
      </c>
      <c r="M44">
        <f t="shared" si="17"/>
        <v>0.47834782861278596</v>
      </c>
    </row>
    <row r="45" spans="1:14" x14ac:dyDescent="0.2">
      <c r="A45" s="24"/>
      <c r="B45" s="24"/>
      <c r="C45" s="29"/>
      <c r="D45" s="29"/>
      <c r="E45" s="29"/>
      <c r="F45" s="24"/>
      <c r="G45" s="24"/>
      <c r="H45" s="29"/>
      <c r="I45" s="29"/>
      <c r="J45" s="29"/>
      <c r="L45" s="32">
        <f>AVERAGE(L42:L44)</f>
        <v>2.7076706821260266</v>
      </c>
      <c r="M45" s="32">
        <f>AVERAGE(M42:M44)</f>
        <v>0.42942637811181544</v>
      </c>
      <c r="N45" t="s">
        <v>75</v>
      </c>
    </row>
    <row r="46" spans="1:14" x14ac:dyDescent="0.2">
      <c r="A46" s="24"/>
      <c r="B46" s="24"/>
      <c r="C46" s="29"/>
      <c r="D46" s="29"/>
      <c r="E46" s="29"/>
      <c r="F46" s="24"/>
      <c r="G46" s="24"/>
      <c r="H46" s="29"/>
      <c r="I46" s="29"/>
      <c r="J46" s="29"/>
      <c r="L46">
        <f>STDEV(L42:L44)/SQRT(3)</f>
        <v>0.22505027232709776</v>
      </c>
      <c r="M46">
        <f>STDEV(M42:M44)/SQRT(3)</f>
        <v>3.7598088006969496E-2</v>
      </c>
      <c r="N46" t="s">
        <v>20</v>
      </c>
    </row>
    <row r="47" spans="1:14" x14ac:dyDescent="0.2">
      <c r="A47" s="24"/>
      <c r="B47" s="24"/>
      <c r="C47" s="29"/>
      <c r="D47" s="29"/>
      <c r="E47" s="29"/>
      <c r="F47" s="24"/>
      <c r="G47" s="24"/>
      <c r="H47" s="29"/>
      <c r="I47" s="29"/>
      <c r="J47" s="29"/>
      <c r="L47" s="4"/>
    </row>
    <row r="48" spans="1:14" x14ac:dyDescent="0.2">
      <c r="A48" s="24"/>
      <c r="B48" s="24"/>
      <c r="C48" s="29"/>
      <c r="D48" s="29"/>
      <c r="E48" s="29"/>
      <c r="F48" s="24"/>
      <c r="G48" s="24"/>
      <c r="H48" s="29"/>
      <c r="I48" s="29"/>
      <c r="J48" s="29"/>
      <c r="L48" s="4"/>
    </row>
    <row r="49" spans="1:10" x14ac:dyDescent="0.2">
      <c r="A49" s="24"/>
      <c r="B49" s="24"/>
      <c r="C49" s="29" t="s">
        <v>35</v>
      </c>
      <c r="D49" s="29" t="s">
        <v>37</v>
      </c>
      <c r="E49" s="29" t="s">
        <v>58</v>
      </c>
      <c r="F49" s="24"/>
      <c r="G49" s="24"/>
      <c r="H49" s="29" t="s">
        <v>35</v>
      </c>
      <c r="I49" s="29" t="s">
        <v>37</v>
      </c>
      <c r="J49" s="29" t="s">
        <v>58</v>
      </c>
    </row>
    <row r="50" spans="1:10" x14ac:dyDescent="0.2">
      <c r="A50" s="24">
        <v>1</v>
      </c>
      <c r="B50" s="24" t="s">
        <v>99</v>
      </c>
      <c r="C50" s="29">
        <f>(59/20)*10000</f>
        <v>29500</v>
      </c>
      <c r="D50" s="29">
        <f>(44/20)*10000</f>
        <v>22000</v>
      </c>
      <c r="E50" s="29">
        <f>(36/20)*10000</f>
        <v>18000</v>
      </c>
      <c r="F50" s="24"/>
      <c r="G50" s="24"/>
      <c r="H50" s="29">
        <v>220000000</v>
      </c>
      <c r="I50" s="29">
        <v>270000000</v>
      </c>
      <c r="J50" s="29">
        <v>920000000</v>
      </c>
    </row>
    <row r="51" spans="1:10" x14ac:dyDescent="0.2">
      <c r="A51" s="24">
        <v>2</v>
      </c>
      <c r="B51" s="24" t="s">
        <v>99</v>
      </c>
      <c r="C51" s="29">
        <f>(93/20)*10000</f>
        <v>46500</v>
      </c>
      <c r="D51" s="29">
        <f>(47/20)*10000</f>
        <v>23500</v>
      </c>
      <c r="E51" s="29">
        <f>(46/20)*10000</f>
        <v>23000</v>
      </c>
      <c r="F51" s="24"/>
      <c r="G51" s="24"/>
      <c r="H51" s="29">
        <v>210000000</v>
      </c>
      <c r="I51" s="29">
        <v>120000000</v>
      </c>
      <c r="J51" s="29">
        <v>660000000</v>
      </c>
    </row>
    <row r="52" spans="1:10" x14ac:dyDescent="0.2">
      <c r="A52" s="24">
        <v>3</v>
      </c>
      <c r="B52" s="24" t="s">
        <v>99</v>
      </c>
      <c r="C52" s="29">
        <f>(62/20)*10000</f>
        <v>31000</v>
      </c>
      <c r="D52" s="29">
        <f>(88/20)*10000</f>
        <v>44000</v>
      </c>
      <c r="E52" s="29">
        <f>(82/20)*10000</f>
        <v>41000</v>
      </c>
      <c r="F52" s="24"/>
      <c r="G52" s="24"/>
      <c r="H52" s="29">
        <v>200000000</v>
      </c>
      <c r="I52" s="29">
        <v>120000000</v>
      </c>
      <c r="J52" s="29">
        <v>790000000</v>
      </c>
    </row>
    <row r="53" spans="1:10" x14ac:dyDescent="0.2">
      <c r="A53" s="24"/>
      <c r="B53" s="24"/>
      <c r="C53" s="29"/>
      <c r="D53" s="29"/>
      <c r="E53" s="29"/>
      <c r="F53" s="24"/>
      <c r="G53" s="24"/>
      <c r="H53" s="29"/>
      <c r="I53" s="29"/>
      <c r="J53" s="29"/>
    </row>
    <row r="54" spans="1:10" x14ac:dyDescent="0.2">
      <c r="A54" s="24"/>
      <c r="B54" s="24"/>
      <c r="C54" s="29"/>
      <c r="D54" s="29"/>
      <c r="E54" s="29"/>
      <c r="F54" s="24"/>
      <c r="G54" s="24"/>
      <c r="H54" s="29"/>
      <c r="I54" s="29"/>
      <c r="J54" s="29"/>
    </row>
    <row r="55" spans="1:10" x14ac:dyDescent="0.2">
      <c r="A55" s="24"/>
      <c r="B55" s="24"/>
      <c r="C55" s="29"/>
      <c r="D55" s="29"/>
      <c r="E55" s="29"/>
      <c r="F55" s="24"/>
      <c r="G55" s="24"/>
      <c r="H55" s="29"/>
      <c r="I55" s="29"/>
      <c r="J55" s="29"/>
    </row>
    <row r="56" spans="1:10" x14ac:dyDescent="0.2">
      <c r="A56" s="24"/>
      <c r="B56" s="24"/>
      <c r="C56" s="29"/>
      <c r="D56" s="29"/>
      <c r="E56" s="29"/>
      <c r="F56" s="24"/>
      <c r="G56" s="24"/>
      <c r="H56" s="29"/>
      <c r="I56" s="29"/>
      <c r="J56" s="29"/>
    </row>
    <row r="57" spans="1:10" x14ac:dyDescent="0.2">
      <c r="A57" s="24"/>
      <c r="B57" s="24"/>
      <c r="C57" s="29" t="s">
        <v>35</v>
      </c>
      <c r="D57" s="29" t="s">
        <v>37</v>
      </c>
      <c r="E57" s="29" t="s">
        <v>30</v>
      </c>
      <c r="F57" s="24"/>
      <c r="G57" s="24"/>
      <c r="H57" s="29" t="s">
        <v>35</v>
      </c>
      <c r="I57" s="29" t="s">
        <v>37</v>
      </c>
      <c r="J57" s="29" t="s">
        <v>30</v>
      </c>
    </row>
    <row r="58" spans="1:10" x14ac:dyDescent="0.2">
      <c r="A58" s="24">
        <v>1</v>
      </c>
      <c r="B58" s="24" t="s">
        <v>100</v>
      </c>
      <c r="C58" s="29">
        <f>(37/20)*10000</f>
        <v>18500</v>
      </c>
      <c r="D58" s="29">
        <f>(34/20)*10000</f>
        <v>17000</v>
      </c>
      <c r="E58" s="29">
        <f>(23/20)*10000</f>
        <v>11500</v>
      </c>
      <c r="F58" s="24"/>
      <c r="G58" s="24"/>
      <c r="H58" s="29">
        <v>470000000</v>
      </c>
      <c r="I58" s="29">
        <v>310000000</v>
      </c>
      <c r="J58" s="29">
        <v>10000000</v>
      </c>
    </row>
    <row r="59" spans="1:10" x14ac:dyDescent="0.2">
      <c r="A59" s="24">
        <v>2</v>
      </c>
      <c r="B59" s="24" t="s">
        <v>100</v>
      </c>
      <c r="C59" s="29">
        <f>(101/20)*10000</f>
        <v>50500</v>
      </c>
      <c r="D59" s="29">
        <f>(66/20)*10000</f>
        <v>33000</v>
      </c>
      <c r="E59" s="29">
        <f>(16/20)*10000</f>
        <v>8000</v>
      </c>
      <c r="F59" s="24"/>
      <c r="G59" s="24"/>
      <c r="H59" s="29">
        <v>530000000</v>
      </c>
      <c r="I59" s="29">
        <v>340000000</v>
      </c>
      <c r="J59" s="29">
        <v>20000000</v>
      </c>
    </row>
    <row r="60" spans="1:10" x14ac:dyDescent="0.2">
      <c r="A60" s="24">
        <v>3</v>
      </c>
      <c r="B60" s="24" t="s">
        <v>100</v>
      </c>
      <c r="C60" s="29">
        <f>(35/20)*10000</f>
        <v>17500</v>
      </c>
      <c r="D60" s="29">
        <f>(22/20)*10000</f>
        <v>11000</v>
      </c>
      <c r="E60" s="29">
        <f>(20/20)*10000</f>
        <v>10000</v>
      </c>
      <c r="F60" s="24"/>
      <c r="G60" s="24"/>
      <c r="H60" s="29">
        <v>570000000</v>
      </c>
      <c r="I60" s="29">
        <v>220000000</v>
      </c>
      <c r="J60" s="29">
        <v>10000000</v>
      </c>
    </row>
    <row r="61" spans="1:10" x14ac:dyDescent="0.2">
      <c r="A61" s="24"/>
      <c r="B61" s="24"/>
      <c r="C61" s="29"/>
      <c r="D61" s="29"/>
      <c r="E61" s="29"/>
      <c r="F61" s="24"/>
      <c r="G61" s="24"/>
      <c r="H61" s="29"/>
      <c r="I61" s="29"/>
      <c r="J61" s="29"/>
    </row>
    <row r="62" spans="1:10" x14ac:dyDescent="0.2">
      <c r="A62" s="24"/>
      <c r="B62" s="24"/>
      <c r="C62" s="29"/>
      <c r="D62" s="29"/>
      <c r="E62" s="29"/>
      <c r="F62" s="24"/>
      <c r="G62" s="24"/>
      <c r="H62" s="29"/>
      <c r="I62" s="29"/>
      <c r="J62" s="29"/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3"/>
  <sheetViews>
    <sheetView workbookViewId="0">
      <selection activeCell="C50" sqref="C50:G50"/>
    </sheetView>
  </sheetViews>
  <sheetFormatPr baseColWidth="10" defaultColWidth="11" defaultRowHeight="16" x14ac:dyDescent="0.2"/>
  <cols>
    <col min="10" max="10" width="27.5" customWidth="1"/>
  </cols>
  <sheetData>
    <row r="1" spans="1:17" x14ac:dyDescent="0.2">
      <c r="A1" s="35" t="s">
        <v>105</v>
      </c>
      <c r="B1" s="35" t="s">
        <v>29</v>
      </c>
      <c r="C1" s="35" t="s">
        <v>106</v>
      </c>
      <c r="D1" s="35" t="s">
        <v>15</v>
      </c>
      <c r="E1" s="35" t="s">
        <v>107</v>
      </c>
      <c r="F1" s="35" t="s">
        <v>108</v>
      </c>
      <c r="G1" s="35" t="s">
        <v>109</v>
      </c>
      <c r="H1" s="36"/>
      <c r="I1" s="36"/>
      <c r="J1" s="36" t="s">
        <v>112</v>
      </c>
      <c r="K1" s="33" t="s">
        <v>111</v>
      </c>
      <c r="L1" s="33" t="s">
        <v>110</v>
      </c>
      <c r="M1" s="33" t="s">
        <v>58</v>
      </c>
      <c r="N1" s="33" t="s">
        <v>35</v>
      </c>
      <c r="O1" s="33" t="s">
        <v>37</v>
      </c>
      <c r="P1" s="33" t="s">
        <v>30</v>
      </c>
      <c r="Q1" s="36"/>
    </row>
    <row r="2" spans="1:17" x14ac:dyDescent="0.2">
      <c r="A2" s="35" t="s">
        <v>7</v>
      </c>
      <c r="B2" s="35">
        <v>1</v>
      </c>
      <c r="C2" s="35">
        <v>6</v>
      </c>
      <c r="D2" s="35">
        <v>1</v>
      </c>
      <c r="E2" s="35">
        <v>1</v>
      </c>
      <c r="F2" s="35">
        <v>0</v>
      </c>
      <c r="G2" s="35">
        <v>0</v>
      </c>
      <c r="H2" s="36"/>
      <c r="I2" s="36"/>
      <c r="J2" s="36" t="s">
        <v>127</v>
      </c>
      <c r="K2" s="34">
        <v>24</v>
      </c>
      <c r="L2" s="34">
        <v>1</v>
      </c>
      <c r="M2" s="34"/>
      <c r="N2" s="34"/>
      <c r="O2" s="34"/>
      <c r="P2" s="34"/>
      <c r="Q2" s="36"/>
    </row>
    <row r="3" spans="1:17" x14ac:dyDescent="0.2">
      <c r="A3" s="35"/>
      <c r="B3" s="35">
        <v>2</v>
      </c>
      <c r="C3" s="35">
        <v>5</v>
      </c>
      <c r="D3" s="35">
        <v>3</v>
      </c>
      <c r="E3" s="35">
        <v>2</v>
      </c>
      <c r="F3" s="35">
        <v>1</v>
      </c>
      <c r="G3" s="35">
        <v>1</v>
      </c>
      <c r="H3" s="36"/>
      <c r="I3" s="36"/>
      <c r="J3" s="36"/>
      <c r="K3" s="34">
        <v>24</v>
      </c>
      <c r="L3" s="34">
        <v>1</v>
      </c>
      <c r="M3" s="34"/>
      <c r="N3" s="34"/>
      <c r="O3" s="34"/>
      <c r="P3" s="34"/>
      <c r="Q3" s="36"/>
    </row>
    <row r="4" spans="1:17" x14ac:dyDescent="0.2">
      <c r="A4" s="35"/>
      <c r="B4" s="35">
        <v>3</v>
      </c>
      <c r="C4" s="35">
        <v>5</v>
      </c>
      <c r="D4" s="35">
        <v>4</v>
      </c>
      <c r="E4" s="35">
        <v>3</v>
      </c>
      <c r="F4" s="35">
        <v>0</v>
      </c>
      <c r="G4" s="35">
        <v>0</v>
      </c>
      <c r="H4" s="36"/>
      <c r="I4" s="36"/>
      <c r="J4" s="36"/>
      <c r="K4" s="34">
        <v>24</v>
      </c>
      <c r="L4" s="34">
        <v>1</v>
      </c>
      <c r="M4" s="34"/>
      <c r="N4" s="34"/>
      <c r="O4" s="34"/>
      <c r="P4" s="34"/>
      <c r="Q4" s="36"/>
    </row>
    <row r="5" spans="1:17" x14ac:dyDescent="0.2">
      <c r="A5" s="35"/>
      <c r="B5" s="35">
        <v>4</v>
      </c>
      <c r="C5" s="35">
        <v>5</v>
      </c>
      <c r="D5" s="35">
        <v>3</v>
      </c>
      <c r="E5" s="35">
        <v>1</v>
      </c>
      <c r="F5" s="35">
        <v>0</v>
      </c>
      <c r="G5" s="35">
        <v>0</v>
      </c>
      <c r="H5" s="36"/>
      <c r="I5" s="36"/>
      <c r="J5" s="36"/>
      <c r="K5" s="34">
        <v>24</v>
      </c>
      <c r="L5" s="34">
        <v>1</v>
      </c>
      <c r="M5" s="34"/>
      <c r="N5" s="34"/>
      <c r="O5" s="34"/>
      <c r="P5" s="34"/>
      <c r="Q5" s="36"/>
    </row>
    <row r="6" spans="1:17" x14ac:dyDescent="0.2">
      <c r="A6" s="35"/>
      <c r="B6" s="35">
        <v>5</v>
      </c>
      <c r="C6" s="35">
        <v>5</v>
      </c>
      <c r="D6" s="35">
        <v>4</v>
      </c>
      <c r="E6" s="35">
        <v>3</v>
      </c>
      <c r="F6" s="35">
        <v>0</v>
      </c>
      <c r="G6" s="35">
        <v>0</v>
      </c>
      <c r="H6" s="36"/>
      <c r="I6" s="36"/>
      <c r="J6" s="36"/>
      <c r="K6" s="34">
        <v>24</v>
      </c>
      <c r="L6" s="34">
        <v>1</v>
      </c>
      <c r="M6" s="34"/>
      <c r="N6" s="34"/>
      <c r="O6" s="34"/>
      <c r="P6" s="34"/>
      <c r="Q6" s="36"/>
    </row>
    <row r="7" spans="1:17" x14ac:dyDescent="0.2">
      <c r="A7" s="35"/>
      <c r="B7" s="35">
        <v>6</v>
      </c>
      <c r="C7" s="35">
        <v>5</v>
      </c>
      <c r="D7" s="35">
        <v>3</v>
      </c>
      <c r="E7" s="35">
        <v>1</v>
      </c>
      <c r="F7" s="35">
        <v>0</v>
      </c>
      <c r="G7" s="35">
        <v>0</v>
      </c>
      <c r="H7" s="36"/>
      <c r="I7" s="36"/>
      <c r="J7" s="36"/>
      <c r="K7" s="34">
        <v>24</v>
      </c>
      <c r="L7" s="34">
        <v>1</v>
      </c>
      <c r="M7" s="34"/>
      <c r="N7" s="34"/>
      <c r="O7" s="34"/>
      <c r="P7" s="34"/>
      <c r="Q7" s="36"/>
    </row>
    <row r="8" spans="1:17" x14ac:dyDescent="0.2">
      <c r="A8" s="35"/>
      <c r="B8" s="35">
        <v>7</v>
      </c>
      <c r="C8" s="35">
        <v>5</v>
      </c>
      <c r="D8" s="35">
        <v>2</v>
      </c>
      <c r="E8" s="35">
        <v>1</v>
      </c>
      <c r="F8" s="35">
        <v>0</v>
      </c>
      <c r="G8" s="35">
        <v>0</v>
      </c>
      <c r="H8" s="36"/>
      <c r="I8" s="36"/>
      <c r="J8" s="36"/>
      <c r="K8" s="34">
        <v>24</v>
      </c>
      <c r="L8" s="34">
        <v>1</v>
      </c>
      <c r="M8" s="34"/>
      <c r="N8" s="34"/>
      <c r="O8" s="34"/>
      <c r="P8" s="34"/>
      <c r="Q8" s="36"/>
    </row>
    <row r="9" spans="1:17" x14ac:dyDescent="0.2">
      <c r="A9" s="35"/>
      <c r="B9" s="35">
        <v>8</v>
      </c>
      <c r="C9" s="35">
        <v>5</v>
      </c>
      <c r="D9" s="35">
        <v>1</v>
      </c>
      <c r="E9" s="35">
        <v>1</v>
      </c>
      <c r="F9" s="35">
        <v>0</v>
      </c>
      <c r="G9" s="35">
        <v>0</v>
      </c>
      <c r="H9" s="36"/>
      <c r="I9" s="36"/>
      <c r="J9" s="36"/>
      <c r="K9" s="34">
        <v>24</v>
      </c>
      <c r="L9" s="34">
        <v>1</v>
      </c>
      <c r="M9" s="34"/>
      <c r="N9" s="34"/>
      <c r="O9" s="34"/>
      <c r="P9" s="34"/>
      <c r="Q9" s="36"/>
    </row>
    <row r="10" spans="1:17" x14ac:dyDescent="0.2">
      <c r="A10" s="35"/>
      <c r="B10" s="35">
        <v>9</v>
      </c>
      <c r="C10" s="35">
        <v>5</v>
      </c>
      <c r="D10" s="35">
        <v>1</v>
      </c>
      <c r="E10" s="35">
        <v>0</v>
      </c>
      <c r="F10" s="35">
        <v>0</v>
      </c>
      <c r="G10" s="35">
        <v>0</v>
      </c>
      <c r="H10" s="36"/>
      <c r="I10" s="36"/>
      <c r="J10" s="36"/>
      <c r="K10" s="34">
        <v>24</v>
      </c>
      <c r="L10" s="34">
        <v>1</v>
      </c>
      <c r="M10" s="34"/>
      <c r="N10" s="34"/>
      <c r="O10" s="34"/>
      <c r="P10" s="34"/>
      <c r="Q10" s="36"/>
    </row>
    <row r="11" spans="1:17" x14ac:dyDescent="0.2">
      <c r="A11" s="35"/>
      <c r="B11" s="35">
        <v>10</v>
      </c>
      <c r="C11" s="35">
        <v>5</v>
      </c>
      <c r="D11" s="35">
        <v>4</v>
      </c>
      <c r="E11" s="35">
        <v>4</v>
      </c>
      <c r="F11" s="35">
        <v>0</v>
      </c>
      <c r="G11" s="35">
        <v>0</v>
      </c>
      <c r="H11" s="36"/>
      <c r="I11" s="36"/>
      <c r="J11" s="36"/>
      <c r="K11" s="34">
        <v>24</v>
      </c>
      <c r="L11" s="34">
        <v>1</v>
      </c>
      <c r="M11" s="34"/>
      <c r="N11" s="34"/>
      <c r="O11" s="34"/>
      <c r="P11" s="34"/>
      <c r="Q11" s="36"/>
    </row>
    <row r="12" spans="1:17" x14ac:dyDescent="0.2">
      <c r="A12" s="35"/>
      <c r="B12" s="35">
        <v>11</v>
      </c>
      <c r="C12" s="35">
        <v>4</v>
      </c>
      <c r="D12" s="35">
        <v>3</v>
      </c>
      <c r="E12" s="35">
        <v>2</v>
      </c>
      <c r="F12" s="35">
        <v>0</v>
      </c>
      <c r="G12" s="35">
        <v>0</v>
      </c>
      <c r="H12" s="36"/>
      <c r="I12" s="36"/>
      <c r="J12" s="36"/>
      <c r="K12" s="34">
        <v>24</v>
      </c>
      <c r="L12" s="34">
        <v>1</v>
      </c>
      <c r="M12" s="34"/>
      <c r="N12" s="34"/>
      <c r="O12" s="34"/>
      <c r="P12" s="34"/>
      <c r="Q12" s="36"/>
    </row>
    <row r="13" spans="1:17" x14ac:dyDescent="0.2">
      <c r="A13" s="35"/>
      <c r="B13" s="35">
        <v>12</v>
      </c>
      <c r="C13" s="35">
        <v>4</v>
      </c>
      <c r="D13" s="35">
        <v>2</v>
      </c>
      <c r="E13" s="35">
        <v>1</v>
      </c>
      <c r="F13" s="35">
        <v>0</v>
      </c>
      <c r="G13" s="35">
        <v>0</v>
      </c>
      <c r="H13" s="36"/>
      <c r="I13" s="36"/>
      <c r="J13" s="36"/>
      <c r="K13" s="34">
        <v>24</v>
      </c>
      <c r="L13" s="34">
        <v>1</v>
      </c>
      <c r="M13" s="34"/>
      <c r="N13" s="34"/>
      <c r="O13" s="34"/>
      <c r="P13" s="34"/>
      <c r="Q13" s="36"/>
    </row>
    <row r="14" spans="1:17" x14ac:dyDescent="0.2">
      <c r="A14" s="35"/>
      <c r="B14" s="35">
        <v>13</v>
      </c>
      <c r="C14" s="35">
        <v>4</v>
      </c>
      <c r="D14" s="35">
        <v>2</v>
      </c>
      <c r="E14" s="35">
        <v>0</v>
      </c>
      <c r="F14" s="35">
        <v>0</v>
      </c>
      <c r="G14" s="35">
        <v>0</v>
      </c>
      <c r="H14" s="36"/>
      <c r="I14" s="36"/>
      <c r="J14" s="36"/>
      <c r="K14" s="34">
        <v>24</v>
      </c>
      <c r="L14" s="34">
        <v>1</v>
      </c>
      <c r="M14" s="34"/>
      <c r="N14" s="34"/>
      <c r="O14" s="34"/>
      <c r="P14" s="34"/>
      <c r="Q14" s="36"/>
    </row>
    <row r="15" spans="1:17" x14ac:dyDescent="0.2">
      <c r="A15" s="35" t="s">
        <v>17</v>
      </c>
      <c r="B15" s="35">
        <v>1</v>
      </c>
      <c r="C15" s="35">
        <v>5</v>
      </c>
      <c r="D15" s="35">
        <v>2</v>
      </c>
      <c r="E15" s="35">
        <v>1</v>
      </c>
      <c r="F15" s="35">
        <v>1</v>
      </c>
      <c r="G15" s="35">
        <v>1</v>
      </c>
      <c r="H15" s="36"/>
      <c r="I15" s="36"/>
      <c r="J15" s="36"/>
      <c r="K15" s="34">
        <v>24</v>
      </c>
      <c r="L15" s="34">
        <v>1</v>
      </c>
      <c r="M15" s="34"/>
      <c r="N15" s="34"/>
      <c r="O15" s="34"/>
      <c r="P15" s="34"/>
      <c r="Q15" s="36"/>
    </row>
    <row r="16" spans="1:17" x14ac:dyDescent="0.2">
      <c r="A16" s="35"/>
      <c r="B16" s="35">
        <v>2</v>
      </c>
      <c r="C16" s="35">
        <v>5</v>
      </c>
      <c r="D16" s="35">
        <v>1</v>
      </c>
      <c r="E16" s="35">
        <v>1</v>
      </c>
      <c r="F16" s="35">
        <v>1</v>
      </c>
      <c r="G16" s="35">
        <v>0</v>
      </c>
      <c r="H16" s="36"/>
      <c r="I16" s="36"/>
      <c r="J16" s="36"/>
      <c r="K16" s="34">
        <v>24</v>
      </c>
      <c r="L16" s="34">
        <v>1</v>
      </c>
      <c r="M16" s="34"/>
      <c r="N16" s="34"/>
      <c r="O16" s="34"/>
      <c r="P16" s="34"/>
      <c r="Q16" s="36"/>
    </row>
    <row r="17" spans="1:17" x14ac:dyDescent="0.2">
      <c r="A17" s="35"/>
      <c r="B17" s="35">
        <v>3</v>
      </c>
      <c r="C17" s="35">
        <v>5</v>
      </c>
      <c r="D17" s="35">
        <v>3</v>
      </c>
      <c r="E17" s="35">
        <v>2</v>
      </c>
      <c r="F17" s="35">
        <v>2</v>
      </c>
      <c r="G17" s="35">
        <v>2</v>
      </c>
      <c r="H17" s="36"/>
      <c r="I17" s="36"/>
      <c r="J17" s="36"/>
      <c r="K17" s="34">
        <v>24</v>
      </c>
      <c r="L17" s="34">
        <v>1</v>
      </c>
      <c r="M17" s="34"/>
      <c r="N17" s="34"/>
      <c r="O17" s="34"/>
      <c r="P17" s="34"/>
      <c r="Q17" s="36"/>
    </row>
    <row r="18" spans="1:17" x14ac:dyDescent="0.2">
      <c r="A18" s="35"/>
      <c r="B18" s="35">
        <v>4</v>
      </c>
      <c r="C18" s="35">
        <v>5</v>
      </c>
      <c r="D18" s="35">
        <v>2</v>
      </c>
      <c r="E18" s="35">
        <v>1</v>
      </c>
      <c r="F18" s="35">
        <v>0</v>
      </c>
      <c r="G18" s="35">
        <v>0</v>
      </c>
      <c r="H18" s="36"/>
      <c r="I18" s="36"/>
      <c r="J18" s="36"/>
      <c r="K18" s="34">
        <v>24</v>
      </c>
      <c r="L18" s="34">
        <v>1</v>
      </c>
      <c r="M18" s="34"/>
      <c r="N18" s="34"/>
      <c r="O18" s="34"/>
      <c r="P18" s="34"/>
      <c r="Q18" s="36"/>
    </row>
    <row r="19" spans="1:17" x14ac:dyDescent="0.2">
      <c r="A19" s="35"/>
      <c r="B19" s="35">
        <v>5</v>
      </c>
      <c r="C19" s="35">
        <v>5</v>
      </c>
      <c r="D19" s="35">
        <v>4</v>
      </c>
      <c r="E19" s="35">
        <v>1</v>
      </c>
      <c r="F19" s="35">
        <v>1</v>
      </c>
      <c r="G19" s="35">
        <v>1</v>
      </c>
      <c r="H19" s="36"/>
      <c r="I19" s="36"/>
      <c r="J19" s="36"/>
      <c r="K19" s="34">
        <v>24</v>
      </c>
      <c r="L19" s="34">
        <v>1</v>
      </c>
      <c r="M19" s="34"/>
      <c r="N19" s="34"/>
      <c r="O19" s="34"/>
      <c r="P19" s="34"/>
      <c r="Q19" s="36"/>
    </row>
    <row r="20" spans="1:17" x14ac:dyDescent="0.2">
      <c r="A20" s="35"/>
      <c r="B20" s="35">
        <v>6</v>
      </c>
      <c r="C20" s="35">
        <v>6</v>
      </c>
      <c r="D20" s="35">
        <v>5</v>
      </c>
      <c r="E20" s="35">
        <v>2</v>
      </c>
      <c r="F20" s="35">
        <v>1</v>
      </c>
      <c r="G20" s="35">
        <v>1</v>
      </c>
      <c r="H20" s="36"/>
      <c r="I20" s="36"/>
      <c r="J20" s="36"/>
      <c r="K20" s="34">
        <v>48</v>
      </c>
      <c r="L20" s="34">
        <v>1</v>
      </c>
      <c r="M20" s="34"/>
      <c r="N20" s="34"/>
      <c r="O20" s="34"/>
      <c r="P20" s="34"/>
      <c r="Q20" s="36"/>
    </row>
    <row r="21" spans="1:17" x14ac:dyDescent="0.2">
      <c r="A21" s="35"/>
      <c r="B21" s="35">
        <v>7</v>
      </c>
      <c r="C21" s="35">
        <v>6</v>
      </c>
      <c r="D21" s="35">
        <v>4</v>
      </c>
      <c r="E21" s="35">
        <v>2</v>
      </c>
      <c r="F21" s="35">
        <v>2</v>
      </c>
      <c r="G21" s="35">
        <v>2</v>
      </c>
      <c r="H21" s="36"/>
      <c r="I21" s="36"/>
      <c r="J21" s="36"/>
      <c r="K21" s="34">
        <v>48</v>
      </c>
      <c r="L21" s="34">
        <v>1</v>
      </c>
      <c r="M21" s="34"/>
      <c r="N21" s="34"/>
      <c r="O21" s="34"/>
      <c r="P21" s="34"/>
      <c r="Q21" s="36"/>
    </row>
    <row r="22" spans="1:17" x14ac:dyDescent="0.2">
      <c r="A22" s="35"/>
      <c r="B22" s="35">
        <v>8</v>
      </c>
      <c r="C22" s="35">
        <v>5</v>
      </c>
      <c r="D22" s="35">
        <v>4</v>
      </c>
      <c r="E22" s="35">
        <v>1</v>
      </c>
      <c r="F22" s="35">
        <v>1</v>
      </c>
      <c r="G22" s="35">
        <v>1</v>
      </c>
      <c r="H22" s="36"/>
      <c r="I22" s="36"/>
      <c r="J22" s="36"/>
      <c r="K22" s="34">
        <v>48</v>
      </c>
      <c r="L22" s="34">
        <v>1</v>
      </c>
      <c r="M22" s="34"/>
      <c r="N22" s="34"/>
      <c r="O22" s="34"/>
      <c r="P22" s="34"/>
      <c r="Q22" s="36"/>
    </row>
    <row r="23" spans="1:17" x14ac:dyDescent="0.2">
      <c r="A23" s="35" t="s">
        <v>18</v>
      </c>
      <c r="B23" s="35">
        <v>1</v>
      </c>
      <c r="C23" s="35">
        <v>5</v>
      </c>
      <c r="D23" s="35">
        <v>2</v>
      </c>
      <c r="E23" s="35">
        <v>2</v>
      </c>
      <c r="F23" s="35">
        <v>1</v>
      </c>
      <c r="G23" s="35">
        <v>1</v>
      </c>
      <c r="H23" s="36"/>
      <c r="I23" s="36"/>
      <c r="J23" s="36"/>
      <c r="K23" s="34">
        <v>48</v>
      </c>
      <c r="L23" s="34">
        <v>1</v>
      </c>
      <c r="M23" s="34"/>
      <c r="N23" s="34"/>
      <c r="O23" s="34"/>
      <c r="P23" s="34"/>
      <c r="Q23" s="36"/>
    </row>
    <row r="24" spans="1:17" x14ac:dyDescent="0.2">
      <c r="A24" s="35"/>
      <c r="B24" s="35">
        <v>2</v>
      </c>
      <c r="C24" s="35">
        <v>5</v>
      </c>
      <c r="D24" s="35">
        <v>2</v>
      </c>
      <c r="E24" s="35">
        <v>2</v>
      </c>
      <c r="F24" s="35">
        <v>2</v>
      </c>
      <c r="G24" s="35">
        <v>2</v>
      </c>
      <c r="H24" s="36"/>
      <c r="I24" s="36"/>
      <c r="J24" s="36"/>
      <c r="K24" s="34">
        <v>48</v>
      </c>
      <c r="L24" s="34">
        <v>1</v>
      </c>
      <c r="M24" s="34"/>
      <c r="N24" s="34"/>
      <c r="O24" s="34"/>
      <c r="P24" s="34"/>
      <c r="Q24" s="36"/>
    </row>
    <row r="25" spans="1:17" x14ac:dyDescent="0.2">
      <c r="A25" s="35"/>
      <c r="B25" s="35">
        <v>3</v>
      </c>
      <c r="C25" s="35">
        <v>5</v>
      </c>
      <c r="D25" s="35">
        <v>3</v>
      </c>
      <c r="E25" s="35">
        <v>2</v>
      </c>
      <c r="F25" s="35">
        <v>0</v>
      </c>
      <c r="G25" s="35">
        <v>0</v>
      </c>
      <c r="H25" s="36"/>
      <c r="I25" s="36"/>
      <c r="J25" s="36"/>
      <c r="K25" s="34">
        <v>48</v>
      </c>
      <c r="L25" s="34">
        <v>1</v>
      </c>
      <c r="M25" s="34"/>
      <c r="N25" s="34"/>
      <c r="O25" s="34"/>
      <c r="P25" s="34"/>
      <c r="Q25" s="36"/>
    </row>
    <row r="26" spans="1:17" x14ac:dyDescent="0.2">
      <c r="A26" s="35"/>
      <c r="B26" s="35">
        <v>4</v>
      </c>
      <c r="C26" s="35">
        <v>5</v>
      </c>
      <c r="D26" s="35">
        <v>4</v>
      </c>
      <c r="E26" s="35">
        <v>2</v>
      </c>
      <c r="F26" s="35">
        <v>1</v>
      </c>
      <c r="G26" s="35">
        <v>1</v>
      </c>
      <c r="H26" s="36"/>
      <c r="I26" s="36"/>
      <c r="J26" s="36"/>
      <c r="K26" s="34">
        <v>48</v>
      </c>
      <c r="L26" s="34">
        <v>1</v>
      </c>
      <c r="M26" s="34"/>
      <c r="N26" s="34"/>
      <c r="O26" s="34"/>
      <c r="P26" s="34"/>
      <c r="Q26" s="36"/>
    </row>
    <row r="27" spans="1:17" x14ac:dyDescent="0.2">
      <c r="A27" s="35"/>
      <c r="B27" s="35">
        <v>5</v>
      </c>
      <c r="C27" s="35">
        <v>7</v>
      </c>
      <c r="D27" s="35">
        <v>5</v>
      </c>
      <c r="E27" s="35">
        <v>2</v>
      </c>
      <c r="F27" s="35">
        <v>2</v>
      </c>
      <c r="G27" s="35">
        <v>2</v>
      </c>
      <c r="H27" s="36"/>
      <c r="I27" s="36"/>
      <c r="J27" s="36"/>
      <c r="K27" s="34">
        <v>48</v>
      </c>
      <c r="L27" s="34">
        <v>1</v>
      </c>
      <c r="M27" s="34"/>
      <c r="N27" s="34"/>
      <c r="O27" s="34"/>
      <c r="P27" s="34"/>
      <c r="Q27" s="36"/>
    </row>
    <row r="28" spans="1:17" x14ac:dyDescent="0.2">
      <c r="A28" s="35"/>
      <c r="B28" s="35">
        <v>6</v>
      </c>
      <c r="C28" s="35">
        <v>6</v>
      </c>
      <c r="D28" s="35">
        <v>4</v>
      </c>
      <c r="E28" s="35">
        <v>2</v>
      </c>
      <c r="F28" s="35">
        <v>1</v>
      </c>
      <c r="G28" s="35">
        <v>1</v>
      </c>
      <c r="H28" s="36"/>
      <c r="I28" s="36"/>
      <c r="J28" s="36"/>
      <c r="K28" s="34">
        <v>48</v>
      </c>
      <c r="L28" s="34">
        <v>1</v>
      </c>
      <c r="M28" s="34"/>
      <c r="N28" s="34"/>
      <c r="O28" s="34"/>
      <c r="P28" s="34"/>
      <c r="Q28" s="36"/>
    </row>
    <row r="29" spans="1:17" x14ac:dyDescent="0.2">
      <c r="A29" s="35"/>
      <c r="B29" s="35">
        <v>7</v>
      </c>
      <c r="C29" s="35">
        <v>6</v>
      </c>
      <c r="D29" s="35">
        <v>4</v>
      </c>
      <c r="E29" s="35">
        <v>2</v>
      </c>
      <c r="F29" s="35">
        <v>1</v>
      </c>
      <c r="G29" s="35">
        <v>1</v>
      </c>
      <c r="H29" s="36"/>
      <c r="I29" s="36"/>
      <c r="J29" s="36"/>
      <c r="K29" s="34">
        <v>48</v>
      </c>
      <c r="L29" s="34">
        <v>1</v>
      </c>
      <c r="M29" s="34"/>
      <c r="N29" s="34"/>
      <c r="O29" s="34"/>
      <c r="P29" s="34"/>
      <c r="Q29" s="36"/>
    </row>
    <row r="30" spans="1:17" x14ac:dyDescent="0.2">
      <c r="A30" s="35" t="s">
        <v>6</v>
      </c>
      <c r="B30" s="35">
        <v>1</v>
      </c>
      <c r="C30" s="35">
        <v>5</v>
      </c>
      <c r="D30" s="35">
        <v>0</v>
      </c>
      <c r="E30" s="35">
        <v>0</v>
      </c>
      <c r="F30" s="35">
        <v>0</v>
      </c>
      <c r="G30" s="35">
        <v>0</v>
      </c>
      <c r="H30" s="36"/>
      <c r="I30" s="36"/>
      <c r="J30" s="36"/>
      <c r="K30" s="34">
        <v>48</v>
      </c>
      <c r="L30" s="34">
        <v>1</v>
      </c>
      <c r="M30" s="34"/>
      <c r="N30" s="34"/>
      <c r="O30" s="34"/>
      <c r="P30" s="34"/>
      <c r="Q30" s="36"/>
    </row>
    <row r="31" spans="1:17" x14ac:dyDescent="0.2">
      <c r="A31" s="35"/>
      <c r="B31" s="35">
        <v>2</v>
      </c>
      <c r="C31" s="35">
        <v>5</v>
      </c>
      <c r="D31" s="35">
        <v>3</v>
      </c>
      <c r="E31" s="35">
        <v>0</v>
      </c>
      <c r="F31" s="35">
        <v>0</v>
      </c>
      <c r="G31" s="35">
        <v>0</v>
      </c>
      <c r="H31" s="36"/>
      <c r="I31" s="36"/>
      <c r="J31" s="36"/>
      <c r="K31" s="34">
        <v>48</v>
      </c>
      <c r="L31" s="34">
        <v>1</v>
      </c>
      <c r="M31" s="34"/>
      <c r="N31" s="34"/>
      <c r="O31" s="34"/>
      <c r="P31" s="34"/>
      <c r="Q31" s="36"/>
    </row>
    <row r="32" spans="1:17" x14ac:dyDescent="0.2">
      <c r="A32" s="35"/>
      <c r="B32" s="35">
        <v>3</v>
      </c>
      <c r="C32" s="35">
        <v>5</v>
      </c>
      <c r="D32" s="35">
        <v>3</v>
      </c>
      <c r="E32" s="35">
        <v>0</v>
      </c>
      <c r="F32" s="35">
        <v>0</v>
      </c>
      <c r="G32" s="35">
        <v>0</v>
      </c>
      <c r="H32" s="36"/>
      <c r="I32" s="36"/>
      <c r="J32" s="36"/>
      <c r="K32" s="34">
        <v>48</v>
      </c>
      <c r="L32" s="34">
        <v>1</v>
      </c>
      <c r="M32" s="34"/>
      <c r="N32" s="34"/>
      <c r="O32" s="34"/>
      <c r="P32" s="34"/>
      <c r="Q32" s="36"/>
    </row>
    <row r="33" spans="1:17" x14ac:dyDescent="0.2">
      <c r="A33" s="35"/>
      <c r="B33" s="35">
        <v>4</v>
      </c>
      <c r="C33" s="35">
        <v>5</v>
      </c>
      <c r="D33" s="35">
        <v>2</v>
      </c>
      <c r="E33" s="35">
        <v>1</v>
      </c>
      <c r="F33" s="35">
        <v>0</v>
      </c>
      <c r="G33" s="35">
        <v>0</v>
      </c>
      <c r="H33" s="36"/>
      <c r="I33" s="36"/>
      <c r="J33" s="36"/>
      <c r="K33" s="34">
        <v>48</v>
      </c>
      <c r="L33" s="34">
        <v>1</v>
      </c>
      <c r="M33" s="34"/>
      <c r="N33" s="34"/>
      <c r="O33" s="34"/>
      <c r="P33" s="34"/>
      <c r="Q33" s="36"/>
    </row>
    <row r="34" spans="1:17" x14ac:dyDescent="0.2">
      <c r="A34" s="35"/>
      <c r="B34" s="35">
        <v>5</v>
      </c>
      <c r="C34" s="35">
        <v>5</v>
      </c>
      <c r="D34" s="35">
        <v>1</v>
      </c>
      <c r="E34" s="35">
        <v>0</v>
      </c>
      <c r="F34" s="35">
        <v>0</v>
      </c>
      <c r="G34" s="35">
        <v>0</v>
      </c>
      <c r="H34" s="36"/>
      <c r="I34" s="36"/>
      <c r="J34" s="36"/>
      <c r="K34" s="34">
        <v>48</v>
      </c>
      <c r="L34" s="34">
        <v>1</v>
      </c>
      <c r="M34" s="34"/>
      <c r="N34" s="34"/>
      <c r="O34" s="34"/>
      <c r="P34" s="34"/>
      <c r="Q34" s="36"/>
    </row>
    <row r="35" spans="1:17" x14ac:dyDescent="0.2">
      <c r="A35" s="35"/>
      <c r="B35" s="35">
        <v>6</v>
      </c>
      <c r="C35" s="35">
        <v>5</v>
      </c>
      <c r="D35" s="35">
        <v>1</v>
      </c>
      <c r="E35" s="35">
        <v>0</v>
      </c>
      <c r="F35" s="35">
        <v>0</v>
      </c>
      <c r="G35" s="35">
        <v>0</v>
      </c>
      <c r="H35" s="36"/>
      <c r="I35" s="36"/>
      <c r="J35" s="36"/>
      <c r="K35" s="34">
        <v>48</v>
      </c>
      <c r="L35" s="34">
        <v>1</v>
      </c>
      <c r="M35" s="34"/>
      <c r="N35" s="34"/>
      <c r="O35" s="34"/>
      <c r="P35" s="34"/>
      <c r="Q35" s="36"/>
    </row>
    <row r="36" spans="1:17" x14ac:dyDescent="0.2">
      <c r="A36" s="35"/>
      <c r="B36" s="35">
        <v>7</v>
      </c>
      <c r="C36" s="35">
        <v>5</v>
      </c>
      <c r="D36" s="35">
        <v>3</v>
      </c>
      <c r="E36" s="35">
        <v>0</v>
      </c>
      <c r="F36" s="35">
        <v>0</v>
      </c>
      <c r="G36" s="35">
        <v>0</v>
      </c>
      <c r="H36" s="36"/>
      <c r="I36" s="36"/>
      <c r="J36" s="36"/>
      <c r="K36" s="34">
        <v>72</v>
      </c>
      <c r="L36" s="34">
        <v>1</v>
      </c>
      <c r="M36" s="34"/>
      <c r="N36" s="34"/>
      <c r="O36" s="34"/>
      <c r="P36" s="34"/>
      <c r="Q36" s="36"/>
    </row>
    <row r="37" spans="1:17" x14ac:dyDescent="0.2">
      <c r="A37" s="35"/>
      <c r="B37" s="35">
        <v>8</v>
      </c>
      <c r="C37" s="35">
        <v>5</v>
      </c>
      <c r="D37" s="35">
        <v>1</v>
      </c>
      <c r="E37" s="35">
        <v>0</v>
      </c>
      <c r="F37" s="35">
        <v>0</v>
      </c>
      <c r="G37" s="35">
        <v>0</v>
      </c>
      <c r="H37" s="36"/>
      <c r="I37" s="36"/>
      <c r="J37" s="36"/>
      <c r="K37" s="34">
        <v>72</v>
      </c>
      <c r="L37" s="34">
        <v>1</v>
      </c>
      <c r="M37" s="34"/>
      <c r="N37" s="34"/>
      <c r="O37" s="34"/>
      <c r="P37" s="34"/>
      <c r="Q37" s="36"/>
    </row>
    <row r="38" spans="1:17" x14ac:dyDescent="0.2">
      <c r="A38" s="35"/>
      <c r="B38" s="35">
        <v>9</v>
      </c>
      <c r="C38" s="35">
        <v>5</v>
      </c>
      <c r="D38" s="35">
        <v>4</v>
      </c>
      <c r="E38" s="35">
        <v>0</v>
      </c>
      <c r="F38" s="35">
        <v>0</v>
      </c>
      <c r="G38" s="35">
        <v>0</v>
      </c>
      <c r="H38" s="36"/>
      <c r="I38" s="36"/>
      <c r="J38" s="36"/>
      <c r="K38" s="34">
        <v>72</v>
      </c>
      <c r="L38" s="34">
        <v>1</v>
      </c>
      <c r="M38" s="34"/>
      <c r="N38" s="34"/>
      <c r="O38" s="34"/>
      <c r="P38" s="34"/>
      <c r="Q38" s="36"/>
    </row>
    <row r="39" spans="1:17" x14ac:dyDescent="0.2">
      <c r="A39" s="35" t="s">
        <v>110</v>
      </c>
      <c r="B39" s="35">
        <v>1</v>
      </c>
      <c r="C39" s="35">
        <v>5</v>
      </c>
      <c r="D39" s="35">
        <v>4</v>
      </c>
      <c r="E39" s="35">
        <v>3</v>
      </c>
      <c r="F39" s="35">
        <v>2</v>
      </c>
      <c r="G39" s="35">
        <v>2</v>
      </c>
      <c r="H39" s="36"/>
      <c r="I39" s="36"/>
      <c r="J39" s="36"/>
      <c r="K39" s="34">
        <v>72</v>
      </c>
      <c r="L39" s="34">
        <v>1</v>
      </c>
      <c r="M39" s="34"/>
      <c r="N39" s="34"/>
      <c r="O39" s="34"/>
      <c r="P39" s="34"/>
      <c r="Q39" s="36"/>
    </row>
    <row r="40" spans="1:17" x14ac:dyDescent="0.2">
      <c r="A40" s="35"/>
      <c r="B40" s="35">
        <v>2</v>
      </c>
      <c r="C40" s="35">
        <v>5</v>
      </c>
      <c r="D40" s="35">
        <v>5</v>
      </c>
      <c r="E40" s="35">
        <v>2</v>
      </c>
      <c r="F40" s="35">
        <v>2</v>
      </c>
      <c r="G40" s="35">
        <v>2</v>
      </c>
      <c r="H40" s="36"/>
      <c r="I40" s="36"/>
      <c r="J40" s="36"/>
      <c r="K40" s="34">
        <v>72</v>
      </c>
      <c r="L40" s="34">
        <v>1</v>
      </c>
      <c r="M40" s="34"/>
      <c r="N40" s="34"/>
      <c r="O40" s="34"/>
      <c r="P40" s="34"/>
      <c r="Q40" s="36"/>
    </row>
    <row r="41" spans="1:17" x14ac:dyDescent="0.2">
      <c r="A41" s="35"/>
      <c r="B41" s="35">
        <v>3</v>
      </c>
      <c r="C41" s="35">
        <v>5</v>
      </c>
      <c r="D41" s="35">
        <v>3</v>
      </c>
      <c r="E41" s="35">
        <v>1</v>
      </c>
      <c r="F41" s="35">
        <v>0</v>
      </c>
      <c r="G41" s="35">
        <v>0</v>
      </c>
      <c r="H41" s="36"/>
      <c r="I41" s="36"/>
      <c r="J41" s="36"/>
      <c r="K41" s="34">
        <v>72</v>
      </c>
      <c r="L41" s="34">
        <v>1</v>
      </c>
      <c r="M41" s="34"/>
      <c r="N41" s="34"/>
      <c r="O41" s="34"/>
      <c r="P41" s="34"/>
      <c r="Q41" s="36"/>
    </row>
    <row r="42" spans="1:17" x14ac:dyDescent="0.2">
      <c r="A42" s="35"/>
      <c r="B42" s="35">
        <v>5</v>
      </c>
      <c r="C42" s="35">
        <v>5</v>
      </c>
      <c r="D42" s="35">
        <v>4</v>
      </c>
      <c r="E42" s="35">
        <v>4</v>
      </c>
      <c r="F42" s="35">
        <v>3</v>
      </c>
      <c r="G42" s="35">
        <v>3</v>
      </c>
      <c r="H42" s="36"/>
      <c r="I42" s="36"/>
      <c r="J42" s="36"/>
      <c r="K42" s="34">
        <v>72</v>
      </c>
      <c r="L42" s="34">
        <v>1</v>
      </c>
      <c r="M42" s="34"/>
      <c r="N42" s="34"/>
      <c r="O42" s="34"/>
      <c r="P42" s="34"/>
      <c r="Q42" s="36"/>
    </row>
    <row r="43" spans="1:17" x14ac:dyDescent="0.2">
      <c r="A43" s="35"/>
      <c r="B43" s="35">
        <v>6</v>
      </c>
      <c r="C43" s="35">
        <v>5</v>
      </c>
      <c r="D43" s="35">
        <v>5</v>
      </c>
      <c r="E43" s="35">
        <v>1</v>
      </c>
      <c r="F43" s="35">
        <v>1</v>
      </c>
      <c r="G43" s="35">
        <v>1</v>
      </c>
      <c r="H43" s="36"/>
      <c r="I43" s="36"/>
      <c r="J43" s="36"/>
      <c r="K43" s="34">
        <v>72</v>
      </c>
      <c r="L43" s="34">
        <v>1</v>
      </c>
      <c r="M43" s="34"/>
      <c r="N43" s="34"/>
      <c r="O43" s="34"/>
      <c r="P43" s="34"/>
      <c r="Q43" s="36"/>
    </row>
    <row r="44" spans="1:17" x14ac:dyDescent="0.2">
      <c r="A44" s="35"/>
      <c r="B44" s="35">
        <v>7</v>
      </c>
      <c r="C44" s="35">
        <v>5</v>
      </c>
      <c r="D44" s="35">
        <v>2</v>
      </c>
      <c r="E44" s="35">
        <v>2</v>
      </c>
      <c r="F44" s="35">
        <v>1</v>
      </c>
      <c r="G44" s="35">
        <v>1</v>
      </c>
      <c r="H44" s="36"/>
      <c r="I44" s="36"/>
      <c r="J44" s="36"/>
      <c r="K44" s="34">
        <v>96</v>
      </c>
      <c r="L44" s="34">
        <v>0</v>
      </c>
      <c r="M44" s="34"/>
      <c r="N44" s="34"/>
      <c r="O44" s="34"/>
      <c r="P44" s="34"/>
      <c r="Q44" s="36"/>
    </row>
    <row r="45" spans="1:17" x14ac:dyDescent="0.2">
      <c r="A45" s="35"/>
      <c r="B45" s="35">
        <v>8</v>
      </c>
      <c r="C45" s="35">
        <v>5</v>
      </c>
      <c r="D45" s="35">
        <v>1</v>
      </c>
      <c r="E45" s="35">
        <v>1</v>
      </c>
      <c r="F45" s="35">
        <v>1</v>
      </c>
      <c r="G45" s="35">
        <v>1</v>
      </c>
      <c r="H45" s="36"/>
      <c r="I45" s="36"/>
      <c r="J45" s="36"/>
      <c r="K45" s="34">
        <v>96</v>
      </c>
      <c r="L45" s="34">
        <v>0</v>
      </c>
      <c r="M45" s="34"/>
      <c r="N45" s="34"/>
      <c r="O45" s="34"/>
      <c r="P45" s="34"/>
      <c r="Q45" s="36"/>
    </row>
    <row r="46" spans="1:17" x14ac:dyDescent="0.2">
      <c r="A46" s="35"/>
      <c r="B46" s="35">
        <v>9</v>
      </c>
      <c r="C46" s="35">
        <v>5</v>
      </c>
      <c r="D46" s="35">
        <v>3</v>
      </c>
      <c r="E46" s="35">
        <v>1</v>
      </c>
      <c r="F46" s="35">
        <v>0</v>
      </c>
      <c r="G46" s="35">
        <v>0</v>
      </c>
      <c r="H46" s="36"/>
      <c r="I46" s="36"/>
      <c r="J46" s="36"/>
      <c r="K46" s="34">
        <v>96</v>
      </c>
      <c r="L46" s="34">
        <v>0</v>
      </c>
      <c r="M46" s="34"/>
      <c r="N46" s="34"/>
      <c r="O46" s="34"/>
      <c r="P46" s="34"/>
      <c r="Q46" s="36"/>
    </row>
    <row r="47" spans="1:17" x14ac:dyDescent="0.2">
      <c r="A47" s="35"/>
      <c r="B47" s="35">
        <v>10</v>
      </c>
      <c r="C47" s="35">
        <v>5</v>
      </c>
      <c r="D47" s="35">
        <v>3</v>
      </c>
      <c r="E47" s="35">
        <v>3</v>
      </c>
      <c r="F47" s="35">
        <v>2</v>
      </c>
      <c r="G47" s="35">
        <v>2</v>
      </c>
      <c r="H47" s="36"/>
      <c r="I47" s="36"/>
      <c r="J47" s="36"/>
      <c r="K47" s="34">
        <v>96</v>
      </c>
      <c r="L47" s="34">
        <v>0</v>
      </c>
      <c r="M47" s="34"/>
      <c r="N47" s="34"/>
      <c r="O47" s="34"/>
      <c r="P47" s="34"/>
      <c r="Q47" s="36"/>
    </row>
    <row r="48" spans="1:17" x14ac:dyDescent="0.2">
      <c r="A48" s="35"/>
      <c r="B48" s="35">
        <v>11</v>
      </c>
      <c r="C48" s="35">
        <v>5</v>
      </c>
      <c r="D48" s="35">
        <v>4</v>
      </c>
      <c r="E48" s="35">
        <v>2</v>
      </c>
      <c r="F48" s="35">
        <v>0</v>
      </c>
      <c r="G48" s="35">
        <v>0</v>
      </c>
      <c r="H48" s="36"/>
      <c r="I48" s="36"/>
      <c r="J48" s="36"/>
      <c r="K48" s="34">
        <v>96</v>
      </c>
      <c r="L48" s="34">
        <v>0</v>
      </c>
      <c r="M48" s="34"/>
      <c r="N48" s="34"/>
      <c r="O48" s="34"/>
      <c r="P48" s="34"/>
      <c r="Q48" s="36"/>
    </row>
    <row r="49" spans="1:17" x14ac:dyDescent="0.2">
      <c r="A49" s="35"/>
      <c r="B49" s="35">
        <v>12</v>
      </c>
      <c r="C49" s="35">
        <v>5</v>
      </c>
      <c r="D49" s="35">
        <v>3</v>
      </c>
      <c r="E49" s="35">
        <v>1</v>
      </c>
      <c r="F49" s="35">
        <v>1</v>
      </c>
      <c r="G49" s="35">
        <v>1</v>
      </c>
      <c r="H49" s="36"/>
      <c r="I49" s="36"/>
      <c r="J49" s="36"/>
      <c r="K49" s="34">
        <v>96</v>
      </c>
      <c r="L49" s="34">
        <v>0</v>
      </c>
      <c r="M49" s="34"/>
      <c r="N49" s="34"/>
      <c r="O49" s="34"/>
      <c r="P49" s="34"/>
      <c r="Q49" s="36"/>
    </row>
    <row r="50" spans="1:17" x14ac:dyDescent="0.2">
      <c r="A50" s="36"/>
      <c r="B50" s="36"/>
      <c r="C50" s="36">
        <f>SUM(C39:C49)</f>
        <v>55</v>
      </c>
      <c r="D50" s="36">
        <f t="shared" ref="D50:G50" si="0">SUM(D39:D49)</f>
        <v>37</v>
      </c>
      <c r="E50" s="36">
        <f t="shared" si="0"/>
        <v>21</v>
      </c>
      <c r="F50" s="36">
        <f t="shared" si="0"/>
        <v>13</v>
      </c>
      <c r="G50" s="36">
        <f t="shared" si="0"/>
        <v>13</v>
      </c>
      <c r="H50" s="36"/>
      <c r="I50" s="36"/>
      <c r="J50" s="36"/>
      <c r="K50" s="34">
        <v>96</v>
      </c>
      <c r="L50" s="34">
        <v>0</v>
      </c>
      <c r="M50" s="34"/>
      <c r="N50" s="34"/>
      <c r="O50" s="34"/>
      <c r="P50" s="34"/>
      <c r="Q50" s="36"/>
    </row>
    <row r="51" spans="1:17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4">
        <v>96</v>
      </c>
      <c r="L51" s="34">
        <v>0</v>
      </c>
      <c r="M51" s="34"/>
      <c r="N51" s="34"/>
      <c r="O51" s="34"/>
      <c r="P51" s="34"/>
      <c r="Q51" s="36"/>
    </row>
    <row r="52" spans="1:17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4">
        <v>96</v>
      </c>
      <c r="L52" s="34">
        <v>0</v>
      </c>
      <c r="M52" s="34"/>
      <c r="N52" s="34"/>
      <c r="O52" s="34"/>
      <c r="P52" s="34"/>
      <c r="Q52" s="36"/>
    </row>
    <row r="53" spans="1:17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4">
        <v>96</v>
      </c>
      <c r="L53" s="34">
        <v>0</v>
      </c>
      <c r="M53" s="34"/>
      <c r="N53" s="34"/>
      <c r="O53" s="34"/>
      <c r="P53" s="34"/>
      <c r="Q53" s="36"/>
    </row>
    <row r="54" spans="1:17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4">
        <v>96</v>
      </c>
      <c r="L54" s="34">
        <v>0</v>
      </c>
      <c r="M54" s="34"/>
      <c r="N54" s="34"/>
      <c r="O54" s="34"/>
      <c r="P54" s="34"/>
      <c r="Q54" s="36"/>
    </row>
    <row r="55" spans="1:17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4">
        <v>96</v>
      </c>
      <c r="L55" s="34">
        <v>0</v>
      </c>
      <c r="M55" s="34"/>
      <c r="N55" s="34"/>
      <c r="O55" s="34"/>
      <c r="P55" s="34"/>
      <c r="Q55" s="36"/>
    </row>
    <row r="56" spans="1:17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4">
        <v>96</v>
      </c>
      <c r="L56" s="34">
        <v>0</v>
      </c>
      <c r="M56" s="34"/>
      <c r="N56" s="34"/>
      <c r="O56" s="34"/>
      <c r="P56" s="34"/>
      <c r="Q56" s="36"/>
    </row>
    <row r="57" spans="1:17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4">
        <v>24</v>
      </c>
      <c r="L57" s="34"/>
      <c r="M57" s="34">
        <v>1</v>
      </c>
      <c r="N57" s="34"/>
      <c r="O57" s="34"/>
      <c r="P57" s="34"/>
      <c r="Q57" s="36"/>
    </row>
    <row r="58" spans="1:17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4">
        <v>24</v>
      </c>
      <c r="L58" s="34"/>
      <c r="M58" s="34">
        <v>1</v>
      </c>
      <c r="N58" s="34"/>
      <c r="O58" s="34"/>
      <c r="P58" s="34"/>
      <c r="Q58" s="36"/>
    </row>
    <row r="59" spans="1:17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4">
        <v>24</v>
      </c>
      <c r="L59" s="34"/>
      <c r="M59" s="34">
        <v>1</v>
      </c>
      <c r="N59" s="34"/>
      <c r="O59" s="34"/>
      <c r="P59" s="34"/>
      <c r="Q59" s="36"/>
    </row>
    <row r="60" spans="1:17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4">
        <v>24</v>
      </c>
      <c r="L60" s="34"/>
      <c r="M60" s="34">
        <v>1</v>
      </c>
      <c r="N60" s="34"/>
      <c r="O60" s="34"/>
      <c r="P60" s="34"/>
      <c r="Q60" s="36"/>
    </row>
    <row r="61" spans="1:17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4">
        <v>24</v>
      </c>
      <c r="L61" s="34"/>
      <c r="M61" s="34">
        <v>1</v>
      </c>
      <c r="N61" s="34"/>
      <c r="O61" s="34"/>
      <c r="P61" s="34"/>
      <c r="Q61" s="36"/>
    </row>
    <row r="62" spans="1:17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4">
        <v>24</v>
      </c>
      <c r="L62" s="34"/>
      <c r="M62" s="34">
        <v>1</v>
      </c>
      <c r="N62" s="34"/>
      <c r="O62" s="34"/>
      <c r="P62" s="34"/>
      <c r="Q62" s="36"/>
    </row>
    <row r="63" spans="1:17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4">
        <v>24</v>
      </c>
      <c r="L63" s="34"/>
      <c r="M63" s="34">
        <v>1</v>
      </c>
      <c r="N63" s="34"/>
      <c r="O63" s="34"/>
      <c r="P63" s="34"/>
      <c r="Q63" s="36"/>
    </row>
    <row r="64" spans="1:17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4">
        <v>24</v>
      </c>
      <c r="L64" s="34"/>
      <c r="M64" s="34">
        <v>1</v>
      </c>
      <c r="N64" s="34"/>
      <c r="O64" s="34"/>
      <c r="P64" s="34"/>
      <c r="Q64" s="36"/>
    </row>
    <row r="65" spans="1:17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4">
        <v>24</v>
      </c>
      <c r="L65" s="34"/>
      <c r="M65" s="34">
        <v>1</v>
      </c>
      <c r="N65" s="34"/>
      <c r="O65" s="34"/>
      <c r="P65" s="34"/>
      <c r="Q65" s="36"/>
    </row>
    <row r="66" spans="1:17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4">
        <v>24</v>
      </c>
      <c r="L66" s="34"/>
      <c r="M66" s="34">
        <v>1</v>
      </c>
      <c r="N66" s="34"/>
      <c r="O66" s="34"/>
      <c r="P66" s="34"/>
      <c r="Q66" s="36"/>
    </row>
    <row r="67" spans="1:17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4">
        <v>24</v>
      </c>
      <c r="L67" s="34"/>
      <c r="M67" s="34">
        <v>1</v>
      </c>
      <c r="N67" s="34"/>
      <c r="O67" s="34"/>
      <c r="P67" s="34"/>
      <c r="Q67" s="36"/>
    </row>
    <row r="68" spans="1:17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4">
        <v>24</v>
      </c>
      <c r="L68" s="34"/>
      <c r="M68" s="34">
        <v>1</v>
      </c>
      <c r="N68" s="34"/>
      <c r="O68" s="34"/>
      <c r="P68" s="34"/>
      <c r="Q68" s="36"/>
    </row>
    <row r="69" spans="1:17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4">
        <v>24</v>
      </c>
      <c r="L69" s="34"/>
      <c r="M69" s="34">
        <v>1</v>
      </c>
      <c r="N69" s="34"/>
      <c r="O69" s="34"/>
      <c r="P69" s="34"/>
      <c r="Q69" s="36"/>
    </row>
    <row r="70" spans="1:17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4">
        <v>24</v>
      </c>
      <c r="L70" s="34"/>
      <c r="M70" s="34">
        <v>1</v>
      </c>
      <c r="N70" s="34"/>
      <c r="O70" s="34"/>
      <c r="P70" s="34"/>
      <c r="Q70" s="36"/>
    </row>
    <row r="71" spans="1:17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4">
        <v>24</v>
      </c>
      <c r="L71" s="34"/>
      <c r="M71" s="34">
        <v>1</v>
      </c>
      <c r="N71" s="34"/>
      <c r="O71" s="34"/>
      <c r="P71" s="34"/>
      <c r="Q71" s="36"/>
    </row>
    <row r="72" spans="1:17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4">
        <v>24</v>
      </c>
      <c r="L72" s="34"/>
      <c r="M72" s="34">
        <v>1</v>
      </c>
      <c r="N72" s="34"/>
      <c r="O72" s="34"/>
      <c r="P72" s="34"/>
      <c r="Q72" s="36"/>
    </row>
    <row r="73" spans="1:17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4">
        <v>24</v>
      </c>
      <c r="L73" s="34"/>
      <c r="M73" s="34">
        <v>1</v>
      </c>
      <c r="N73" s="34"/>
      <c r="O73" s="34"/>
      <c r="P73" s="34"/>
      <c r="Q73" s="36"/>
    </row>
    <row r="74" spans="1:17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4">
        <v>24</v>
      </c>
      <c r="L74" s="34"/>
      <c r="M74" s="34">
        <v>1</v>
      </c>
      <c r="N74" s="34"/>
      <c r="O74" s="34"/>
      <c r="P74" s="34"/>
      <c r="Q74" s="36"/>
    </row>
    <row r="75" spans="1:17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4">
        <v>24</v>
      </c>
      <c r="L75" s="34"/>
      <c r="M75" s="34">
        <v>1</v>
      </c>
      <c r="N75" s="34"/>
      <c r="O75" s="34"/>
      <c r="P75" s="34"/>
      <c r="Q75" s="36"/>
    </row>
    <row r="76" spans="1:17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4">
        <v>24</v>
      </c>
      <c r="L76" s="34"/>
      <c r="M76" s="34">
        <v>1</v>
      </c>
      <c r="N76" s="34"/>
      <c r="O76" s="34"/>
      <c r="P76" s="34"/>
      <c r="Q76" s="36"/>
    </row>
    <row r="77" spans="1:17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4">
        <v>24</v>
      </c>
      <c r="L77" s="34"/>
      <c r="M77" s="34">
        <v>1</v>
      </c>
      <c r="N77" s="34"/>
      <c r="O77" s="34"/>
      <c r="P77" s="34"/>
      <c r="Q77" s="36"/>
    </row>
    <row r="78" spans="1:17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4">
        <v>24</v>
      </c>
      <c r="L78" s="34"/>
      <c r="M78" s="34">
        <v>1</v>
      </c>
      <c r="N78" s="34"/>
      <c r="O78" s="34"/>
      <c r="P78" s="34"/>
      <c r="Q78" s="36"/>
    </row>
    <row r="79" spans="1:17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4">
        <v>24</v>
      </c>
      <c r="L79" s="34"/>
      <c r="M79" s="34">
        <v>1</v>
      </c>
      <c r="N79" s="34"/>
      <c r="O79" s="34"/>
      <c r="P79" s="34"/>
      <c r="Q79" s="36"/>
    </row>
    <row r="80" spans="1:17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4">
        <v>24</v>
      </c>
      <c r="L80" s="34"/>
      <c r="M80" s="34">
        <v>1</v>
      </c>
      <c r="N80" s="34"/>
      <c r="O80" s="34"/>
      <c r="P80" s="34"/>
      <c r="Q80" s="36"/>
    </row>
    <row r="81" spans="1:17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4">
        <v>24</v>
      </c>
      <c r="L81" s="34"/>
      <c r="M81" s="34">
        <v>1</v>
      </c>
      <c r="N81" s="34"/>
      <c r="O81" s="34"/>
      <c r="P81" s="34"/>
      <c r="Q81" s="36"/>
    </row>
    <row r="82" spans="1:17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4">
        <v>24</v>
      </c>
      <c r="L82" s="34"/>
      <c r="M82" s="34">
        <v>1</v>
      </c>
      <c r="N82" s="34"/>
      <c r="O82" s="34"/>
      <c r="P82" s="34"/>
      <c r="Q82" s="36"/>
    </row>
    <row r="83" spans="1:17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4">
        <v>24</v>
      </c>
      <c r="L83" s="34"/>
      <c r="M83" s="34">
        <v>1</v>
      </c>
      <c r="N83" s="34"/>
      <c r="O83" s="34"/>
      <c r="P83" s="34"/>
      <c r="Q83" s="36"/>
    </row>
    <row r="84" spans="1:17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4">
        <v>48</v>
      </c>
      <c r="L84" s="34"/>
      <c r="M84" s="34">
        <v>1</v>
      </c>
      <c r="N84" s="34"/>
      <c r="O84" s="34"/>
      <c r="P84" s="34"/>
      <c r="Q84" s="36"/>
    </row>
    <row r="85" spans="1:17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4">
        <v>48</v>
      </c>
      <c r="L85" s="34"/>
      <c r="M85" s="34">
        <v>1</v>
      </c>
      <c r="N85" s="34"/>
      <c r="O85" s="34"/>
      <c r="P85" s="34"/>
      <c r="Q85" s="36"/>
    </row>
    <row r="86" spans="1:17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4">
        <v>48</v>
      </c>
      <c r="L86" s="34"/>
      <c r="M86" s="34">
        <v>1</v>
      </c>
      <c r="N86" s="34"/>
      <c r="O86" s="34"/>
      <c r="P86" s="34"/>
      <c r="Q86" s="36"/>
    </row>
    <row r="87" spans="1:17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4">
        <v>48</v>
      </c>
      <c r="L87" s="34"/>
      <c r="M87" s="34">
        <v>1</v>
      </c>
      <c r="N87" s="34"/>
      <c r="O87" s="34"/>
      <c r="P87" s="34"/>
      <c r="Q87" s="36"/>
    </row>
    <row r="88" spans="1:17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4">
        <v>48</v>
      </c>
      <c r="L88" s="34"/>
      <c r="M88" s="34">
        <v>1</v>
      </c>
      <c r="N88" s="34"/>
      <c r="O88" s="34"/>
      <c r="P88" s="34"/>
      <c r="Q88" s="36"/>
    </row>
    <row r="89" spans="1:17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4">
        <v>48</v>
      </c>
      <c r="L89" s="34"/>
      <c r="M89" s="34">
        <v>1</v>
      </c>
      <c r="N89" s="34"/>
      <c r="O89" s="34"/>
      <c r="P89" s="34"/>
      <c r="Q89" s="36"/>
    </row>
    <row r="90" spans="1:17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4">
        <v>48</v>
      </c>
      <c r="L90" s="34"/>
      <c r="M90" s="34">
        <v>1</v>
      </c>
      <c r="N90" s="34"/>
      <c r="O90" s="34"/>
      <c r="P90" s="34"/>
      <c r="Q90" s="36"/>
    </row>
    <row r="91" spans="1:17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4">
        <v>48</v>
      </c>
      <c r="L91" s="34"/>
      <c r="M91" s="34">
        <v>1</v>
      </c>
      <c r="N91" s="34"/>
      <c r="O91" s="34"/>
      <c r="P91" s="34"/>
      <c r="Q91" s="36"/>
    </row>
    <row r="92" spans="1:17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4">
        <v>48</v>
      </c>
      <c r="L92" s="34"/>
      <c r="M92" s="34">
        <v>1</v>
      </c>
      <c r="N92" s="34"/>
      <c r="O92" s="34"/>
      <c r="P92" s="34"/>
      <c r="Q92" s="36"/>
    </row>
    <row r="93" spans="1:17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4">
        <v>48</v>
      </c>
      <c r="L93" s="34"/>
      <c r="M93" s="34">
        <v>1</v>
      </c>
      <c r="N93" s="34"/>
      <c r="O93" s="34"/>
      <c r="P93" s="34"/>
      <c r="Q93" s="36"/>
    </row>
    <row r="94" spans="1:17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4">
        <v>48</v>
      </c>
      <c r="L94" s="34"/>
      <c r="M94" s="34">
        <v>1</v>
      </c>
      <c r="N94" s="34"/>
      <c r="O94" s="34"/>
      <c r="P94" s="34"/>
      <c r="Q94" s="36"/>
    </row>
    <row r="95" spans="1:17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4">
        <v>48</v>
      </c>
      <c r="L95" s="34"/>
      <c r="M95" s="34">
        <v>1</v>
      </c>
      <c r="N95" s="34"/>
      <c r="O95" s="34"/>
      <c r="P95" s="34"/>
      <c r="Q95" s="36"/>
    </row>
    <row r="96" spans="1:17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4">
        <v>48</v>
      </c>
      <c r="L96" s="34"/>
      <c r="M96" s="34">
        <v>1</v>
      </c>
      <c r="N96" s="34"/>
      <c r="O96" s="34"/>
      <c r="P96" s="34"/>
      <c r="Q96" s="36"/>
    </row>
    <row r="97" spans="1:17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4">
        <v>48</v>
      </c>
      <c r="L97" s="34"/>
      <c r="M97" s="34">
        <v>1</v>
      </c>
      <c r="N97" s="34"/>
      <c r="O97" s="34"/>
      <c r="P97" s="34"/>
      <c r="Q97" s="36"/>
    </row>
    <row r="98" spans="1:17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4">
        <v>48</v>
      </c>
      <c r="L98" s="34"/>
      <c r="M98" s="34">
        <v>1</v>
      </c>
      <c r="N98" s="34"/>
      <c r="O98" s="34"/>
      <c r="P98" s="34"/>
      <c r="Q98" s="36"/>
    </row>
    <row r="99" spans="1:17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4">
        <v>48</v>
      </c>
      <c r="L99" s="34"/>
      <c r="M99" s="34">
        <v>1</v>
      </c>
      <c r="N99" s="34"/>
      <c r="O99" s="34"/>
      <c r="P99" s="34"/>
      <c r="Q99" s="36"/>
    </row>
    <row r="100" spans="1:17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4">
        <v>48</v>
      </c>
      <c r="L100" s="34"/>
      <c r="M100" s="34">
        <v>1</v>
      </c>
      <c r="N100" s="34"/>
      <c r="O100" s="34"/>
      <c r="P100" s="34"/>
      <c r="Q100" s="36"/>
    </row>
    <row r="101" spans="1:17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4">
        <v>72</v>
      </c>
      <c r="L101" s="34"/>
      <c r="M101" s="34">
        <v>1</v>
      </c>
      <c r="N101" s="34"/>
      <c r="O101" s="34"/>
      <c r="P101" s="34"/>
      <c r="Q101" s="36"/>
    </row>
    <row r="102" spans="1:17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4">
        <v>24</v>
      </c>
      <c r="L102" s="34"/>
      <c r="M102" s="34"/>
      <c r="N102" s="34">
        <v>1</v>
      </c>
      <c r="O102" s="34"/>
      <c r="P102" s="34"/>
      <c r="Q102" s="36"/>
    </row>
    <row r="103" spans="1:17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4">
        <v>24</v>
      </c>
      <c r="L103" s="34"/>
      <c r="M103" s="34"/>
      <c r="N103" s="34">
        <v>1</v>
      </c>
      <c r="O103" s="34"/>
      <c r="P103" s="34"/>
      <c r="Q103" s="36"/>
    </row>
    <row r="104" spans="1:17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4">
        <v>24</v>
      </c>
      <c r="L104" s="34"/>
      <c r="M104" s="34"/>
      <c r="N104" s="34">
        <v>1</v>
      </c>
      <c r="O104" s="34"/>
      <c r="P104" s="34"/>
      <c r="Q104" s="36"/>
    </row>
    <row r="105" spans="1:17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4">
        <v>24</v>
      </c>
      <c r="L105" s="34"/>
      <c r="M105" s="34"/>
      <c r="N105" s="34">
        <v>1</v>
      </c>
      <c r="O105" s="34"/>
      <c r="P105" s="34"/>
      <c r="Q105" s="36"/>
    </row>
    <row r="106" spans="1:17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4">
        <v>24</v>
      </c>
      <c r="L106" s="34"/>
      <c r="M106" s="34"/>
      <c r="N106" s="34">
        <v>1</v>
      </c>
      <c r="O106" s="34"/>
      <c r="P106" s="34"/>
      <c r="Q106" s="36"/>
    </row>
    <row r="107" spans="1:17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4">
        <v>24</v>
      </c>
      <c r="L107" s="34"/>
      <c r="M107" s="34"/>
      <c r="N107" s="34">
        <v>1</v>
      </c>
      <c r="O107" s="34"/>
      <c r="P107" s="34"/>
      <c r="Q107" s="36"/>
    </row>
    <row r="108" spans="1:17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4">
        <v>24</v>
      </c>
      <c r="L108" s="34"/>
      <c r="M108" s="34"/>
      <c r="N108" s="34">
        <v>1</v>
      </c>
      <c r="O108" s="34"/>
      <c r="P108" s="34"/>
      <c r="Q108" s="36"/>
    </row>
    <row r="109" spans="1:17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4">
        <v>24</v>
      </c>
      <c r="L109" s="34"/>
      <c r="M109" s="34"/>
      <c r="N109" s="34">
        <v>1</v>
      </c>
      <c r="O109" s="34"/>
      <c r="P109" s="34"/>
      <c r="Q109" s="36"/>
    </row>
    <row r="110" spans="1:17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4">
        <v>24</v>
      </c>
      <c r="L110" s="34"/>
      <c r="M110" s="34"/>
      <c r="N110" s="34">
        <v>1</v>
      </c>
      <c r="O110" s="34"/>
      <c r="P110" s="34"/>
      <c r="Q110" s="36"/>
    </row>
    <row r="111" spans="1:17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4">
        <v>24</v>
      </c>
      <c r="L111" s="34"/>
      <c r="M111" s="34"/>
      <c r="N111" s="34">
        <v>1</v>
      </c>
      <c r="O111" s="34"/>
      <c r="P111" s="34"/>
      <c r="Q111" s="36"/>
    </row>
    <row r="112" spans="1:17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4">
        <v>24</v>
      </c>
      <c r="L112" s="34"/>
      <c r="M112" s="34"/>
      <c r="N112" s="34">
        <v>1</v>
      </c>
      <c r="O112" s="34"/>
      <c r="P112" s="34"/>
      <c r="Q112" s="36"/>
    </row>
    <row r="113" spans="1:17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4">
        <v>24</v>
      </c>
      <c r="L113" s="34"/>
      <c r="M113" s="34"/>
      <c r="N113" s="34">
        <v>1</v>
      </c>
      <c r="O113" s="34"/>
      <c r="P113" s="34"/>
      <c r="Q113" s="36"/>
    </row>
    <row r="114" spans="1:17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4">
        <v>24</v>
      </c>
      <c r="L114" s="34"/>
      <c r="M114" s="34"/>
      <c r="N114" s="34">
        <v>1</v>
      </c>
      <c r="O114" s="34"/>
      <c r="P114" s="34"/>
      <c r="Q114" s="36"/>
    </row>
    <row r="115" spans="1:17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4">
        <v>24</v>
      </c>
      <c r="L115" s="34"/>
      <c r="M115" s="34"/>
      <c r="N115" s="34">
        <v>1</v>
      </c>
      <c r="O115" s="34"/>
      <c r="P115" s="34"/>
      <c r="Q115" s="36"/>
    </row>
    <row r="116" spans="1:17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4">
        <v>24</v>
      </c>
      <c r="L116" s="34"/>
      <c r="M116" s="34"/>
      <c r="N116" s="34">
        <v>1</v>
      </c>
      <c r="O116" s="34"/>
      <c r="P116" s="34"/>
      <c r="Q116" s="36"/>
    </row>
    <row r="117" spans="1:17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4">
        <v>24</v>
      </c>
      <c r="L117" s="34"/>
      <c r="M117" s="34"/>
      <c r="N117" s="34">
        <v>1</v>
      </c>
      <c r="O117" s="34"/>
      <c r="P117" s="34"/>
      <c r="Q117" s="36"/>
    </row>
    <row r="118" spans="1:17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4">
        <v>24</v>
      </c>
      <c r="L118" s="34"/>
      <c r="M118" s="34"/>
      <c r="N118" s="34">
        <v>1</v>
      </c>
      <c r="O118" s="34"/>
      <c r="P118" s="34"/>
      <c r="Q118" s="36"/>
    </row>
    <row r="119" spans="1:17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4">
        <v>48</v>
      </c>
      <c r="L119" s="34"/>
      <c r="M119" s="34"/>
      <c r="N119" s="34">
        <v>1</v>
      </c>
      <c r="O119" s="34"/>
      <c r="P119" s="34"/>
      <c r="Q119" s="36"/>
    </row>
    <row r="120" spans="1:17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4">
        <v>48</v>
      </c>
      <c r="L120" s="34"/>
      <c r="M120" s="34"/>
      <c r="N120" s="34">
        <v>1</v>
      </c>
      <c r="O120" s="34"/>
      <c r="P120" s="34"/>
      <c r="Q120" s="36"/>
    </row>
    <row r="121" spans="1:17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4">
        <v>48</v>
      </c>
      <c r="L121" s="34"/>
      <c r="M121" s="34"/>
      <c r="N121" s="34">
        <v>1</v>
      </c>
      <c r="O121" s="34"/>
      <c r="P121" s="34"/>
      <c r="Q121" s="36"/>
    </row>
    <row r="122" spans="1:17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4">
        <v>48</v>
      </c>
      <c r="L122" s="34"/>
      <c r="M122" s="34"/>
      <c r="N122" s="34">
        <v>1</v>
      </c>
      <c r="O122" s="34"/>
      <c r="P122" s="34"/>
      <c r="Q122" s="36"/>
    </row>
    <row r="123" spans="1:17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4">
        <v>48</v>
      </c>
      <c r="L123" s="34"/>
      <c r="M123" s="34"/>
      <c r="N123" s="34">
        <v>1</v>
      </c>
      <c r="O123" s="34"/>
      <c r="P123" s="34"/>
      <c r="Q123" s="36"/>
    </row>
    <row r="124" spans="1:17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4">
        <v>48</v>
      </c>
      <c r="L124" s="34"/>
      <c r="M124" s="34"/>
      <c r="N124" s="34">
        <v>1</v>
      </c>
      <c r="O124" s="34"/>
      <c r="P124" s="34"/>
      <c r="Q124" s="36"/>
    </row>
    <row r="125" spans="1:17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4">
        <v>48</v>
      </c>
      <c r="L125" s="34"/>
      <c r="M125" s="34"/>
      <c r="N125" s="34">
        <v>1</v>
      </c>
      <c r="O125" s="34"/>
      <c r="P125" s="34"/>
      <c r="Q125" s="36"/>
    </row>
    <row r="126" spans="1:17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4">
        <v>48</v>
      </c>
      <c r="L126" s="34"/>
      <c r="M126" s="34"/>
      <c r="N126" s="34">
        <v>1</v>
      </c>
      <c r="O126" s="34"/>
      <c r="P126" s="34"/>
      <c r="Q126" s="36"/>
    </row>
    <row r="127" spans="1:17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4">
        <v>48</v>
      </c>
      <c r="L127" s="34"/>
      <c r="M127" s="34"/>
      <c r="N127" s="34">
        <v>1</v>
      </c>
      <c r="O127" s="34"/>
      <c r="P127" s="34"/>
      <c r="Q127" s="36"/>
    </row>
    <row r="128" spans="1:17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4">
        <v>48</v>
      </c>
      <c r="L128" s="34"/>
      <c r="M128" s="34"/>
      <c r="N128" s="34">
        <v>1</v>
      </c>
      <c r="O128" s="34"/>
      <c r="P128" s="34"/>
      <c r="Q128" s="36"/>
    </row>
    <row r="129" spans="1:17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4">
        <v>48</v>
      </c>
      <c r="L129" s="34"/>
      <c r="M129" s="34"/>
      <c r="N129" s="34">
        <v>1</v>
      </c>
      <c r="O129" s="34"/>
      <c r="P129" s="34"/>
      <c r="Q129" s="36"/>
    </row>
    <row r="130" spans="1:17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4">
        <v>48</v>
      </c>
      <c r="L130" s="34"/>
      <c r="M130" s="34"/>
      <c r="N130" s="34">
        <v>1</v>
      </c>
      <c r="O130" s="34"/>
      <c r="P130" s="34"/>
      <c r="Q130" s="36"/>
    </row>
    <row r="131" spans="1:17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4">
        <v>48</v>
      </c>
      <c r="L131" s="34"/>
      <c r="M131" s="34"/>
      <c r="N131" s="34">
        <v>1</v>
      </c>
      <c r="O131" s="34"/>
      <c r="P131" s="34"/>
      <c r="Q131" s="36"/>
    </row>
    <row r="132" spans="1:17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4">
        <v>48</v>
      </c>
      <c r="L132" s="34"/>
      <c r="M132" s="34"/>
      <c r="N132" s="34">
        <v>1</v>
      </c>
      <c r="O132" s="34"/>
      <c r="P132" s="34"/>
      <c r="Q132" s="36"/>
    </row>
    <row r="133" spans="1:17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4">
        <v>72</v>
      </c>
      <c r="L133" s="34"/>
      <c r="M133" s="34"/>
      <c r="N133" s="34">
        <v>1</v>
      </c>
      <c r="O133" s="34"/>
      <c r="P133" s="34"/>
      <c r="Q133" s="36"/>
    </row>
    <row r="134" spans="1:17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4">
        <v>72</v>
      </c>
      <c r="L134" s="34"/>
      <c r="M134" s="34"/>
      <c r="N134" s="34">
        <v>1</v>
      </c>
      <c r="O134" s="34"/>
      <c r="P134" s="34"/>
      <c r="Q134" s="36"/>
    </row>
    <row r="135" spans="1:17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4">
        <v>96</v>
      </c>
      <c r="L135" s="34"/>
      <c r="M135" s="34"/>
      <c r="N135" s="34">
        <v>1</v>
      </c>
      <c r="O135" s="34"/>
      <c r="P135" s="34"/>
      <c r="Q135" s="36"/>
    </row>
    <row r="136" spans="1:17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4">
        <v>96</v>
      </c>
      <c r="L136" s="34"/>
      <c r="M136" s="34"/>
      <c r="N136" s="34">
        <v>0</v>
      </c>
      <c r="O136" s="34"/>
      <c r="P136" s="34"/>
      <c r="Q136" s="36"/>
    </row>
    <row r="137" spans="1:17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4">
        <v>96</v>
      </c>
      <c r="L137" s="34"/>
      <c r="M137" s="34"/>
      <c r="N137" s="34">
        <v>0</v>
      </c>
      <c r="O137" s="34"/>
      <c r="P137" s="34"/>
      <c r="Q137" s="36"/>
    </row>
    <row r="138" spans="1:17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4">
        <v>96</v>
      </c>
      <c r="L138" s="34"/>
      <c r="M138" s="34"/>
      <c r="N138" s="34">
        <v>0</v>
      </c>
      <c r="O138" s="34"/>
      <c r="P138" s="34"/>
      <c r="Q138" s="36"/>
    </row>
    <row r="139" spans="1:17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4">
        <v>96</v>
      </c>
      <c r="L139" s="34"/>
      <c r="M139" s="34"/>
      <c r="N139" s="34">
        <v>0</v>
      </c>
      <c r="O139" s="34"/>
      <c r="P139" s="34"/>
      <c r="Q139" s="36"/>
    </row>
    <row r="140" spans="1:17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4">
        <v>96</v>
      </c>
      <c r="L140" s="34"/>
      <c r="M140" s="34"/>
      <c r="N140" s="34">
        <v>0</v>
      </c>
      <c r="O140" s="34"/>
      <c r="P140" s="34"/>
      <c r="Q140" s="36"/>
    </row>
    <row r="141" spans="1:17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4">
        <v>96</v>
      </c>
      <c r="L141" s="34"/>
      <c r="M141" s="34"/>
      <c r="N141" s="34">
        <v>0</v>
      </c>
      <c r="O141" s="34"/>
      <c r="P141" s="34"/>
      <c r="Q141" s="36"/>
    </row>
    <row r="142" spans="1:17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4">
        <v>96</v>
      </c>
      <c r="L142" s="34"/>
      <c r="M142" s="34"/>
      <c r="N142" s="34">
        <v>0</v>
      </c>
      <c r="O142" s="34"/>
      <c r="P142" s="34"/>
      <c r="Q142" s="36"/>
    </row>
    <row r="143" spans="1:17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4">
        <v>96</v>
      </c>
      <c r="L143" s="34"/>
      <c r="M143" s="34"/>
      <c r="N143" s="34">
        <v>0</v>
      </c>
      <c r="O143" s="34"/>
      <c r="P143" s="34"/>
      <c r="Q143" s="36"/>
    </row>
    <row r="144" spans="1:17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4">
        <v>24</v>
      </c>
      <c r="L144" s="34"/>
      <c r="M144" s="34"/>
      <c r="N144" s="34"/>
      <c r="O144" s="34">
        <v>1</v>
      </c>
      <c r="P144" s="34"/>
      <c r="Q144" s="36"/>
    </row>
    <row r="145" spans="1:17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4">
        <v>24</v>
      </c>
      <c r="L145" s="34"/>
      <c r="M145" s="34"/>
      <c r="N145" s="34"/>
      <c r="O145" s="34">
        <v>1</v>
      </c>
      <c r="P145" s="34"/>
      <c r="Q145" s="36"/>
    </row>
    <row r="146" spans="1:17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4">
        <v>24</v>
      </c>
      <c r="L146" s="34"/>
      <c r="M146" s="34"/>
      <c r="N146" s="34"/>
      <c r="O146" s="34">
        <v>1</v>
      </c>
      <c r="P146" s="34"/>
      <c r="Q146" s="36"/>
    </row>
    <row r="147" spans="1:17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4">
        <v>24</v>
      </c>
      <c r="L147" s="34"/>
      <c r="M147" s="34"/>
      <c r="N147" s="34"/>
      <c r="O147" s="34">
        <v>1</v>
      </c>
      <c r="P147" s="34"/>
      <c r="Q147" s="36"/>
    </row>
    <row r="148" spans="1:17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4">
        <v>24</v>
      </c>
      <c r="L148" s="34"/>
      <c r="M148" s="34"/>
      <c r="N148" s="34"/>
      <c r="O148" s="34">
        <v>1</v>
      </c>
      <c r="P148" s="34"/>
      <c r="Q148" s="36"/>
    </row>
    <row r="149" spans="1:17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4">
        <v>24</v>
      </c>
      <c r="L149" s="34"/>
      <c r="M149" s="34"/>
      <c r="N149" s="34"/>
      <c r="O149" s="34">
        <v>1</v>
      </c>
      <c r="P149" s="34"/>
      <c r="Q149" s="36"/>
    </row>
    <row r="150" spans="1:17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4">
        <v>24</v>
      </c>
      <c r="L150" s="34"/>
      <c r="M150" s="34"/>
      <c r="N150" s="34"/>
      <c r="O150" s="34">
        <v>1</v>
      </c>
      <c r="P150" s="34"/>
      <c r="Q150" s="36"/>
    </row>
    <row r="151" spans="1:17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4">
        <v>24</v>
      </c>
      <c r="L151" s="34"/>
      <c r="M151" s="34"/>
      <c r="N151" s="34"/>
      <c r="O151" s="34">
        <v>1</v>
      </c>
      <c r="P151" s="34"/>
      <c r="Q151" s="36"/>
    </row>
    <row r="152" spans="1:17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4">
        <v>24</v>
      </c>
      <c r="L152" s="34"/>
      <c r="M152" s="34"/>
      <c r="N152" s="34"/>
      <c r="O152" s="34">
        <v>1</v>
      </c>
      <c r="P152" s="34"/>
      <c r="Q152" s="36"/>
    </row>
    <row r="153" spans="1:17" x14ac:dyDescent="0.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4">
        <v>24</v>
      </c>
      <c r="L153" s="34"/>
      <c r="M153" s="34"/>
      <c r="N153" s="34"/>
      <c r="O153" s="34">
        <v>1</v>
      </c>
      <c r="P153" s="34"/>
      <c r="Q153" s="36"/>
    </row>
    <row r="154" spans="1:17" x14ac:dyDescent="0.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4">
        <v>24</v>
      </c>
      <c r="L154" s="34"/>
      <c r="M154" s="34"/>
      <c r="N154" s="34"/>
      <c r="O154" s="34">
        <v>1</v>
      </c>
      <c r="P154" s="34"/>
      <c r="Q154" s="36"/>
    </row>
    <row r="155" spans="1:17" x14ac:dyDescent="0.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4">
        <v>24</v>
      </c>
      <c r="L155" s="34"/>
      <c r="M155" s="34"/>
      <c r="N155" s="34"/>
      <c r="O155" s="34">
        <v>1</v>
      </c>
      <c r="P155" s="34"/>
      <c r="Q155" s="36"/>
    </row>
    <row r="156" spans="1:17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4">
        <v>24</v>
      </c>
      <c r="L156" s="34"/>
      <c r="M156" s="34"/>
      <c r="N156" s="34"/>
      <c r="O156" s="34">
        <v>1</v>
      </c>
      <c r="P156" s="34"/>
      <c r="Q156" s="36"/>
    </row>
    <row r="157" spans="1:17" x14ac:dyDescent="0.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4">
        <v>24</v>
      </c>
      <c r="L157" s="34"/>
      <c r="M157" s="34"/>
      <c r="N157" s="34"/>
      <c r="O157" s="34">
        <v>1</v>
      </c>
      <c r="P157" s="34"/>
      <c r="Q157" s="36"/>
    </row>
    <row r="158" spans="1:17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4">
        <v>48</v>
      </c>
      <c r="L158" s="34"/>
      <c r="M158" s="34"/>
      <c r="N158" s="34"/>
      <c r="O158" s="34">
        <v>1</v>
      </c>
      <c r="P158" s="34"/>
      <c r="Q158" s="36"/>
    </row>
    <row r="159" spans="1:17" x14ac:dyDescent="0.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4">
        <v>48</v>
      </c>
      <c r="L159" s="34"/>
      <c r="M159" s="34"/>
      <c r="N159" s="34"/>
      <c r="O159" s="34">
        <v>1</v>
      </c>
      <c r="P159" s="34"/>
      <c r="Q159" s="36"/>
    </row>
    <row r="160" spans="1:17" x14ac:dyDescent="0.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4">
        <v>48</v>
      </c>
      <c r="L160" s="34"/>
      <c r="M160" s="34"/>
      <c r="N160" s="34"/>
      <c r="O160" s="34">
        <v>1</v>
      </c>
      <c r="P160" s="34"/>
      <c r="Q160" s="36"/>
    </row>
    <row r="161" spans="1:17" x14ac:dyDescent="0.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4">
        <v>48</v>
      </c>
      <c r="L161" s="34"/>
      <c r="M161" s="34"/>
      <c r="N161" s="34"/>
      <c r="O161" s="34">
        <v>1</v>
      </c>
      <c r="P161" s="34"/>
      <c r="Q161" s="36"/>
    </row>
    <row r="162" spans="1:17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4">
        <v>48</v>
      </c>
      <c r="L162" s="34"/>
      <c r="M162" s="34"/>
      <c r="N162" s="34"/>
      <c r="O162" s="34">
        <v>1</v>
      </c>
      <c r="P162" s="34"/>
      <c r="Q162" s="36"/>
    </row>
    <row r="163" spans="1:17" x14ac:dyDescent="0.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4">
        <v>48</v>
      </c>
      <c r="L163" s="34"/>
      <c r="M163" s="34"/>
      <c r="N163" s="34"/>
      <c r="O163" s="34">
        <v>1</v>
      </c>
      <c r="P163" s="34"/>
      <c r="Q163" s="36"/>
    </row>
    <row r="164" spans="1:17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4">
        <v>48</v>
      </c>
      <c r="L164" s="34"/>
      <c r="M164" s="34"/>
      <c r="N164" s="34"/>
      <c r="O164" s="34">
        <v>1</v>
      </c>
      <c r="P164" s="34"/>
      <c r="Q164" s="36"/>
    </row>
    <row r="165" spans="1:17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4">
        <v>48</v>
      </c>
      <c r="L165" s="34"/>
      <c r="M165" s="34"/>
      <c r="N165" s="34"/>
      <c r="O165" s="34">
        <v>1</v>
      </c>
      <c r="P165" s="34"/>
      <c r="Q165" s="36"/>
    </row>
    <row r="166" spans="1:17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4">
        <v>48</v>
      </c>
      <c r="L166" s="34"/>
      <c r="M166" s="34"/>
      <c r="N166" s="34"/>
      <c r="O166" s="34">
        <v>1</v>
      </c>
      <c r="P166" s="34"/>
      <c r="Q166" s="36"/>
    </row>
    <row r="167" spans="1:17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4">
        <v>48</v>
      </c>
      <c r="L167" s="34"/>
      <c r="M167" s="34"/>
      <c r="N167" s="34"/>
      <c r="O167" s="34">
        <v>1</v>
      </c>
      <c r="P167" s="34"/>
      <c r="Q167" s="36"/>
    </row>
    <row r="168" spans="1:17" x14ac:dyDescent="0.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4">
        <v>72</v>
      </c>
      <c r="L168" s="34"/>
      <c r="M168" s="34"/>
      <c r="N168" s="34"/>
      <c r="O168" s="34">
        <v>1</v>
      </c>
      <c r="P168" s="34"/>
      <c r="Q168" s="36"/>
    </row>
    <row r="169" spans="1:17" x14ac:dyDescent="0.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4">
        <v>72</v>
      </c>
      <c r="L169" s="34"/>
      <c r="M169" s="34"/>
      <c r="N169" s="34"/>
      <c r="O169" s="34">
        <v>1</v>
      </c>
      <c r="P169" s="34"/>
      <c r="Q169" s="36"/>
    </row>
    <row r="170" spans="1:17" x14ac:dyDescent="0.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4">
        <v>72</v>
      </c>
      <c r="L170" s="34"/>
      <c r="M170" s="34"/>
      <c r="N170" s="34"/>
      <c r="O170" s="34">
        <v>1</v>
      </c>
      <c r="P170" s="34"/>
      <c r="Q170" s="36"/>
    </row>
    <row r="171" spans="1:17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4">
        <v>72</v>
      </c>
      <c r="L171" s="34"/>
      <c r="M171" s="34"/>
      <c r="N171" s="34"/>
      <c r="O171" s="34">
        <v>1</v>
      </c>
      <c r="P171" s="34"/>
      <c r="Q171" s="36"/>
    </row>
    <row r="172" spans="1:17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4">
        <v>72</v>
      </c>
      <c r="L172" s="34"/>
      <c r="M172" s="34"/>
      <c r="N172" s="34"/>
      <c r="O172" s="34">
        <v>1</v>
      </c>
      <c r="P172" s="34"/>
      <c r="Q172" s="36"/>
    </row>
    <row r="173" spans="1:17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4">
        <v>72</v>
      </c>
      <c r="L173" s="34"/>
      <c r="M173" s="34"/>
      <c r="N173" s="34"/>
      <c r="O173" s="34">
        <v>1</v>
      </c>
      <c r="P173" s="34"/>
      <c r="Q173" s="36"/>
    </row>
    <row r="174" spans="1:17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4">
        <v>96</v>
      </c>
      <c r="L174" s="34"/>
      <c r="M174" s="34"/>
      <c r="N174" s="34"/>
      <c r="O174" s="34">
        <v>0</v>
      </c>
      <c r="P174" s="34"/>
      <c r="Q174" s="36"/>
    </row>
    <row r="175" spans="1:17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4">
        <v>96</v>
      </c>
      <c r="L175" s="34"/>
      <c r="M175" s="34"/>
      <c r="N175" s="34"/>
      <c r="O175" s="34">
        <v>0</v>
      </c>
      <c r="P175" s="34"/>
      <c r="Q175" s="36"/>
    </row>
    <row r="176" spans="1:17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4">
        <v>96</v>
      </c>
      <c r="L176" s="34"/>
      <c r="M176" s="34"/>
      <c r="N176" s="34"/>
      <c r="O176" s="34">
        <v>0</v>
      </c>
      <c r="P176" s="34"/>
      <c r="Q176" s="36"/>
    </row>
    <row r="177" spans="1:17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4">
        <v>96</v>
      </c>
      <c r="L177" s="34"/>
      <c r="M177" s="34"/>
      <c r="N177" s="34"/>
      <c r="O177" s="34">
        <v>0</v>
      </c>
      <c r="P177" s="34"/>
      <c r="Q177" s="36"/>
    </row>
    <row r="178" spans="1:17" x14ac:dyDescent="0.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4">
        <v>96</v>
      </c>
      <c r="L178" s="34"/>
      <c r="M178" s="34"/>
      <c r="N178" s="34"/>
      <c r="O178" s="34">
        <v>0</v>
      </c>
      <c r="P178" s="34"/>
      <c r="Q178" s="36"/>
    </row>
    <row r="179" spans="1:17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4">
        <v>96</v>
      </c>
      <c r="L179" s="34"/>
      <c r="M179" s="34"/>
      <c r="N179" s="34"/>
      <c r="O179" s="34">
        <v>0</v>
      </c>
      <c r="P179" s="34"/>
      <c r="Q179" s="36"/>
    </row>
    <row r="180" spans="1:17" x14ac:dyDescent="0.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4">
        <v>96</v>
      </c>
      <c r="L180" s="34"/>
      <c r="M180" s="34"/>
      <c r="N180" s="34"/>
      <c r="O180" s="34">
        <v>0</v>
      </c>
      <c r="P180" s="34"/>
      <c r="Q180" s="36"/>
    </row>
    <row r="181" spans="1:17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4">
        <v>96</v>
      </c>
      <c r="L181" s="34"/>
      <c r="M181" s="34"/>
      <c r="N181" s="34"/>
      <c r="O181" s="34">
        <v>0</v>
      </c>
      <c r="P181" s="34"/>
      <c r="Q181" s="36"/>
    </row>
    <row r="182" spans="1:17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4">
        <v>24</v>
      </c>
      <c r="L182" s="34"/>
      <c r="M182" s="34"/>
      <c r="N182" s="34"/>
      <c r="O182" s="34"/>
      <c r="P182" s="34">
        <v>1</v>
      </c>
      <c r="Q182" s="36"/>
    </row>
    <row r="183" spans="1:17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4">
        <v>24</v>
      </c>
      <c r="L183" s="34"/>
      <c r="M183" s="34"/>
      <c r="N183" s="34"/>
      <c r="O183" s="34"/>
      <c r="P183" s="34">
        <v>1</v>
      </c>
      <c r="Q183" s="36"/>
    </row>
    <row r="184" spans="1:17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4">
        <v>24</v>
      </c>
      <c r="L184" s="34"/>
      <c r="M184" s="34"/>
      <c r="N184" s="34"/>
      <c r="O184" s="34"/>
      <c r="P184" s="34">
        <v>1</v>
      </c>
      <c r="Q184" s="36"/>
    </row>
    <row r="185" spans="1:17" x14ac:dyDescent="0.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4">
        <v>24</v>
      </c>
      <c r="L185" s="34"/>
      <c r="M185" s="34"/>
      <c r="N185" s="34"/>
      <c r="O185" s="34"/>
      <c r="P185" s="34">
        <v>1</v>
      </c>
      <c r="Q185" s="36"/>
    </row>
    <row r="186" spans="1:17" x14ac:dyDescent="0.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4">
        <v>24</v>
      </c>
      <c r="L186" s="34"/>
      <c r="M186" s="34"/>
      <c r="N186" s="34"/>
      <c r="O186" s="34"/>
      <c r="P186" s="34">
        <v>1</v>
      </c>
      <c r="Q186" s="36"/>
    </row>
    <row r="187" spans="1:17" x14ac:dyDescent="0.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4">
        <v>24</v>
      </c>
      <c r="L187" s="34"/>
      <c r="M187" s="34"/>
      <c r="N187" s="34"/>
      <c r="O187" s="34"/>
      <c r="P187" s="34">
        <v>1</v>
      </c>
      <c r="Q187" s="36"/>
    </row>
    <row r="188" spans="1:17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4">
        <v>24</v>
      </c>
      <c r="L188" s="34"/>
      <c r="M188" s="34"/>
      <c r="N188" s="34"/>
      <c r="O188" s="34"/>
      <c r="P188" s="34">
        <v>1</v>
      </c>
      <c r="Q188" s="36"/>
    </row>
    <row r="189" spans="1:17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4">
        <v>24</v>
      </c>
      <c r="L189" s="34"/>
      <c r="M189" s="34"/>
      <c r="N189" s="34"/>
      <c r="O189" s="34"/>
      <c r="P189" s="34">
        <v>1</v>
      </c>
      <c r="Q189" s="36"/>
    </row>
    <row r="190" spans="1:17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4">
        <v>24</v>
      </c>
      <c r="L190" s="34"/>
      <c r="M190" s="34"/>
      <c r="N190" s="34"/>
      <c r="O190" s="34"/>
      <c r="P190" s="34">
        <v>1</v>
      </c>
      <c r="Q190" s="36"/>
    </row>
    <row r="191" spans="1:17" x14ac:dyDescent="0.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4">
        <v>24</v>
      </c>
      <c r="L191" s="34"/>
      <c r="M191" s="34"/>
      <c r="N191" s="34"/>
      <c r="O191" s="34"/>
      <c r="P191" s="34">
        <v>1</v>
      </c>
      <c r="Q191" s="36"/>
    </row>
    <row r="192" spans="1:17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4">
        <v>24</v>
      </c>
      <c r="L192" s="34"/>
      <c r="M192" s="34"/>
      <c r="N192" s="34"/>
      <c r="O192" s="34"/>
      <c r="P192" s="34">
        <v>1</v>
      </c>
      <c r="Q192" s="36"/>
    </row>
    <row r="193" spans="1:17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4">
        <v>24</v>
      </c>
      <c r="L193" s="34"/>
      <c r="M193" s="34"/>
      <c r="N193" s="34"/>
      <c r="O193" s="34"/>
      <c r="P193" s="34">
        <v>1</v>
      </c>
      <c r="Q193" s="36"/>
    </row>
    <row r="194" spans="1:17" x14ac:dyDescent="0.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4">
        <v>24</v>
      </c>
      <c r="L194" s="34"/>
      <c r="M194" s="34"/>
      <c r="N194" s="34"/>
      <c r="O194" s="34"/>
      <c r="P194" s="34">
        <v>1</v>
      </c>
      <c r="Q194" s="36"/>
    </row>
    <row r="195" spans="1:17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4">
        <v>24</v>
      </c>
      <c r="L195" s="34"/>
      <c r="M195" s="34"/>
      <c r="N195" s="34"/>
      <c r="O195" s="34"/>
      <c r="P195" s="34">
        <v>1</v>
      </c>
      <c r="Q195" s="36"/>
    </row>
    <row r="196" spans="1:17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4">
        <v>24</v>
      </c>
      <c r="L196" s="34"/>
      <c r="M196" s="34"/>
      <c r="N196" s="34"/>
      <c r="O196" s="34"/>
      <c r="P196" s="34">
        <v>1</v>
      </c>
      <c r="Q196" s="36"/>
    </row>
    <row r="197" spans="1:17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4">
        <v>24</v>
      </c>
      <c r="L197" s="34"/>
      <c r="M197" s="34"/>
      <c r="N197" s="34"/>
      <c r="O197" s="34"/>
      <c r="P197" s="34">
        <v>1</v>
      </c>
      <c r="Q197" s="36"/>
    </row>
    <row r="198" spans="1:17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4">
        <v>24</v>
      </c>
      <c r="L198" s="34"/>
      <c r="M198" s="34"/>
      <c r="N198" s="34"/>
      <c r="O198" s="34"/>
      <c r="P198" s="34">
        <v>1</v>
      </c>
      <c r="Q198" s="36"/>
    </row>
    <row r="199" spans="1:17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4">
        <v>24</v>
      </c>
      <c r="L199" s="34"/>
      <c r="M199" s="34"/>
      <c r="N199" s="34"/>
      <c r="O199" s="34"/>
      <c r="P199" s="34">
        <v>1</v>
      </c>
      <c r="Q199" s="36"/>
    </row>
    <row r="200" spans="1:17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4">
        <v>24</v>
      </c>
      <c r="L200" s="34"/>
      <c r="M200" s="34"/>
      <c r="N200" s="34"/>
      <c r="O200" s="34"/>
      <c r="P200" s="34">
        <v>1</v>
      </c>
      <c r="Q200" s="36"/>
    </row>
    <row r="201" spans="1:17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4">
        <v>24</v>
      </c>
      <c r="L201" s="34"/>
      <c r="M201" s="34"/>
      <c r="N201" s="34"/>
      <c r="O201" s="34"/>
      <c r="P201" s="34">
        <v>1</v>
      </c>
      <c r="Q201" s="36"/>
    </row>
    <row r="202" spans="1:17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4">
        <v>24</v>
      </c>
      <c r="L202" s="34"/>
      <c r="M202" s="34"/>
      <c r="N202" s="34"/>
      <c r="O202" s="34"/>
      <c r="P202" s="34">
        <v>1</v>
      </c>
      <c r="Q202" s="36"/>
    </row>
    <row r="203" spans="1:17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4">
        <v>24</v>
      </c>
      <c r="L203" s="34"/>
      <c r="M203" s="34"/>
      <c r="N203" s="34"/>
      <c r="O203" s="34"/>
      <c r="P203" s="34">
        <v>1</v>
      </c>
      <c r="Q203" s="36"/>
    </row>
    <row r="204" spans="1:17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4">
        <v>24</v>
      </c>
      <c r="L204" s="34"/>
      <c r="M204" s="34"/>
      <c r="N204" s="34"/>
      <c r="O204" s="34"/>
      <c r="P204" s="34">
        <v>1</v>
      </c>
      <c r="Q204" s="36"/>
    </row>
    <row r="205" spans="1:17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4">
        <v>24</v>
      </c>
      <c r="L205" s="34"/>
      <c r="M205" s="34"/>
      <c r="N205" s="34"/>
      <c r="O205" s="34"/>
      <c r="P205" s="34">
        <v>1</v>
      </c>
      <c r="Q205" s="36"/>
    </row>
    <row r="206" spans="1:17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4">
        <v>24</v>
      </c>
      <c r="L206" s="34"/>
      <c r="M206" s="34"/>
      <c r="N206" s="34"/>
      <c r="O206" s="34"/>
      <c r="P206" s="34">
        <v>1</v>
      </c>
      <c r="Q206" s="36"/>
    </row>
    <row r="207" spans="1:17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4">
        <v>24</v>
      </c>
      <c r="L207" s="34"/>
      <c r="M207" s="34"/>
      <c r="N207" s="34"/>
      <c r="O207" s="34"/>
      <c r="P207" s="34">
        <v>1</v>
      </c>
      <c r="Q207" s="36"/>
    </row>
    <row r="208" spans="1:17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4">
        <v>24</v>
      </c>
      <c r="L208" s="34"/>
      <c r="M208" s="34"/>
      <c r="N208" s="34"/>
      <c r="O208" s="34"/>
      <c r="P208" s="34">
        <v>1</v>
      </c>
      <c r="Q208" s="36"/>
    </row>
    <row r="209" spans="1:17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4">
        <v>24</v>
      </c>
      <c r="L209" s="34"/>
      <c r="M209" s="34"/>
      <c r="N209" s="34"/>
      <c r="O209" s="34"/>
      <c r="P209" s="34">
        <v>1</v>
      </c>
      <c r="Q209" s="36"/>
    </row>
    <row r="210" spans="1:17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4">
        <v>24</v>
      </c>
      <c r="L210" s="34"/>
      <c r="M210" s="34"/>
      <c r="N210" s="34"/>
      <c r="O210" s="34"/>
      <c r="P210" s="34">
        <v>1</v>
      </c>
      <c r="Q210" s="36"/>
    </row>
    <row r="211" spans="1:17" x14ac:dyDescent="0.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4">
        <v>24</v>
      </c>
      <c r="L211" s="34"/>
      <c r="M211" s="34"/>
      <c r="N211" s="34"/>
      <c r="O211" s="34"/>
      <c r="P211" s="34">
        <v>1</v>
      </c>
      <c r="Q211" s="36"/>
    </row>
    <row r="212" spans="1:17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4">
        <v>48</v>
      </c>
      <c r="L212" s="34"/>
      <c r="M212" s="34"/>
      <c r="N212" s="34"/>
      <c r="O212" s="34"/>
      <c r="P212" s="34">
        <v>1</v>
      </c>
      <c r="Q212" s="36"/>
    </row>
    <row r="213" spans="1:17" x14ac:dyDescent="0.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4">
        <v>48</v>
      </c>
      <c r="L213" s="34"/>
      <c r="M213" s="34"/>
      <c r="N213" s="34"/>
      <c r="O213" s="34"/>
      <c r="P213" s="34">
        <v>1</v>
      </c>
      <c r="Q213" s="36"/>
    </row>
    <row r="214" spans="1:17" x14ac:dyDescent="0.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4">
        <v>48</v>
      </c>
      <c r="L214" s="34"/>
      <c r="M214" s="34"/>
      <c r="N214" s="34"/>
      <c r="O214" s="34"/>
      <c r="P214" s="34">
        <v>1</v>
      </c>
      <c r="Q214" s="36"/>
    </row>
    <row r="215" spans="1:17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4">
        <v>48</v>
      </c>
      <c r="L215" s="34"/>
      <c r="M215" s="34"/>
      <c r="N215" s="34"/>
      <c r="O215" s="34"/>
      <c r="P215" s="34">
        <v>1</v>
      </c>
      <c r="Q215" s="36"/>
    </row>
    <row r="216" spans="1:17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4">
        <v>48</v>
      </c>
      <c r="L216" s="34"/>
      <c r="M216" s="34"/>
      <c r="N216" s="34"/>
      <c r="O216" s="34"/>
      <c r="P216" s="34">
        <v>1</v>
      </c>
      <c r="Q216" s="36"/>
    </row>
    <row r="217" spans="1:17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4">
        <v>48</v>
      </c>
      <c r="L217" s="34"/>
      <c r="M217" s="34"/>
      <c r="N217" s="34"/>
      <c r="O217" s="34"/>
      <c r="P217" s="34">
        <v>1</v>
      </c>
      <c r="Q217" s="36"/>
    </row>
    <row r="218" spans="1:17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4">
        <v>48</v>
      </c>
      <c r="L218" s="34"/>
      <c r="M218" s="34"/>
      <c r="N218" s="34"/>
      <c r="O218" s="34"/>
      <c r="P218" s="34">
        <v>1</v>
      </c>
      <c r="Q218" s="36"/>
    </row>
    <row r="219" spans="1:17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4">
        <v>48</v>
      </c>
      <c r="L219" s="34"/>
      <c r="M219" s="34"/>
      <c r="N219" s="34"/>
      <c r="O219" s="34"/>
      <c r="P219" s="34">
        <v>1</v>
      </c>
      <c r="Q219" s="36"/>
    </row>
    <row r="220" spans="1:17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4">
        <v>48</v>
      </c>
      <c r="L220" s="34"/>
      <c r="M220" s="34"/>
      <c r="N220" s="34"/>
      <c r="O220" s="34"/>
      <c r="P220" s="34">
        <v>1</v>
      </c>
      <c r="Q220" s="36"/>
    </row>
    <row r="221" spans="1:17" x14ac:dyDescent="0.2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4">
        <v>48</v>
      </c>
      <c r="L221" s="34"/>
      <c r="M221" s="34"/>
      <c r="N221" s="34"/>
      <c r="O221" s="34"/>
      <c r="P221" s="34">
        <v>1</v>
      </c>
      <c r="Q221" s="36"/>
    </row>
    <row r="222" spans="1:17" x14ac:dyDescent="0.2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4">
        <v>48</v>
      </c>
      <c r="L222" s="34"/>
      <c r="M222" s="34"/>
      <c r="N222" s="34"/>
      <c r="O222" s="34"/>
      <c r="P222" s="34">
        <v>1</v>
      </c>
      <c r="Q222" s="36"/>
    </row>
    <row r="223" spans="1:17" x14ac:dyDescent="0.2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4">
        <v>48</v>
      </c>
      <c r="L223" s="34"/>
      <c r="M223" s="34"/>
      <c r="N223" s="34"/>
      <c r="O223" s="34"/>
      <c r="P223" s="34">
        <v>1</v>
      </c>
      <c r="Q223" s="36"/>
    </row>
    <row r="224" spans="1:17" x14ac:dyDescent="0.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4">
        <v>48</v>
      </c>
      <c r="L224" s="34"/>
      <c r="M224" s="34"/>
      <c r="N224" s="34"/>
      <c r="O224" s="34"/>
      <c r="P224" s="34">
        <v>1</v>
      </c>
      <c r="Q224" s="36"/>
    </row>
    <row r="225" spans="1:17" x14ac:dyDescent="0.2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4">
        <v>72</v>
      </c>
      <c r="L225" s="34"/>
      <c r="M225" s="34"/>
      <c r="N225" s="34"/>
      <c r="O225" s="34"/>
      <c r="P225" s="34">
        <v>1</v>
      </c>
      <c r="Q225" s="36"/>
    </row>
    <row r="226" spans="1:17" x14ac:dyDescent="0.2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4">
        <v>72</v>
      </c>
      <c r="L226" s="34"/>
      <c r="M226" s="34"/>
      <c r="N226" s="34"/>
      <c r="O226" s="34"/>
      <c r="P226" s="34">
        <v>1</v>
      </c>
      <c r="Q226" s="36"/>
    </row>
    <row r="227" spans="1:17" x14ac:dyDescent="0.2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4">
        <v>72</v>
      </c>
      <c r="L227" s="34"/>
      <c r="M227" s="34"/>
      <c r="N227" s="34"/>
      <c r="O227" s="34"/>
      <c r="P227" s="34">
        <v>1</v>
      </c>
      <c r="Q227" s="36"/>
    </row>
    <row r="228" spans="1:17" x14ac:dyDescent="0.2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4">
        <v>72</v>
      </c>
      <c r="L228" s="34"/>
      <c r="M228" s="34"/>
      <c r="N228" s="34"/>
      <c r="O228" s="34"/>
      <c r="P228" s="34">
        <v>1</v>
      </c>
      <c r="Q228" s="36"/>
    </row>
    <row r="229" spans="1:17" x14ac:dyDescent="0.2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4">
        <v>72</v>
      </c>
      <c r="L229" s="34"/>
      <c r="M229" s="34"/>
      <c r="N229" s="34"/>
      <c r="O229" s="34"/>
      <c r="P229" s="34">
        <v>1</v>
      </c>
      <c r="Q229" s="36"/>
    </row>
    <row r="230" spans="1:17" x14ac:dyDescent="0.2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4">
        <v>72</v>
      </c>
      <c r="L230" s="34"/>
      <c r="M230" s="34"/>
      <c r="N230" s="34"/>
      <c r="O230" s="34"/>
      <c r="P230" s="34">
        <v>1</v>
      </c>
      <c r="Q230" s="36"/>
    </row>
    <row r="231" spans="1:17" x14ac:dyDescent="0.2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4">
        <v>72</v>
      </c>
      <c r="L231" s="34"/>
      <c r="M231" s="34"/>
      <c r="N231" s="34"/>
      <c r="O231" s="34"/>
      <c r="P231" s="34">
        <v>1</v>
      </c>
      <c r="Q231" s="36"/>
    </row>
    <row r="232" spans="1:17" x14ac:dyDescent="0.2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4">
        <v>72</v>
      </c>
      <c r="L232" s="34"/>
      <c r="M232" s="34"/>
      <c r="N232" s="34"/>
      <c r="O232" s="34"/>
      <c r="P232" s="34">
        <v>1</v>
      </c>
      <c r="Q232" s="36"/>
    </row>
    <row r="233" spans="1:17" x14ac:dyDescent="0.2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4">
        <v>72</v>
      </c>
      <c r="L233" s="34"/>
      <c r="M233" s="34"/>
      <c r="N233" s="34"/>
      <c r="O233" s="34"/>
      <c r="P233" s="34">
        <v>1</v>
      </c>
      <c r="Q233" s="36"/>
    </row>
    <row r="234" spans="1:17" x14ac:dyDescent="0.2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4">
        <v>72</v>
      </c>
      <c r="L234" s="34"/>
      <c r="M234" s="34"/>
      <c r="N234" s="34"/>
      <c r="O234" s="34"/>
      <c r="P234" s="34">
        <v>1</v>
      </c>
      <c r="Q234" s="36"/>
    </row>
    <row r="235" spans="1:17" x14ac:dyDescent="0.2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4">
        <v>72</v>
      </c>
      <c r="L235" s="34"/>
      <c r="M235" s="34"/>
      <c r="N235" s="34"/>
      <c r="O235" s="34"/>
      <c r="P235" s="34">
        <v>1</v>
      </c>
      <c r="Q235" s="36"/>
    </row>
    <row r="236" spans="1:17" x14ac:dyDescent="0.2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4">
        <v>72</v>
      </c>
      <c r="L236" s="34"/>
      <c r="M236" s="34"/>
      <c r="N236" s="34"/>
      <c r="O236" s="34"/>
      <c r="P236" s="34">
        <v>1</v>
      </c>
      <c r="Q236" s="36"/>
    </row>
    <row r="237" spans="1:17" x14ac:dyDescent="0.2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4">
        <v>72</v>
      </c>
      <c r="L237" s="34"/>
      <c r="M237" s="34"/>
      <c r="N237" s="34"/>
      <c r="O237" s="34"/>
      <c r="P237" s="34">
        <v>1</v>
      </c>
      <c r="Q237" s="36"/>
    </row>
    <row r="238" spans="1:17" x14ac:dyDescent="0.2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4">
        <v>72</v>
      </c>
      <c r="L238" s="34"/>
      <c r="M238" s="34"/>
      <c r="N238" s="34"/>
      <c r="O238" s="34"/>
      <c r="P238" s="34">
        <v>1</v>
      </c>
      <c r="Q238" s="36"/>
    </row>
    <row r="239" spans="1:17" x14ac:dyDescent="0.2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4">
        <v>72</v>
      </c>
      <c r="L239" s="34"/>
      <c r="M239" s="34"/>
      <c r="N239" s="34"/>
      <c r="O239" s="34"/>
      <c r="P239" s="34">
        <v>1</v>
      </c>
      <c r="Q239" s="36"/>
    </row>
    <row r="240" spans="1:17" x14ac:dyDescent="0.2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4">
        <v>72</v>
      </c>
      <c r="L240" s="34"/>
      <c r="M240" s="34"/>
      <c r="N240" s="34"/>
      <c r="O240" s="34"/>
      <c r="P240" s="34">
        <v>1</v>
      </c>
      <c r="Q240" s="36"/>
    </row>
    <row r="241" spans="1:17" x14ac:dyDescent="0.2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4">
        <v>72</v>
      </c>
      <c r="L241" s="34"/>
      <c r="M241" s="34"/>
      <c r="N241" s="34"/>
      <c r="O241" s="34"/>
      <c r="P241" s="34">
        <v>1</v>
      </c>
      <c r="Q241" s="36"/>
    </row>
    <row r="242" spans="1:17" x14ac:dyDescent="0.2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4">
        <v>72</v>
      </c>
      <c r="L242" s="34"/>
      <c r="M242" s="34"/>
      <c r="N242" s="34"/>
      <c r="O242" s="34"/>
      <c r="P242" s="34">
        <v>1</v>
      </c>
      <c r="Q242" s="36"/>
    </row>
    <row r="243" spans="1:17" x14ac:dyDescent="0.2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4">
        <v>72</v>
      </c>
      <c r="L243" s="34"/>
      <c r="M243" s="34"/>
      <c r="N243" s="34"/>
      <c r="O243" s="34"/>
      <c r="P243" s="34">
        <v>1</v>
      </c>
      <c r="Q243" s="36"/>
    </row>
    <row r="244" spans="1:17" x14ac:dyDescent="0.2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4">
        <v>96</v>
      </c>
      <c r="L244" s="34"/>
      <c r="M244" s="34"/>
      <c r="N244" s="34"/>
      <c r="O244" s="34"/>
      <c r="P244" s="34">
        <v>0</v>
      </c>
      <c r="Q244" s="36"/>
    </row>
    <row r="245" spans="1:17" x14ac:dyDescent="0.2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1:17" x14ac:dyDescent="0.2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1:17" x14ac:dyDescent="0.2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1:17" x14ac:dyDescent="0.2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1:17" x14ac:dyDescent="0.2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1:17" x14ac:dyDescent="0.2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1:17" x14ac:dyDescent="0.2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1:17" x14ac:dyDescent="0.2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1:17" x14ac:dyDescent="0.2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1:17" x14ac:dyDescent="0.2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1:17" x14ac:dyDescent="0.2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1:17" x14ac:dyDescent="0.2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1:17" x14ac:dyDescent="0.2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1:17" x14ac:dyDescent="0.2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1:17" x14ac:dyDescent="0.2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1:17" x14ac:dyDescent="0.2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1:17" x14ac:dyDescent="0.2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1:17" x14ac:dyDescent="0.2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1:17" x14ac:dyDescent="0.2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1:17" x14ac:dyDescent="0.2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1:17" x14ac:dyDescent="0.2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1:17" x14ac:dyDescent="0.2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1:17" x14ac:dyDescent="0.2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1:17" x14ac:dyDescent="0.2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1:17" x14ac:dyDescent="0.2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1:17" x14ac:dyDescent="0.2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1:17" x14ac:dyDescent="0.2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1:17" x14ac:dyDescent="0.2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1:17" x14ac:dyDescent="0.2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1:17" x14ac:dyDescent="0.2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1:17" x14ac:dyDescent="0.2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1:17" x14ac:dyDescent="0.2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1:17" x14ac:dyDescent="0.2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1:17" x14ac:dyDescent="0.2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1:17" x14ac:dyDescent="0.2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1:17" x14ac:dyDescent="0.2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1:17" x14ac:dyDescent="0.2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1:17" x14ac:dyDescent="0.2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1:17" x14ac:dyDescent="0.2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1:17" x14ac:dyDescent="0.2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1:17" x14ac:dyDescent="0.2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1:17" x14ac:dyDescent="0.2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1:17" x14ac:dyDescent="0.2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1:17" x14ac:dyDescent="0.2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1:17" x14ac:dyDescent="0.2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1:17" x14ac:dyDescent="0.2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1:17" x14ac:dyDescent="0.2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1:17" x14ac:dyDescent="0.2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1:17" x14ac:dyDescent="0.2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1:17" x14ac:dyDescent="0.2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1:17" x14ac:dyDescent="0.2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1:17" x14ac:dyDescent="0.2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1:17" x14ac:dyDescent="0.2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1:17" x14ac:dyDescent="0.2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1:17" x14ac:dyDescent="0.2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1:17" x14ac:dyDescent="0.2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1:17" x14ac:dyDescent="0.2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1:17" x14ac:dyDescent="0.2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1:17" x14ac:dyDescent="0.2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1:17" x14ac:dyDescent="0.2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1:17" x14ac:dyDescent="0.2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1:17" x14ac:dyDescent="0.2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1:17" x14ac:dyDescent="0.2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1:17" x14ac:dyDescent="0.2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1:17" x14ac:dyDescent="0.2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1:17" x14ac:dyDescent="0.2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1:17" x14ac:dyDescent="0.2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1:17" x14ac:dyDescent="0.2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1:17" x14ac:dyDescent="0.2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1:17" x14ac:dyDescent="0.2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1:17" x14ac:dyDescent="0.2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1:17" x14ac:dyDescent="0.2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1:17" x14ac:dyDescent="0.2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1:17" x14ac:dyDescent="0.2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1:17" x14ac:dyDescent="0.2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1:17" x14ac:dyDescent="0.2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1:17" x14ac:dyDescent="0.2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1:17" x14ac:dyDescent="0.2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1:17" x14ac:dyDescent="0.2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</sheetData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0"/>
  <sheetViews>
    <sheetView workbookViewId="0">
      <selection activeCell="I25" sqref="I25"/>
    </sheetView>
  </sheetViews>
  <sheetFormatPr baseColWidth="10" defaultColWidth="11" defaultRowHeight="16" x14ac:dyDescent="0.2"/>
  <cols>
    <col min="9" max="9" width="16.1640625" customWidth="1"/>
  </cols>
  <sheetData>
    <row r="1" spans="1:16" x14ac:dyDescent="0.2">
      <c r="A1" s="42" t="s">
        <v>126</v>
      </c>
      <c r="B1" s="35"/>
      <c r="C1" s="35"/>
      <c r="D1" s="35"/>
      <c r="E1" s="35"/>
      <c r="F1" s="35"/>
      <c r="G1" s="35"/>
      <c r="I1" s="36" t="s">
        <v>112</v>
      </c>
      <c r="K1" s="33" t="s">
        <v>111</v>
      </c>
      <c r="L1" s="33" t="s">
        <v>110</v>
      </c>
      <c r="M1" s="33" t="s">
        <v>44</v>
      </c>
      <c r="N1" s="33" t="s">
        <v>45</v>
      </c>
      <c r="O1" s="33" t="s">
        <v>72</v>
      </c>
      <c r="P1" s="33" t="s">
        <v>124</v>
      </c>
    </row>
    <row r="2" spans="1:16" x14ac:dyDescent="0.2">
      <c r="A2" s="35" t="s">
        <v>125</v>
      </c>
      <c r="B2" s="35"/>
      <c r="C2" s="35"/>
      <c r="D2" s="35"/>
      <c r="E2" s="35"/>
      <c r="F2" s="35"/>
      <c r="G2" s="35"/>
      <c r="I2" s="36" t="s">
        <v>127</v>
      </c>
      <c r="K2" s="34">
        <v>6</v>
      </c>
      <c r="L2" s="34">
        <v>1</v>
      </c>
      <c r="M2" s="34"/>
      <c r="N2" s="34"/>
      <c r="O2" s="34"/>
      <c r="P2" s="34"/>
    </row>
    <row r="3" spans="1:16" x14ac:dyDescent="0.2">
      <c r="A3" s="35" t="s">
        <v>67</v>
      </c>
      <c r="B3" s="35" t="s">
        <v>68</v>
      </c>
      <c r="C3" s="35" t="s">
        <v>113</v>
      </c>
      <c r="D3" s="35" t="s">
        <v>69</v>
      </c>
      <c r="E3" s="35" t="s">
        <v>114</v>
      </c>
      <c r="F3" s="35" t="s">
        <v>115</v>
      </c>
      <c r="G3" s="35" t="s">
        <v>116</v>
      </c>
      <c r="K3" s="34">
        <v>24</v>
      </c>
      <c r="L3" s="34">
        <v>1</v>
      </c>
      <c r="M3" s="34"/>
      <c r="N3" s="34"/>
      <c r="O3" s="34"/>
      <c r="P3" s="34"/>
    </row>
    <row r="4" spans="1:16" x14ac:dyDescent="0.2">
      <c r="A4" s="35" t="s">
        <v>117</v>
      </c>
      <c r="B4" s="35">
        <v>16</v>
      </c>
      <c r="C4" s="35">
        <v>15</v>
      </c>
      <c r="D4" s="35">
        <v>6</v>
      </c>
      <c r="E4" s="35">
        <v>2</v>
      </c>
      <c r="F4" s="35">
        <v>1</v>
      </c>
      <c r="G4" s="35">
        <v>1</v>
      </c>
      <c r="K4" s="34">
        <v>24</v>
      </c>
      <c r="L4" s="34">
        <v>1</v>
      </c>
      <c r="M4" s="34"/>
      <c r="N4" s="34"/>
      <c r="O4" s="34"/>
      <c r="P4" s="34"/>
    </row>
    <row r="5" spans="1:16" x14ac:dyDescent="0.2">
      <c r="A5" s="35"/>
      <c r="B5" s="35">
        <v>19</v>
      </c>
      <c r="C5" s="35">
        <v>17</v>
      </c>
      <c r="D5" s="35">
        <v>11</v>
      </c>
      <c r="E5" s="35">
        <v>3</v>
      </c>
      <c r="F5" s="35">
        <v>1</v>
      </c>
      <c r="G5" s="35">
        <v>1</v>
      </c>
      <c r="K5" s="34">
        <v>24</v>
      </c>
      <c r="L5" s="34">
        <v>1</v>
      </c>
      <c r="M5" s="34"/>
      <c r="N5" s="34"/>
      <c r="O5" s="34"/>
      <c r="P5" s="34"/>
    </row>
    <row r="6" spans="1:16" x14ac:dyDescent="0.2">
      <c r="A6" s="35"/>
      <c r="B6" s="35">
        <v>19</v>
      </c>
      <c r="C6" s="35">
        <v>17</v>
      </c>
      <c r="D6" s="35">
        <v>11</v>
      </c>
      <c r="E6" s="35">
        <v>3</v>
      </c>
      <c r="F6" s="35">
        <v>1</v>
      </c>
      <c r="G6" s="35">
        <v>0</v>
      </c>
      <c r="K6" s="34">
        <v>24</v>
      </c>
      <c r="L6" s="34">
        <v>1</v>
      </c>
      <c r="M6" s="34"/>
      <c r="N6" s="34"/>
      <c r="O6" s="34"/>
      <c r="P6" s="34"/>
    </row>
    <row r="7" spans="1:16" x14ac:dyDescent="0.2">
      <c r="A7" s="35" t="s">
        <v>118</v>
      </c>
      <c r="B7" s="35">
        <v>14</v>
      </c>
      <c r="C7" s="35">
        <v>10</v>
      </c>
      <c r="D7" s="35">
        <v>5</v>
      </c>
      <c r="E7" s="35">
        <v>3</v>
      </c>
      <c r="F7" s="35">
        <v>1</v>
      </c>
      <c r="G7" s="35">
        <v>0</v>
      </c>
      <c r="K7" s="34">
        <v>24</v>
      </c>
      <c r="L7" s="34">
        <v>1</v>
      </c>
      <c r="M7" s="34"/>
      <c r="N7" s="34"/>
      <c r="O7" s="34"/>
      <c r="P7" s="34"/>
    </row>
    <row r="8" spans="1:16" x14ac:dyDescent="0.2">
      <c r="A8" s="35"/>
      <c r="B8" s="35">
        <v>15</v>
      </c>
      <c r="C8" s="35">
        <v>13</v>
      </c>
      <c r="D8" s="35">
        <v>7</v>
      </c>
      <c r="E8" s="35">
        <v>1</v>
      </c>
      <c r="F8" s="35">
        <v>0</v>
      </c>
      <c r="G8" s="35">
        <v>0</v>
      </c>
      <c r="K8" s="34">
        <v>24</v>
      </c>
      <c r="L8" s="34">
        <v>1</v>
      </c>
      <c r="M8" s="34"/>
      <c r="N8" s="34"/>
      <c r="O8" s="34"/>
      <c r="P8" s="34"/>
    </row>
    <row r="9" spans="1:16" x14ac:dyDescent="0.2">
      <c r="A9" s="35"/>
      <c r="B9" s="35">
        <v>15</v>
      </c>
      <c r="C9" s="35">
        <v>13</v>
      </c>
      <c r="D9" s="35">
        <v>7</v>
      </c>
      <c r="E9" s="35">
        <v>1</v>
      </c>
      <c r="F9" s="35">
        <v>0</v>
      </c>
      <c r="G9" s="35">
        <v>0</v>
      </c>
      <c r="K9" s="34">
        <v>24</v>
      </c>
      <c r="L9" s="34">
        <v>1</v>
      </c>
      <c r="M9" s="34"/>
      <c r="N9" s="34"/>
      <c r="O9" s="34"/>
      <c r="P9" s="34"/>
    </row>
    <row r="10" spans="1:16" x14ac:dyDescent="0.2">
      <c r="A10" s="35" t="s">
        <v>119</v>
      </c>
      <c r="B10" s="35">
        <v>12</v>
      </c>
      <c r="C10" s="35">
        <v>12</v>
      </c>
      <c r="D10" s="35">
        <v>4</v>
      </c>
      <c r="E10" s="35">
        <v>2</v>
      </c>
      <c r="F10" s="35">
        <v>1</v>
      </c>
      <c r="G10" s="35">
        <v>0</v>
      </c>
      <c r="K10" s="34">
        <v>24</v>
      </c>
      <c r="L10" s="34">
        <v>1</v>
      </c>
      <c r="M10" s="34"/>
      <c r="N10" s="34"/>
      <c r="O10" s="34"/>
      <c r="P10" s="34"/>
    </row>
    <row r="11" spans="1:16" x14ac:dyDescent="0.2">
      <c r="A11" s="35"/>
      <c r="B11" s="35">
        <v>16</v>
      </c>
      <c r="C11" s="35">
        <v>12</v>
      </c>
      <c r="D11" s="35">
        <v>3</v>
      </c>
      <c r="E11" s="35">
        <v>1</v>
      </c>
      <c r="F11" s="35">
        <v>0</v>
      </c>
      <c r="G11" s="35">
        <v>0</v>
      </c>
      <c r="K11" s="34">
        <v>24</v>
      </c>
      <c r="L11" s="34">
        <v>1</v>
      </c>
      <c r="M11" s="34"/>
      <c r="N11" s="34"/>
      <c r="O11" s="34"/>
      <c r="P11" s="34"/>
    </row>
    <row r="12" spans="1:16" x14ac:dyDescent="0.2">
      <c r="A12" s="35"/>
      <c r="B12" s="35">
        <v>20</v>
      </c>
      <c r="C12" s="35">
        <v>17</v>
      </c>
      <c r="D12" s="35">
        <v>8</v>
      </c>
      <c r="E12" s="35">
        <v>2</v>
      </c>
      <c r="F12" s="35">
        <v>1</v>
      </c>
      <c r="G12" s="35">
        <v>1</v>
      </c>
      <c r="K12" s="34">
        <v>24</v>
      </c>
      <c r="L12" s="34">
        <v>1</v>
      </c>
      <c r="M12" s="34"/>
      <c r="N12" s="34"/>
      <c r="O12" s="34"/>
      <c r="P12" s="34"/>
    </row>
    <row r="13" spans="1:16" x14ac:dyDescent="0.2">
      <c r="A13" s="35" t="s">
        <v>120</v>
      </c>
      <c r="B13" s="35">
        <v>17</v>
      </c>
      <c r="C13" s="35">
        <v>17</v>
      </c>
      <c r="D13" s="35">
        <v>6</v>
      </c>
      <c r="E13" s="35">
        <v>1</v>
      </c>
      <c r="F13" s="35">
        <v>1</v>
      </c>
      <c r="G13" s="35">
        <v>0</v>
      </c>
      <c r="K13" s="34">
        <v>24</v>
      </c>
      <c r="L13" s="34">
        <v>1</v>
      </c>
      <c r="M13" s="34"/>
      <c r="N13" s="34"/>
      <c r="O13" s="34"/>
      <c r="P13" s="34"/>
    </row>
    <row r="14" spans="1:16" x14ac:dyDescent="0.2">
      <c r="A14" s="35"/>
      <c r="B14" s="35">
        <v>21</v>
      </c>
      <c r="C14" s="35">
        <v>15</v>
      </c>
      <c r="D14" s="35">
        <v>8</v>
      </c>
      <c r="E14" s="35">
        <v>5</v>
      </c>
      <c r="F14" s="35">
        <v>2</v>
      </c>
      <c r="G14" s="35">
        <v>2</v>
      </c>
      <c r="K14" s="34">
        <v>24</v>
      </c>
      <c r="L14" s="34">
        <v>1</v>
      </c>
      <c r="M14" s="34"/>
      <c r="N14" s="34"/>
      <c r="O14" s="34"/>
      <c r="P14" s="34"/>
    </row>
    <row r="15" spans="1:16" x14ac:dyDescent="0.2">
      <c r="A15" s="35"/>
      <c r="B15" s="35">
        <v>16</v>
      </c>
      <c r="C15" s="35">
        <v>12</v>
      </c>
      <c r="D15" s="35">
        <v>5</v>
      </c>
      <c r="E15" s="35">
        <v>1</v>
      </c>
      <c r="F15" s="35">
        <v>0</v>
      </c>
      <c r="G15" s="35">
        <v>0</v>
      </c>
      <c r="K15" s="34">
        <v>24</v>
      </c>
      <c r="L15" s="34">
        <v>1</v>
      </c>
      <c r="M15" s="34"/>
      <c r="N15" s="34"/>
      <c r="O15" s="34"/>
      <c r="P15" s="34"/>
    </row>
    <row r="16" spans="1:16" x14ac:dyDescent="0.2">
      <c r="A16" s="35" t="s">
        <v>72</v>
      </c>
      <c r="B16" s="35">
        <v>14</v>
      </c>
      <c r="C16" s="35">
        <v>10</v>
      </c>
      <c r="D16" s="35">
        <v>6</v>
      </c>
      <c r="E16" s="35">
        <v>0</v>
      </c>
      <c r="F16" s="35">
        <v>0</v>
      </c>
      <c r="G16" s="35">
        <v>0</v>
      </c>
      <c r="K16" s="34">
        <v>24</v>
      </c>
      <c r="L16" s="34">
        <v>1</v>
      </c>
      <c r="M16" s="34"/>
      <c r="N16" s="34"/>
      <c r="O16" s="34"/>
      <c r="P16" s="34"/>
    </row>
    <row r="17" spans="1:16" x14ac:dyDescent="0.2">
      <c r="A17" s="35"/>
      <c r="B17" s="35">
        <v>15</v>
      </c>
      <c r="C17" s="35">
        <v>12</v>
      </c>
      <c r="D17" s="35">
        <v>2</v>
      </c>
      <c r="E17" s="35">
        <v>0</v>
      </c>
      <c r="F17" s="35">
        <v>0</v>
      </c>
      <c r="G17" s="35">
        <v>0</v>
      </c>
      <c r="K17" s="34">
        <v>24</v>
      </c>
      <c r="L17" s="34">
        <v>1</v>
      </c>
      <c r="M17" s="34"/>
      <c r="N17" s="34"/>
      <c r="O17" s="34"/>
      <c r="P17" s="34"/>
    </row>
    <row r="18" spans="1:16" x14ac:dyDescent="0.2">
      <c r="A18" s="35"/>
      <c r="B18" s="35">
        <v>22</v>
      </c>
      <c r="C18" s="35">
        <v>14</v>
      </c>
      <c r="D18" s="35">
        <v>1</v>
      </c>
      <c r="E18" s="35">
        <v>1</v>
      </c>
      <c r="F18" s="35">
        <v>0</v>
      </c>
      <c r="G18" s="35">
        <v>0</v>
      </c>
      <c r="K18" s="34">
        <v>24</v>
      </c>
      <c r="L18" s="34">
        <v>1</v>
      </c>
      <c r="M18" s="34"/>
      <c r="N18" s="34"/>
      <c r="O18" s="34"/>
      <c r="P18" s="34"/>
    </row>
    <row r="19" spans="1:16" x14ac:dyDescent="0.2">
      <c r="A19" s="35" t="s">
        <v>121</v>
      </c>
      <c r="B19" s="35">
        <v>15</v>
      </c>
      <c r="C19" s="35">
        <v>15</v>
      </c>
      <c r="D19" s="35">
        <v>10</v>
      </c>
      <c r="E19" s="35">
        <v>3</v>
      </c>
      <c r="F19" s="35">
        <v>2</v>
      </c>
      <c r="G19" s="35">
        <v>2</v>
      </c>
      <c r="K19" s="34">
        <v>24</v>
      </c>
      <c r="L19" s="34">
        <v>1</v>
      </c>
      <c r="M19" s="34"/>
      <c r="N19" s="34"/>
      <c r="O19" s="34"/>
      <c r="P19" s="34"/>
    </row>
    <row r="20" spans="1:16" x14ac:dyDescent="0.2">
      <c r="A20" s="35"/>
      <c r="B20" s="35">
        <v>28</v>
      </c>
      <c r="C20" s="35">
        <v>24</v>
      </c>
      <c r="D20" s="35">
        <v>15</v>
      </c>
      <c r="E20" s="35">
        <v>6</v>
      </c>
      <c r="F20" s="35">
        <v>4</v>
      </c>
      <c r="G20" s="35">
        <v>2</v>
      </c>
      <c r="K20" s="34">
        <v>24</v>
      </c>
      <c r="L20" s="34">
        <v>1</v>
      </c>
      <c r="M20" s="34"/>
      <c r="N20" s="34"/>
      <c r="O20" s="34"/>
      <c r="P20" s="34"/>
    </row>
    <row r="21" spans="1:16" x14ac:dyDescent="0.2">
      <c r="A21" s="35"/>
      <c r="B21" s="35">
        <v>30</v>
      </c>
      <c r="C21" s="35">
        <v>23</v>
      </c>
      <c r="D21" s="35">
        <v>13</v>
      </c>
      <c r="E21" s="35">
        <v>4</v>
      </c>
      <c r="F21" s="35">
        <v>2</v>
      </c>
      <c r="G21" s="35">
        <v>2</v>
      </c>
      <c r="K21" s="34">
        <v>48</v>
      </c>
      <c r="L21" s="34">
        <v>1</v>
      </c>
      <c r="M21" s="34"/>
      <c r="N21" s="34"/>
      <c r="O21" s="34"/>
      <c r="P21" s="34"/>
    </row>
    <row r="22" spans="1:16" x14ac:dyDescent="0.2">
      <c r="A22" s="35" t="s">
        <v>122</v>
      </c>
      <c r="B22" s="35">
        <v>13</v>
      </c>
      <c r="C22" s="35">
        <v>12</v>
      </c>
      <c r="D22" s="35">
        <v>4</v>
      </c>
      <c r="E22" s="35">
        <v>3</v>
      </c>
      <c r="F22" s="35">
        <v>1</v>
      </c>
      <c r="G22" s="35">
        <v>1</v>
      </c>
      <c r="K22" s="34">
        <v>48</v>
      </c>
      <c r="L22" s="34">
        <v>1</v>
      </c>
      <c r="M22" s="34"/>
      <c r="N22" s="34"/>
      <c r="O22" s="34"/>
      <c r="P22" s="34"/>
    </row>
    <row r="23" spans="1:16" x14ac:dyDescent="0.2">
      <c r="A23" s="35"/>
      <c r="B23" s="35">
        <v>26</v>
      </c>
      <c r="C23" s="35">
        <v>19</v>
      </c>
      <c r="D23" s="35">
        <v>11</v>
      </c>
      <c r="E23" s="35">
        <v>3</v>
      </c>
      <c r="F23" s="35">
        <v>2</v>
      </c>
      <c r="G23" s="35">
        <v>1</v>
      </c>
      <c r="K23" s="34">
        <v>48</v>
      </c>
      <c r="L23" s="34">
        <v>1</v>
      </c>
      <c r="M23" s="34"/>
      <c r="N23" s="34"/>
      <c r="O23" s="34"/>
      <c r="P23" s="34"/>
    </row>
    <row r="24" spans="1:16" x14ac:dyDescent="0.2">
      <c r="A24" s="35"/>
      <c r="B24" s="35">
        <v>26</v>
      </c>
      <c r="C24" s="35">
        <v>19</v>
      </c>
      <c r="D24" s="35">
        <v>11</v>
      </c>
      <c r="E24" s="35">
        <v>3</v>
      </c>
      <c r="F24" s="35">
        <v>2</v>
      </c>
      <c r="G24" s="35">
        <v>1</v>
      </c>
      <c r="K24" s="34">
        <v>48</v>
      </c>
      <c r="L24" s="34">
        <v>1</v>
      </c>
      <c r="M24" s="34"/>
      <c r="N24" s="34"/>
      <c r="O24" s="34"/>
      <c r="P24" s="34"/>
    </row>
    <row r="25" spans="1:16" x14ac:dyDescent="0.2">
      <c r="A25" s="35" t="s">
        <v>123</v>
      </c>
      <c r="B25" s="35">
        <v>17</v>
      </c>
      <c r="C25" s="35">
        <v>15</v>
      </c>
      <c r="D25" s="35">
        <v>7</v>
      </c>
      <c r="E25" s="35">
        <v>2</v>
      </c>
      <c r="F25" s="35">
        <v>1</v>
      </c>
      <c r="G25" s="35">
        <v>1</v>
      </c>
      <c r="H25" s="24"/>
      <c r="K25" s="34">
        <v>48</v>
      </c>
      <c r="L25" s="34">
        <v>1</v>
      </c>
      <c r="M25" s="34"/>
      <c r="N25" s="34"/>
      <c r="O25" s="34"/>
      <c r="P25" s="34"/>
    </row>
    <row r="26" spans="1:16" x14ac:dyDescent="0.2">
      <c r="A26" s="35"/>
      <c r="B26" s="35">
        <v>26</v>
      </c>
      <c r="C26" s="35">
        <v>20</v>
      </c>
      <c r="D26" s="35">
        <v>11</v>
      </c>
      <c r="E26" s="35">
        <v>4</v>
      </c>
      <c r="F26" s="35">
        <v>2</v>
      </c>
      <c r="G26" s="35">
        <v>1</v>
      </c>
      <c r="K26" s="34">
        <v>48</v>
      </c>
      <c r="L26" s="34">
        <v>1</v>
      </c>
      <c r="M26" s="34"/>
      <c r="N26" s="34"/>
      <c r="O26" s="34"/>
      <c r="P26" s="34"/>
    </row>
    <row r="27" spans="1:16" x14ac:dyDescent="0.2">
      <c r="A27" s="35"/>
      <c r="B27" s="35">
        <v>26</v>
      </c>
      <c r="C27" s="35">
        <v>20</v>
      </c>
      <c r="D27" s="35">
        <v>11</v>
      </c>
      <c r="E27" s="35">
        <v>4</v>
      </c>
      <c r="F27" s="35">
        <v>2</v>
      </c>
      <c r="G27" s="35">
        <v>1</v>
      </c>
      <c r="K27" s="34">
        <v>48</v>
      </c>
      <c r="L27" s="34">
        <v>1</v>
      </c>
      <c r="M27" s="34"/>
      <c r="N27" s="34"/>
      <c r="O27" s="34"/>
      <c r="P27" s="34"/>
    </row>
    <row r="28" spans="1:16" x14ac:dyDescent="0.2">
      <c r="A28" s="35" t="s">
        <v>110</v>
      </c>
      <c r="B28" s="35">
        <v>66</v>
      </c>
      <c r="C28" s="35">
        <v>65</v>
      </c>
      <c r="D28" s="35">
        <v>47</v>
      </c>
      <c r="E28" s="35">
        <v>31</v>
      </c>
      <c r="F28" s="35">
        <v>23</v>
      </c>
      <c r="G28" s="35">
        <v>20</v>
      </c>
      <c r="K28" s="34">
        <v>48</v>
      </c>
      <c r="L28" s="34">
        <v>1</v>
      </c>
      <c r="M28" s="34"/>
      <c r="N28" s="34"/>
      <c r="O28" s="34"/>
      <c r="P28" s="34"/>
    </row>
    <row r="29" spans="1:16" x14ac:dyDescent="0.2">
      <c r="K29" s="34">
        <v>48</v>
      </c>
      <c r="L29" s="34">
        <v>1</v>
      </c>
      <c r="M29" s="34"/>
      <c r="N29" s="34"/>
      <c r="O29" s="34"/>
      <c r="P29" s="34"/>
    </row>
    <row r="30" spans="1:16" x14ac:dyDescent="0.2">
      <c r="K30" s="34">
        <v>48</v>
      </c>
      <c r="L30" s="34">
        <v>1</v>
      </c>
      <c r="M30" s="34"/>
      <c r="N30" s="34"/>
      <c r="O30" s="34"/>
      <c r="P30" s="34"/>
    </row>
    <row r="31" spans="1:16" x14ac:dyDescent="0.2">
      <c r="K31" s="34">
        <v>48</v>
      </c>
      <c r="L31" s="34">
        <v>1</v>
      </c>
      <c r="M31" s="34"/>
      <c r="N31" s="34"/>
      <c r="O31" s="34"/>
      <c r="P31" s="34"/>
    </row>
    <row r="32" spans="1:16" x14ac:dyDescent="0.2">
      <c r="K32" s="34">
        <v>48</v>
      </c>
      <c r="L32" s="34">
        <v>1</v>
      </c>
      <c r="M32" s="34"/>
      <c r="N32" s="34"/>
      <c r="O32" s="34"/>
      <c r="P32" s="34"/>
    </row>
    <row r="33" spans="11:16" x14ac:dyDescent="0.2">
      <c r="K33" s="34">
        <v>48</v>
      </c>
      <c r="L33" s="34">
        <v>1</v>
      </c>
      <c r="M33" s="34"/>
      <c r="N33" s="34"/>
      <c r="O33" s="34"/>
      <c r="P33" s="34"/>
    </row>
    <row r="34" spans="11:16" x14ac:dyDescent="0.2">
      <c r="K34" s="34">
        <v>48</v>
      </c>
      <c r="L34" s="34">
        <v>1</v>
      </c>
      <c r="M34" s="34"/>
      <c r="N34" s="34"/>
      <c r="O34" s="34"/>
      <c r="P34" s="34"/>
    </row>
    <row r="35" spans="11:16" x14ac:dyDescent="0.2">
      <c r="K35" s="34">
        <v>48</v>
      </c>
      <c r="L35" s="34">
        <v>1</v>
      </c>
      <c r="M35" s="34"/>
      <c r="N35" s="34"/>
      <c r="O35" s="34"/>
      <c r="P35" s="34"/>
    </row>
    <row r="36" spans="11:16" x14ac:dyDescent="0.2">
      <c r="K36" s="34">
        <v>48</v>
      </c>
      <c r="L36" s="34">
        <v>1</v>
      </c>
      <c r="M36" s="34"/>
      <c r="N36" s="34"/>
      <c r="O36" s="34"/>
      <c r="P36" s="34"/>
    </row>
    <row r="37" spans="11:16" x14ac:dyDescent="0.2">
      <c r="K37" s="34">
        <v>72</v>
      </c>
      <c r="L37" s="34">
        <v>1</v>
      </c>
      <c r="M37" s="34"/>
      <c r="N37" s="34"/>
      <c r="O37" s="34"/>
      <c r="P37" s="34"/>
    </row>
    <row r="38" spans="11:16" x14ac:dyDescent="0.2">
      <c r="K38" s="34">
        <v>72</v>
      </c>
      <c r="L38" s="34">
        <v>1</v>
      </c>
      <c r="M38" s="34"/>
      <c r="N38" s="34"/>
      <c r="O38" s="34"/>
      <c r="P38" s="34"/>
    </row>
    <row r="39" spans="11:16" x14ac:dyDescent="0.2">
      <c r="K39" s="34">
        <v>72</v>
      </c>
      <c r="L39" s="34">
        <v>1</v>
      </c>
      <c r="M39" s="34"/>
      <c r="N39" s="34"/>
      <c r="O39" s="34"/>
      <c r="P39" s="34"/>
    </row>
    <row r="40" spans="11:16" x14ac:dyDescent="0.2">
      <c r="K40" s="34">
        <v>72</v>
      </c>
      <c r="L40" s="34">
        <v>1</v>
      </c>
      <c r="M40" s="34"/>
      <c r="N40" s="34"/>
      <c r="O40" s="34"/>
      <c r="P40" s="34"/>
    </row>
    <row r="41" spans="11:16" x14ac:dyDescent="0.2">
      <c r="K41" s="34">
        <v>72</v>
      </c>
      <c r="L41" s="34">
        <v>1</v>
      </c>
      <c r="M41" s="34"/>
      <c r="N41" s="34"/>
      <c r="O41" s="34"/>
      <c r="P41" s="34"/>
    </row>
    <row r="42" spans="11:16" x14ac:dyDescent="0.2">
      <c r="K42" s="34">
        <v>72</v>
      </c>
      <c r="L42" s="34">
        <v>1</v>
      </c>
      <c r="M42" s="34"/>
      <c r="N42" s="34"/>
      <c r="O42" s="34"/>
      <c r="P42" s="34"/>
    </row>
    <row r="43" spans="11:16" x14ac:dyDescent="0.2">
      <c r="K43" s="34">
        <v>72</v>
      </c>
      <c r="L43" s="34">
        <v>1</v>
      </c>
      <c r="M43" s="34"/>
      <c r="N43" s="34"/>
      <c r="O43" s="34"/>
      <c r="P43" s="34"/>
    </row>
    <row r="44" spans="11:16" x14ac:dyDescent="0.2">
      <c r="K44" s="34">
        <v>72</v>
      </c>
      <c r="L44" s="34">
        <v>1</v>
      </c>
      <c r="M44" s="34"/>
      <c r="N44" s="34"/>
      <c r="O44" s="34"/>
      <c r="P44" s="34"/>
    </row>
    <row r="45" spans="11:16" x14ac:dyDescent="0.2">
      <c r="K45" s="34">
        <v>96</v>
      </c>
      <c r="L45" s="34">
        <v>1</v>
      </c>
      <c r="M45" s="34"/>
      <c r="N45" s="34"/>
      <c r="O45" s="34"/>
      <c r="P45" s="34"/>
    </row>
    <row r="46" spans="11:16" x14ac:dyDescent="0.2">
      <c r="K46" s="34">
        <v>96</v>
      </c>
      <c r="L46" s="34">
        <v>1</v>
      </c>
      <c r="M46" s="34"/>
      <c r="N46" s="34"/>
      <c r="O46" s="34"/>
      <c r="P46" s="34"/>
    </row>
    <row r="47" spans="11:16" x14ac:dyDescent="0.2">
      <c r="K47" s="34">
        <v>96</v>
      </c>
      <c r="L47" s="34">
        <v>1</v>
      </c>
      <c r="M47" s="34"/>
      <c r="N47" s="34"/>
      <c r="O47" s="34"/>
      <c r="P47" s="34"/>
    </row>
    <row r="48" spans="11:16" x14ac:dyDescent="0.2">
      <c r="K48" s="34">
        <v>96</v>
      </c>
      <c r="L48" s="34">
        <v>0</v>
      </c>
      <c r="M48" s="34"/>
      <c r="N48" s="34"/>
      <c r="O48" s="34"/>
      <c r="P48" s="34"/>
    </row>
    <row r="49" spans="11:16" x14ac:dyDescent="0.2">
      <c r="K49" s="34">
        <v>96</v>
      </c>
      <c r="L49" s="34">
        <v>0</v>
      </c>
      <c r="M49" s="34"/>
      <c r="N49" s="34"/>
      <c r="O49" s="34"/>
      <c r="P49" s="34"/>
    </row>
    <row r="50" spans="11:16" x14ac:dyDescent="0.2">
      <c r="K50" s="34">
        <v>96</v>
      </c>
      <c r="L50" s="34">
        <v>0</v>
      </c>
      <c r="M50" s="34"/>
      <c r="N50" s="34"/>
      <c r="O50" s="34"/>
      <c r="P50" s="34"/>
    </row>
    <row r="51" spans="11:16" x14ac:dyDescent="0.2">
      <c r="K51" s="34">
        <v>96</v>
      </c>
      <c r="L51" s="34">
        <v>0</v>
      </c>
      <c r="M51" s="34"/>
      <c r="N51" s="34"/>
      <c r="O51" s="34"/>
      <c r="P51" s="34"/>
    </row>
    <row r="52" spans="11:16" x14ac:dyDescent="0.2">
      <c r="K52" s="34">
        <v>96</v>
      </c>
      <c r="L52" s="34">
        <v>0</v>
      </c>
      <c r="M52" s="34"/>
      <c r="N52" s="34"/>
      <c r="O52" s="34"/>
      <c r="P52" s="34"/>
    </row>
    <row r="53" spans="11:16" x14ac:dyDescent="0.2">
      <c r="K53" s="34">
        <v>96</v>
      </c>
      <c r="L53" s="34">
        <v>0</v>
      </c>
      <c r="M53" s="34"/>
      <c r="N53" s="34"/>
      <c r="O53" s="34"/>
      <c r="P53" s="34"/>
    </row>
    <row r="54" spans="11:16" x14ac:dyDescent="0.2">
      <c r="K54" s="34">
        <v>96</v>
      </c>
      <c r="L54" s="34">
        <v>0</v>
      </c>
      <c r="M54" s="34"/>
      <c r="N54" s="34"/>
      <c r="O54" s="34"/>
      <c r="P54" s="34"/>
    </row>
    <row r="55" spans="11:16" x14ac:dyDescent="0.2">
      <c r="K55" s="34">
        <v>96</v>
      </c>
      <c r="L55" s="34">
        <v>0</v>
      </c>
      <c r="M55" s="34"/>
      <c r="N55" s="34"/>
      <c r="O55" s="34"/>
      <c r="P55" s="34"/>
    </row>
    <row r="56" spans="11:16" x14ac:dyDescent="0.2">
      <c r="K56" s="34">
        <v>96</v>
      </c>
      <c r="L56" s="34">
        <v>0</v>
      </c>
      <c r="M56" s="34"/>
      <c r="N56" s="34"/>
      <c r="O56" s="34"/>
      <c r="P56" s="34"/>
    </row>
    <row r="57" spans="11:16" x14ac:dyDescent="0.2">
      <c r="K57" s="34">
        <v>96</v>
      </c>
      <c r="L57" s="34">
        <v>0</v>
      </c>
      <c r="M57" s="34"/>
      <c r="N57" s="34"/>
      <c r="O57" s="34"/>
      <c r="P57" s="34"/>
    </row>
    <row r="58" spans="11:16" x14ac:dyDescent="0.2">
      <c r="K58" s="34">
        <v>96</v>
      </c>
      <c r="L58" s="34">
        <v>0</v>
      </c>
      <c r="M58" s="34"/>
    </row>
    <row r="59" spans="11:16" x14ac:dyDescent="0.2">
      <c r="K59" s="34">
        <v>96</v>
      </c>
      <c r="L59" s="34">
        <v>0</v>
      </c>
      <c r="M59" s="34"/>
    </row>
    <row r="60" spans="11:16" x14ac:dyDescent="0.2">
      <c r="K60" s="34">
        <v>96</v>
      </c>
      <c r="L60" s="34">
        <v>0</v>
      </c>
      <c r="M60" s="34"/>
    </row>
    <row r="61" spans="11:16" x14ac:dyDescent="0.2">
      <c r="K61" s="34">
        <v>96</v>
      </c>
      <c r="L61" s="34">
        <v>0</v>
      </c>
      <c r="M61" s="34"/>
    </row>
    <row r="62" spans="11:16" x14ac:dyDescent="0.2">
      <c r="K62" s="34">
        <v>96</v>
      </c>
      <c r="L62" s="34">
        <v>0</v>
      </c>
      <c r="M62" s="34"/>
    </row>
    <row r="63" spans="11:16" x14ac:dyDescent="0.2">
      <c r="K63" s="34">
        <v>96</v>
      </c>
      <c r="L63" s="34">
        <v>0</v>
      </c>
      <c r="M63" s="34"/>
    </row>
    <row r="64" spans="11:16" x14ac:dyDescent="0.2">
      <c r="K64" s="34">
        <v>96</v>
      </c>
      <c r="L64" s="34">
        <v>0</v>
      </c>
      <c r="M64" s="34"/>
    </row>
    <row r="65" spans="11:16" x14ac:dyDescent="0.2">
      <c r="K65" s="34">
        <v>96</v>
      </c>
      <c r="L65" s="34">
        <v>0</v>
      </c>
      <c r="M65" s="34"/>
    </row>
    <row r="66" spans="11:16" x14ac:dyDescent="0.2">
      <c r="K66" s="34">
        <v>96</v>
      </c>
      <c r="L66" s="34">
        <v>0</v>
      </c>
      <c r="M66" s="34"/>
    </row>
    <row r="67" spans="11:16" x14ac:dyDescent="0.2">
      <c r="K67" s="34">
        <v>96</v>
      </c>
      <c r="L67" s="34">
        <v>0</v>
      </c>
      <c r="M67" s="34"/>
    </row>
    <row r="68" spans="11:16" x14ac:dyDescent="0.2">
      <c r="K68" s="34">
        <v>6</v>
      </c>
      <c r="L68" s="34"/>
      <c r="M68" s="34">
        <v>1</v>
      </c>
      <c r="N68" s="34"/>
      <c r="O68" s="34"/>
      <c r="P68" s="34"/>
    </row>
    <row r="69" spans="11:16" x14ac:dyDescent="0.2">
      <c r="K69" s="34">
        <v>6</v>
      </c>
      <c r="L69" s="34"/>
      <c r="M69" s="34">
        <v>1</v>
      </c>
      <c r="N69" s="34"/>
      <c r="O69" s="34"/>
      <c r="P69" s="34"/>
    </row>
    <row r="70" spans="11:16" x14ac:dyDescent="0.2">
      <c r="K70" s="34">
        <v>6</v>
      </c>
      <c r="L70" s="34"/>
      <c r="M70" s="34">
        <v>1</v>
      </c>
      <c r="N70" s="34"/>
      <c r="O70" s="34"/>
      <c r="P70" s="34"/>
    </row>
    <row r="71" spans="11:16" x14ac:dyDescent="0.2">
      <c r="K71" s="34">
        <v>6</v>
      </c>
      <c r="L71" s="34"/>
      <c r="M71" s="34">
        <v>1</v>
      </c>
      <c r="N71" s="34"/>
      <c r="O71" s="34"/>
      <c r="P71" s="34"/>
    </row>
    <row r="72" spans="11:16" x14ac:dyDescent="0.2">
      <c r="K72" s="34">
        <v>6</v>
      </c>
      <c r="L72" s="34"/>
      <c r="M72" s="34">
        <v>1</v>
      </c>
      <c r="N72" s="34"/>
      <c r="O72" s="34"/>
      <c r="P72" s="34"/>
    </row>
    <row r="73" spans="11:16" x14ac:dyDescent="0.2">
      <c r="K73" s="34">
        <v>24</v>
      </c>
      <c r="L73" s="34"/>
      <c r="M73" s="34">
        <v>1</v>
      </c>
      <c r="N73" s="34"/>
      <c r="O73" s="34"/>
      <c r="P73" s="34"/>
    </row>
    <row r="74" spans="11:16" x14ac:dyDescent="0.2">
      <c r="K74" s="34">
        <v>24</v>
      </c>
      <c r="L74" s="34"/>
      <c r="M74" s="34">
        <v>1</v>
      </c>
      <c r="N74" s="34"/>
      <c r="O74" s="34"/>
      <c r="P74" s="34"/>
    </row>
    <row r="75" spans="11:16" x14ac:dyDescent="0.2">
      <c r="K75" s="34">
        <v>24</v>
      </c>
      <c r="L75" s="34"/>
      <c r="M75" s="34">
        <v>1</v>
      </c>
      <c r="N75" s="34"/>
      <c r="O75" s="34"/>
      <c r="P75" s="34"/>
    </row>
    <row r="76" spans="11:16" x14ac:dyDescent="0.2">
      <c r="K76" s="34">
        <v>24</v>
      </c>
      <c r="L76" s="34"/>
      <c r="M76" s="34">
        <v>1</v>
      </c>
      <c r="N76" s="34"/>
      <c r="O76" s="34"/>
      <c r="P76" s="34"/>
    </row>
    <row r="77" spans="11:16" x14ac:dyDescent="0.2">
      <c r="K77" s="34">
        <v>24</v>
      </c>
      <c r="L77" s="34"/>
      <c r="M77" s="34">
        <v>1</v>
      </c>
      <c r="N77" s="34"/>
      <c r="O77" s="34"/>
      <c r="P77" s="34"/>
    </row>
    <row r="78" spans="11:16" x14ac:dyDescent="0.2">
      <c r="K78" s="34">
        <v>24</v>
      </c>
      <c r="L78" s="34"/>
      <c r="M78" s="34">
        <v>1</v>
      </c>
      <c r="N78" s="34"/>
      <c r="O78" s="34"/>
      <c r="P78" s="34"/>
    </row>
    <row r="79" spans="11:16" x14ac:dyDescent="0.2">
      <c r="K79" s="34">
        <v>24</v>
      </c>
      <c r="L79" s="34"/>
      <c r="M79" s="34">
        <v>1</v>
      </c>
      <c r="N79" s="34"/>
      <c r="O79" s="34"/>
      <c r="P79" s="34"/>
    </row>
    <row r="80" spans="11:16" x14ac:dyDescent="0.2">
      <c r="K80" s="34">
        <v>24</v>
      </c>
      <c r="L80" s="34"/>
      <c r="M80" s="34">
        <v>1</v>
      </c>
      <c r="N80" s="34"/>
      <c r="O80" s="34"/>
      <c r="P80" s="34"/>
    </row>
    <row r="81" spans="11:16" x14ac:dyDescent="0.2">
      <c r="K81" s="34">
        <v>24</v>
      </c>
      <c r="L81" s="34"/>
      <c r="M81" s="34">
        <v>1</v>
      </c>
      <c r="N81" s="34"/>
      <c r="O81" s="34"/>
      <c r="P81" s="34"/>
    </row>
    <row r="82" spans="11:16" x14ac:dyDescent="0.2">
      <c r="K82" s="34">
        <v>24</v>
      </c>
      <c r="L82" s="34"/>
      <c r="M82" s="34">
        <v>1</v>
      </c>
      <c r="N82" s="34"/>
      <c r="O82" s="34"/>
      <c r="P82" s="34"/>
    </row>
    <row r="83" spans="11:16" x14ac:dyDescent="0.2">
      <c r="K83" s="34">
        <v>24</v>
      </c>
      <c r="L83" s="34"/>
      <c r="M83" s="34">
        <v>1</v>
      </c>
      <c r="N83" s="34"/>
      <c r="O83" s="34"/>
      <c r="P83" s="34"/>
    </row>
    <row r="84" spans="11:16" x14ac:dyDescent="0.2">
      <c r="K84" s="34">
        <v>24</v>
      </c>
      <c r="L84" s="34"/>
      <c r="M84" s="34">
        <v>1</v>
      </c>
      <c r="N84" s="34"/>
      <c r="O84" s="34"/>
      <c r="P84" s="34"/>
    </row>
    <row r="85" spans="11:16" x14ac:dyDescent="0.2">
      <c r="K85" s="34">
        <v>24</v>
      </c>
      <c r="L85" s="34"/>
      <c r="M85" s="34">
        <v>1</v>
      </c>
      <c r="N85" s="34"/>
      <c r="O85" s="34"/>
      <c r="P85" s="34"/>
    </row>
    <row r="86" spans="11:16" x14ac:dyDescent="0.2">
      <c r="K86" s="34">
        <v>24</v>
      </c>
      <c r="L86" s="34"/>
      <c r="M86" s="34">
        <v>1</v>
      </c>
      <c r="N86" s="34"/>
      <c r="O86" s="34"/>
      <c r="P86" s="34"/>
    </row>
    <row r="87" spans="11:16" x14ac:dyDescent="0.2">
      <c r="K87" s="34">
        <v>24</v>
      </c>
      <c r="L87" s="34"/>
      <c r="M87" s="34">
        <v>1</v>
      </c>
      <c r="N87" s="34"/>
      <c r="O87" s="34"/>
      <c r="P87" s="34"/>
    </row>
    <row r="88" spans="11:16" x14ac:dyDescent="0.2">
      <c r="K88" s="34">
        <v>24</v>
      </c>
      <c r="L88" s="34"/>
      <c r="M88" s="34">
        <v>1</v>
      </c>
      <c r="N88" s="34"/>
      <c r="O88" s="34"/>
      <c r="P88" s="34"/>
    </row>
    <row r="89" spans="11:16" x14ac:dyDescent="0.2">
      <c r="K89" s="34">
        <v>24</v>
      </c>
      <c r="L89" s="34"/>
      <c r="M89" s="34">
        <v>1</v>
      </c>
      <c r="N89" s="34"/>
      <c r="O89" s="34"/>
      <c r="P89" s="34"/>
    </row>
    <row r="90" spans="11:16" x14ac:dyDescent="0.2">
      <c r="K90" s="34">
        <v>24</v>
      </c>
      <c r="L90" s="34"/>
      <c r="M90" s="34">
        <v>1</v>
      </c>
      <c r="N90" s="34"/>
      <c r="O90" s="34"/>
      <c r="P90" s="34"/>
    </row>
    <row r="91" spans="11:16" x14ac:dyDescent="0.2">
      <c r="K91" s="34">
        <v>24</v>
      </c>
      <c r="L91" s="34"/>
      <c r="M91" s="34">
        <v>1</v>
      </c>
      <c r="N91" s="34"/>
      <c r="O91" s="34"/>
      <c r="P91" s="34"/>
    </row>
    <row r="92" spans="11:16" x14ac:dyDescent="0.2">
      <c r="K92" s="34">
        <v>24</v>
      </c>
      <c r="L92" s="34"/>
      <c r="M92" s="34">
        <v>1</v>
      </c>
      <c r="N92" s="34"/>
      <c r="O92" s="34"/>
      <c r="P92" s="34"/>
    </row>
    <row r="93" spans="11:16" x14ac:dyDescent="0.2">
      <c r="K93" s="34">
        <v>24</v>
      </c>
      <c r="L93" s="34"/>
      <c r="M93" s="34">
        <v>1</v>
      </c>
      <c r="N93" s="34"/>
      <c r="O93" s="34"/>
      <c r="P93" s="34"/>
    </row>
    <row r="94" spans="11:16" x14ac:dyDescent="0.2">
      <c r="K94" s="34">
        <v>48</v>
      </c>
      <c r="L94" s="34"/>
      <c r="M94" s="34">
        <v>1</v>
      </c>
      <c r="N94" s="34"/>
      <c r="O94" s="34"/>
      <c r="P94" s="34"/>
    </row>
    <row r="95" spans="11:16" x14ac:dyDescent="0.2">
      <c r="K95" s="34">
        <v>48</v>
      </c>
      <c r="L95" s="34"/>
      <c r="M95" s="34">
        <v>1</v>
      </c>
      <c r="N95" s="34"/>
      <c r="O95" s="34"/>
      <c r="P95" s="34"/>
    </row>
    <row r="96" spans="11:16" x14ac:dyDescent="0.2">
      <c r="K96" s="34">
        <v>48</v>
      </c>
      <c r="L96" s="34"/>
      <c r="M96" s="34">
        <v>1</v>
      </c>
      <c r="N96" s="34"/>
      <c r="O96" s="34"/>
      <c r="P96" s="34"/>
    </row>
    <row r="97" spans="11:16" x14ac:dyDescent="0.2">
      <c r="K97" s="34">
        <v>48</v>
      </c>
      <c r="L97" s="34"/>
      <c r="M97" s="34">
        <v>1</v>
      </c>
      <c r="N97" s="34"/>
      <c r="O97" s="34"/>
      <c r="P97" s="34"/>
    </row>
    <row r="98" spans="11:16" x14ac:dyDescent="0.2">
      <c r="K98" s="34">
        <v>48</v>
      </c>
      <c r="L98" s="34"/>
      <c r="M98" s="34">
        <v>1</v>
      </c>
      <c r="N98" s="34"/>
      <c r="O98" s="34"/>
      <c r="P98" s="34"/>
    </row>
    <row r="99" spans="11:16" x14ac:dyDescent="0.2">
      <c r="K99" s="34">
        <v>48</v>
      </c>
      <c r="L99" s="34"/>
      <c r="M99" s="34">
        <v>1</v>
      </c>
      <c r="N99" s="34"/>
      <c r="O99" s="34"/>
      <c r="P99" s="34"/>
    </row>
    <row r="100" spans="11:16" x14ac:dyDescent="0.2">
      <c r="K100" s="34">
        <v>48</v>
      </c>
      <c r="L100" s="34"/>
      <c r="M100" s="34">
        <v>1</v>
      </c>
      <c r="N100" s="34"/>
      <c r="O100" s="34"/>
      <c r="P100" s="34"/>
    </row>
    <row r="101" spans="11:16" x14ac:dyDescent="0.2">
      <c r="K101" s="34">
        <v>48</v>
      </c>
      <c r="L101" s="34"/>
      <c r="M101" s="34">
        <v>1</v>
      </c>
      <c r="N101" s="34"/>
      <c r="O101" s="34"/>
      <c r="P101" s="34"/>
    </row>
    <row r="102" spans="11:16" x14ac:dyDescent="0.2">
      <c r="K102" s="34">
        <v>48</v>
      </c>
      <c r="L102" s="34"/>
      <c r="M102" s="34">
        <v>1</v>
      </c>
      <c r="N102" s="34"/>
      <c r="O102" s="34"/>
      <c r="P102" s="34"/>
    </row>
    <row r="103" spans="11:16" x14ac:dyDescent="0.2">
      <c r="K103" s="34">
        <v>48</v>
      </c>
      <c r="L103" s="34"/>
      <c r="M103" s="34">
        <v>1</v>
      </c>
      <c r="N103" s="34"/>
      <c r="O103" s="34"/>
      <c r="P103" s="34"/>
    </row>
    <row r="104" spans="11:16" x14ac:dyDescent="0.2">
      <c r="K104" s="34">
        <v>48</v>
      </c>
      <c r="L104" s="34"/>
      <c r="M104" s="34">
        <v>1</v>
      </c>
      <c r="N104" s="34"/>
      <c r="O104" s="34"/>
      <c r="P104" s="34"/>
    </row>
    <row r="105" spans="11:16" x14ac:dyDescent="0.2">
      <c r="K105" s="34">
        <v>48</v>
      </c>
      <c r="L105" s="34"/>
      <c r="M105" s="34">
        <v>1</v>
      </c>
      <c r="N105" s="34"/>
      <c r="O105" s="34"/>
      <c r="P105" s="34"/>
    </row>
    <row r="106" spans="11:16" x14ac:dyDescent="0.2">
      <c r="K106" s="34">
        <v>48</v>
      </c>
      <c r="L106" s="34"/>
      <c r="M106" s="34">
        <v>1</v>
      </c>
      <c r="N106" s="34"/>
      <c r="O106" s="34"/>
      <c r="P106" s="34"/>
    </row>
    <row r="107" spans="11:16" x14ac:dyDescent="0.2">
      <c r="K107" s="34">
        <v>48</v>
      </c>
      <c r="L107" s="34"/>
      <c r="M107" s="34">
        <v>1</v>
      </c>
      <c r="N107" s="34"/>
      <c r="O107" s="34"/>
      <c r="P107" s="34"/>
    </row>
    <row r="108" spans="11:16" x14ac:dyDescent="0.2">
      <c r="K108" s="34">
        <v>48</v>
      </c>
      <c r="L108" s="34"/>
      <c r="M108" s="34">
        <v>1</v>
      </c>
      <c r="N108" s="34"/>
      <c r="O108" s="34"/>
      <c r="P108" s="34"/>
    </row>
    <row r="109" spans="11:16" x14ac:dyDescent="0.2">
      <c r="K109" s="34">
        <v>48</v>
      </c>
      <c r="L109" s="34"/>
      <c r="M109" s="34">
        <v>1</v>
      </c>
      <c r="N109" s="34"/>
      <c r="O109" s="34"/>
      <c r="P109" s="34"/>
    </row>
    <row r="110" spans="11:16" x14ac:dyDescent="0.2">
      <c r="K110" s="34">
        <v>48</v>
      </c>
      <c r="L110" s="34"/>
      <c r="M110" s="34">
        <v>1</v>
      </c>
      <c r="N110" s="34"/>
      <c r="O110" s="34"/>
      <c r="P110" s="34"/>
    </row>
    <row r="111" spans="11:16" x14ac:dyDescent="0.2">
      <c r="K111" s="34">
        <v>48</v>
      </c>
      <c r="L111" s="34"/>
      <c r="M111" s="34">
        <v>1</v>
      </c>
      <c r="N111" s="34"/>
      <c r="O111" s="34"/>
      <c r="P111" s="34"/>
    </row>
    <row r="112" spans="11:16" x14ac:dyDescent="0.2">
      <c r="K112" s="34">
        <v>48</v>
      </c>
      <c r="L112" s="34"/>
      <c r="M112" s="34">
        <v>1</v>
      </c>
      <c r="N112" s="34"/>
      <c r="O112" s="34"/>
      <c r="P112" s="34"/>
    </row>
    <row r="113" spans="11:16" x14ac:dyDescent="0.2">
      <c r="K113" s="34">
        <v>48</v>
      </c>
      <c r="L113" s="34"/>
      <c r="M113" s="34">
        <v>1</v>
      </c>
      <c r="N113" s="34"/>
      <c r="O113" s="34"/>
      <c r="P113" s="34"/>
    </row>
    <row r="114" spans="11:16" x14ac:dyDescent="0.2">
      <c r="K114" s="34">
        <v>72</v>
      </c>
      <c r="L114" s="34"/>
      <c r="M114" s="34">
        <v>1</v>
      </c>
      <c r="N114" s="34"/>
      <c r="O114" s="34"/>
      <c r="P114" s="34"/>
    </row>
    <row r="115" spans="11:16" x14ac:dyDescent="0.2">
      <c r="K115" s="34">
        <v>72</v>
      </c>
      <c r="L115" s="34"/>
      <c r="M115" s="34">
        <v>1</v>
      </c>
      <c r="N115" s="34"/>
      <c r="O115" s="34"/>
      <c r="P115" s="34"/>
    </row>
    <row r="116" spans="11:16" x14ac:dyDescent="0.2">
      <c r="K116" s="34">
        <v>72</v>
      </c>
      <c r="L116" s="34"/>
      <c r="M116" s="34">
        <v>1</v>
      </c>
      <c r="N116" s="34"/>
      <c r="O116" s="34"/>
      <c r="P116" s="34"/>
    </row>
    <row r="117" spans="11:16" x14ac:dyDescent="0.2">
      <c r="K117" s="34">
        <v>72</v>
      </c>
      <c r="L117" s="34"/>
      <c r="M117" s="34">
        <v>1</v>
      </c>
      <c r="N117" s="34"/>
      <c r="O117" s="34"/>
      <c r="P117" s="34"/>
    </row>
    <row r="118" spans="11:16" x14ac:dyDescent="0.2">
      <c r="K118" s="34">
        <v>72</v>
      </c>
      <c r="L118" s="34"/>
      <c r="M118" s="34">
        <v>1</v>
      </c>
      <c r="N118" s="34"/>
      <c r="O118" s="34"/>
      <c r="P118" s="34"/>
    </row>
    <row r="119" spans="11:16" x14ac:dyDescent="0.2">
      <c r="K119" s="34">
        <v>96</v>
      </c>
      <c r="L119" s="34"/>
      <c r="M119" s="34">
        <v>1</v>
      </c>
      <c r="N119" s="34"/>
      <c r="O119" s="34"/>
      <c r="P119" s="34"/>
    </row>
    <row r="120" spans="11:16" x14ac:dyDescent="0.2">
      <c r="K120" s="34">
        <v>96</v>
      </c>
      <c r="L120" s="34"/>
      <c r="M120" s="34">
        <v>0</v>
      </c>
      <c r="N120" s="34"/>
      <c r="O120" s="34"/>
      <c r="P120" s="34"/>
    </row>
    <row r="121" spans="11:16" x14ac:dyDescent="0.2">
      <c r="K121" s="34">
        <v>96</v>
      </c>
      <c r="L121" s="34"/>
      <c r="M121" s="34">
        <v>0</v>
      </c>
      <c r="N121" s="34"/>
      <c r="O121" s="34"/>
      <c r="P121" s="34"/>
    </row>
    <row r="122" spans="11:16" x14ac:dyDescent="0.2">
      <c r="K122" s="34">
        <v>6</v>
      </c>
      <c r="L122" s="34"/>
      <c r="M122" s="34"/>
      <c r="N122" s="34">
        <v>1</v>
      </c>
      <c r="O122" s="34"/>
      <c r="P122" s="34"/>
    </row>
    <row r="123" spans="11:16" x14ac:dyDescent="0.2">
      <c r="K123" s="34">
        <v>6</v>
      </c>
      <c r="L123" s="34"/>
      <c r="M123" s="34"/>
      <c r="N123" s="34">
        <v>1</v>
      </c>
      <c r="O123" s="34"/>
      <c r="P123" s="34"/>
    </row>
    <row r="124" spans="11:16" x14ac:dyDescent="0.2">
      <c r="K124" s="34">
        <v>6</v>
      </c>
      <c r="L124" s="34"/>
      <c r="M124" s="34"/>
      <c r="N124" s="34">
        <v>1</v>
      </c>
      <c r="O124" s="34"/>
      <c r="P124" s="34"/>
    </row>
    <row r="125" spans="11:16" x14ac:dyDescent="0.2">
      <c r="K125" s="34">
        <v>6</v>
      </c>
      <c r="L125" s="34"/>
      <c r="M125" s="34"/>
      <c r="N125" s="34">
        <v>1</v>
      </c>
      <c r="O125" s="34"/>
      <c r="P125" s="34"/>
    </row>
    <row r="126" spans="11:16" x14ac:dyDescent="0.2">
      <c r="K126" s="34">
        <v>6</v>
      </c>
      <c r="L126" s="34"/>
      <c r="M126" s="34"/>
      <c r="N126" s="34">
        <v>1</v>
      </c>
      <c r="O126" s="34"/>
      <c r="P126" s="34"/>
    </row>
    <row r="127" spans="11:16" x14ac:dyDescent="0.2">
      <c r="K127" s="34">
        <v>6</v>
      </c>
      <c r="L127" s="34"/>
      <c r="M127" s="34"/>
      <c r="N127" s="34">
        <v>1</v>
      </c>
      <c r="O127" s="34"/>
      <c r="P127" s="34"/>
    </row>
    <row r="128" spans="11:16" x14ac:dyDescent="0.2">
      <c r="K128" s="34">
        <v>6</v>
      </c>
      <c r="L128" s="34"/>
      <c r="M128" s="34"/>
      <c r="N128" s="34">
        <v>1</v>
      </c>
      <c r="O128" s="34"/>
      <c r="P128" s="34"/>
    </row>
    <row r="129" spans="11:16" x14ac:dyDescent="0.2">
      <c r="K129" s="34">
        <v>6</v>
      </c>
      <c r="L129" s="34"/>
      <c r="M129" s="34"/>
      <c r="N129" s="34">
        <v>1</v>
      </c>
      <c r="O129" s="34"/>
      <c r="P129" s="34"/>
    </row>
    <row r="130" spans="11:16" x14ac:dyDescent="0.2">
      <c r="K130" s="34">
        <v>24</v>
      </c>
      <c r="L130" s="34"/>
      <c r="M130" s="34"/>
      <c r="N130" s="34">
        <v>1</v>
      </c>
      <c r="O130" s="34"/>
      <c r="P130" s="34"/>
    </row>
    <row r="131" spans="11:16" x14ac:dyDescent="0.2">
      <c r="K131" s="34">
        <v>24</v>
      </c>
      <c r="L131" s="34"/>
      <c r="M131" s="34"/>
      <c r="N131" s="34">
        <v>1</v>
      </c>
      <c r="O131" s="34"/>
      <c r="P131" s="34"/>
    </row>
    <row r="132" spans="11:16" x14ac:dyDescent="0.2">
      <c r="K132" s="34">
        <v>24</v>
      </c>
      <c r="L132" s="34"/>
      <c r="M132" s="34"/>
      <c r="N132" s="34">
        <v>1</v>
      </c>
      <c r="O132" s="34"/>
      <c r="P132" s="34"/>
    </row>
    <row r="133" spans="11:16" x14ac:dyDescent="0.2">
      <c r="K133" s="34">
        <v>24</v>
      </c>
      <c r="L133" s="34"/>
      <c r="M133" s="34"/>
      <c r="N133" s="34">
        <v>1</v>
      </c>
      <c r="O133" s="34"/>
      <c r="P133" s="34"/>
    </row>
    <row r="134" spans="11:16" x14ac:dyDescent="0.2">
      <c r="K134" s="34">
        <v>24</v>
      </c>
      <c r="L134" s="34"/>
      <c r="M134" s="34"/>
      <c r="N134" s="34">
        <v>1</v>
      </c>
      <c r="O134" s="34"/>
      <c r="P134" s="34"/>
    </row>
    <row r="135" spans="11:16" x14ac:dyDescent="0.2">
      <c r="K135" s="34">
        <v>24</v>
      </c>
      <c r="L135" s="34"/>
      <c r="M135" s="34"/>
      <c r="N135" s="34">
        <v>1</v>
      </c>
      <c r="O135" s="34"/>
      <c r="P135" s="34"/>
    </row>
    <row r="136" spans="11:16" x14ac:dyDescent="0.2">
      <c r="K136" s="34">
        <v>24</v>
      </c>
      <c r="L136" s="34"/>
      <c r="M136" s="34"/>
      <c r="N136" s="34">
        <v>1</v>
      </c>
      <c r="O136" s="34"/>
      <c r="P136" s="34"/>
    </row>
    <row r="137" spans="11:16" x14ac:dyDescent="0.2">
      <c r="K137" s="34">
        <v>24</v>
      </c>
      <c r="L137" s="34"/>
      <c r="M137" s="34"/>
      <c r="N137" s="34">
        <v>1</v>
      </c>
      <c r="O137" s="34"/>
      <c r="P137" s="34"/>
    </row>
    <row r="138" spans="11:16" x14ac:dyDescent="0.2">
      <c r="K138" s="34">
        <v>24</v>
      </c>
      <c r="L138" s="34"/>
      <c r="M138" s="34"/>
      <c r="N138" s="34">
        <v>1</v>
      </c>
      <c r="O138" s="34"/>
      <c r="P138" s="34"/>
    </row>
    <row r="139" spans="11:16" x14ac:dyDescent="0.2">
      <c r="K139" s="34">
        <v>24</v>
      </c>
      <c r="L139" s="34"/>
      <c r="M139" s="34"/>
      <c r="N139" s="34">
        <v>1</v>
      </c>
      <c r="O139" s="34"/>
      <c r="P139" s="34"/>
    </row>
    <row r="140" spans="11:16" x14ac:dyDescent="0.2">
      <c r="K140" s="34">
        <v>24</v>
      </c>
      <c r="L140" s="34"/>
      <c r="M140" s="34"/>
      <c r="N140" s="34">
        <v>1</v>
      </c>
      <c r="O140" s="34"/>
      <c r="P140" s="34"/>
    </row>
    <row r="141" spans="11:16" x14ac:dyDescent="0.2">
      <c r="K141" s="34">
        <v>24</v>
      </c>
      <c r="L141" s="34"/>
      <c r="M141" s="34"/>
      <c r="N141" s="34">
        <v>1</v>
      </c>
      <c r="O141" s="34"/>
      <c r="P141" s="34"/>
    </row>
    <row r="142" spans="11:16" x14ac:dyDescent="0.2">
      <c r="K142" s="34">
        <v>24</v>
      </c>
      <c r="L142" s="34"/>
      <c r="M142" s="34"/>
      <c r="N142" s="34">
        <v>1</v>
      </c>
      <c r="O142" s="34"/>
      <c r="P142" s="34"/>
    </row>
    <row r="143" spans="11:16" x14ac:dyDescent="0.2">
      <c r="K143" s="34">
        <v>24</v>
      </c>
      <c r="L143" s="34"/>
      <c r="M143" s="34"/>
      <c r="N143" s="34">
        <v>1</v>
      </c>
      <c r="O143" s="34"/>
      <c r="P143" s="34"/>
    </row>
    <row r="144" spans="11:16" x14ac:dyDescent="0.2">
      <c r="K144" s="34">
        <v>24</v>
      </c>
      <c r="L144" s="34"/>
      <c r="M144" s="34"/>
      <c r="N144" s="34">
        <v>1</v>
      </c>
      <c r="O144" s="34"/>
      <c r="P144" s="34"/>
    </row>
    <row r="145" spans="11:16" x14ac:dyDescent="0.2">
      <c r="K145" s="34">
        <v>24</v>
      </c>
      <c r="L145" s="34"/>
      <c r="M145" s="34"/>
      <c r="N145" s="34">
        <v>1</v>
      </c>
      <c r="O145" s="34"/>
      <c r="P145" s="34"/>
    </row>
    <row r="146" spans="11:16" x14ac:dyDescent="0.2">
      <c r="K146" s="34">
        <v>24</v>
      </c>
      <c r="L146" s="34"/>
      <c r="M146" s="34"/>
      <c r="N146" s="34">
        <v>1</v>
      </c>
      <c r="O146" s="34"/>
      <c r="P146" s="34"/>
    </row>
    <row r="147" spans="11:16" x14ac:dyDescent="0.2">
      <c r="K147" s="34">
        <v>48</v>
      </c>
      <c r="L147" s="34"/>
      <c r="M147" s="34"/>
      <c r="N147" s="34">
        <v>1</v>
      </c>
      <c r="O147" s="34"/>
      <c r="P147" s="34"/>
    </row>
    <row r="148" spans="11:16" x14ac:dyDescent="0.2">
      <c r="K148" s="34">
        <v>48</v>
      </c>
      <c r="L148" s="34"/>
      <c r="M148" s="34"/>
      <c r="N148" s="34">
        <v>1</v>
      </c>
      <c r="O148" s="34"/>
      <c r="P148" s="34"/>
    </row>
    <row r="149" spans="11:16" x14ac:dyDescent="0.2">
      <c r="K149" s="34">
        <v>48</v>
      </c>
      <c r="L149" s="34"/>
      <c r="M149" s="34"/>
      <c r="N149" s="34">
        <v>1</v>
      </c>
      <c r="O149" s="34"/>
      <c r="P149" s="34"/>
    </row>
    <row r="150" spans="11:16" x14ac:dyDescent="0.2">
      <c r="K150" s="34">
        <v>48</v>
      </c>
      <c r="L150" s="34"/>
      <c r="M150" s="34"/>
      <c r="N150" s="34">
        <v>1</v>
      </c>
      <c r="O150" s="34"/>
      <c r="P150" s="34"/>
    </row>
    <row r="151" spans="11:16" x14ac:dyDescent="0.2">
      <c r="K151" s="34">
        <v>48</v>
      </c>
      <c r="L151" s="34"/>
      <c r="M151" s="34"/>
      <c r="N151" s="34">
        <v>1</v>
      </c>
      <c r="O151" s="34"/>
      <c r="P151" s="34"/>
    </row>
    <row r="152" spans="11:16" x14ac:dyDescent="0.2">
      <c r="K152" s="34">
        <v>48</v>
      </c>
      <c r="L152" s="34"/>
      <c r="M152" s="34"/>
      <c r="N152" s="34">
        <v>1</v>
      </c>
      <c r="O152" s="34"/>
      <c r="P152" s="34"/>
    </row>
    <row r="153" spans="11:16" x14ac:dyDescent="0.2">
      <c r="K153" s="34">
        <v>48</v>
      </c>
      <c r="L153" s="34"/>
      <c r="M153" s="34"/>
      <c r="N153" s="34">
        <v>1</v>
      </c>
      <c r="O153" s="34"/>
      <c r="P153" s="34"/>
    </row>
    <row r="154" spans="11:16" x14ac:dyDescent="0.2">
      <c r="K154" s="34">
        <v>48</v>
      </c>
      <c r="L154" s="34"/>
      <c r="M154" s="34"/>
      <c r="N154" s="34">
        <v>1</v>
      </c>
      <c r="O154" s="34"/>
      <c r="P154" s="34"/>
    </row>
    <row r="155" spans="11:16" x14ac:dyDescent="0.2">
      <c r="K155" s="34">
        <v>48</v>
      </c>
      <c r="L155" s="34"/>
      <c r="M155" s="34"/>
      <c r="N155" s="34">
        <v>1</v>
      </c>
      <c r="O155" s="34"/>
      <c r="P155" s="34"/>
    </row>
    <row r="156" spans="11:16" x14ac:dyDescent="0.2">
      <c r="K156" s="34">
        <v>48</v>
      </c>
      <c r="L156" s="34"/>
      <c r="M156" s="34"/>
      <c r="N156" s="34">
        <v>1</v>
      </c>
      <c r="O156" s="34"/>
      <c r="P156" s="34"/>
    </row>
    <row r="157" spans="11:16" x14ac:dyDescent="0.2">
      <c r="K157" s="34">
        <v>48</v>
      </c>
      <c r="L157" s="34"/>
      <c r="M157" s="34"/>
      <c r="N157" s="34">
        <v>1</v>
      </c>
      <c r="O157" s="34"/>
      <c r="P157" s="34"/>
    </row>
    <row r="158" spans="11:16" x14ac:dyDescent="0.2">
      <c r="K158" s="34">
        <v>48</v>
      </c>
      <c r="L158" s="34"/>
      <c r="M158" s="34"/>
      <c r="N158" s="34">
        <v>1</v>
      </c>
      <c r="O158" s="34"/>
      <c r="P158" s="34"/>
    </row>
    <row r="159" spans="11:16" x14ac:dyDescent="0.2">
      <c r="K159" s="34">
        <v>48</v>
      </c>
      <c r="L159" s="34"/>
      <c r="M159" s="34"/>
      <c r="N159" s="34">
        <v>1</v>
      </c>
      <c r="O159" s="34"/>
      <c r="P159" s="34"/>
    </row>
    <row r="160" spans="11:16" x14ac:dyDescent="0.2">
      <c r="K160" s="34">
        <v>48</v>
      </c>
      <c r="L160" s="34"/>
      <c r="M160" s="34"/>
      <c r="N160" s="34">
        <v>1</v>
      </c>
      <c r="O160" s="34"/>
      <c r="P160" s="34"/>
    </row>
    <row r="161" spans="11:16" x14ac:dyDescent="0.2">
      <c r="K161" s="34">
        <v>72</v>
      </c>
      <c r="L161" s="34"/>
      <c r="M161" s="34"/>
      <c r="N161" s="34">
        <v>1</v>
      </c>
      <c r="O161" s="34"/>
      <c r="P161" s="34"/>
    </row>
    <row r="162" spans="11:16" x14ac:dyDescent="0.2">
      <c r="K162" s="34">
        <v>72</v>
      </c>
      <c r="L162" s="34"/>
      <c r="M162" s="34"/>
      <c r="N162" s="34">
        <v>1</v>
      </c>
      <c r="O162" s="34"/>
      <c r="P162" s="34"/>
    </row>
    <row r="163" spans="11:16" x14ac:dyDescent="0.2">
      <c r="K163" s="34">
        <v>72</v>
      </c>
      <c r="L163" s="34"/>
      <c r="M163" s="34"/>
      <c r="N163" s="34">
        <v>1</v>
      </c>
      <c r="O163" s="34"/>
      <c r="P163" s="34"/>
    </row>
    <row r="164" spans="11:16" x14ac:dyDescent="0.2">
      <c r="K164" s="34">
        <v>72</v>
      </c>
      <c r="L164" s="34"/>
      <c r="M164" s="34"/>
      <c r="N164" s="34">
        <v>1</v>
      </c>
      <c r="O164" s="34"/>
      <c r="P164" s="34"/>
    </row>
    <row r="165" spans="11:16" x14ac:dyDescent="0.2">
      <c r="K165" s="34">
        <v>96</v>
      </c>
      <c r="L165" s="34"/>
      <c r="M165" s="34"/>
      <c r="N165" s="34">
        <v>1</v>
      </c>
      <c r="O165" s="34"/>
      <c r="P165" s="34"/>
    </row>
    <row r="166" spans="11:16" x14ac:dyDescent="0.2">
      <c r="K166" s="34">
        <v>6</v>
      </c>
      <c r="L166" s="34"/>
      <c r="M166" s="34"/>
      <c r="N166" s="34"/>
      <c r="O166" s="34">
        <v>1</v>
      </c>
      <c r="P166" s="34"/>
    </row>
    <row r="167" spans="11:16" x14ac:dyDescent="0.2">
      <c r="K167" s="34">
        <v>6</v>
      </c>
      <c r="L167" s="34"/>
      <c r="M167" s="34"/>
      <c r="N167" s="34"/>
      <c r="O167" s="34">
        <v>1</v>
      </c>
      <c r="P167" s="34"/>
    </row>
    <row r="168" spans="11:16" x14ac:dyDescent="0.2">
      <c r="K168" s="34">
        <v>6</v>
      </c>
      <c r="L168" s="34"/>
      <c r="M168" s="34"/>
      <c r="N168" s="34"/>
      <c r="O168" s="34">
        <v>1</v>
      </c>
      <c r="P168" s="34"/>
    </row>
    <row r="169" spans="11:16" x14ac:dyDescent="0.2">
      <c r="K169" s="34">
        <v>6</v>
      </c>
      <c r="L169" s="34"/>
      <c r="M169" s="34"/>
      <c r="N169" s="34"/>
      <c r="O169" s="34">
        <v>1</v>
      </c>
      <c r="P169" s="34"/>
    </row>
    <row r="170" spans="11:16" x14ac:dyDescent="0.2">
      <c r="K170" s="34">
        <v>6</v>
      </c>
      <c r="L170" s="34"/>
      <c r="M170" s="34"/>
      <c r="N170" s="34"/>
      <c r="O170" s="34">
        <v>1</v>
      </c>
      <c r="P170" s="34"/>
    </row>
    <row r="171" spans="11:16" x14ac:dyDescent="0.2">
      <c r="K171" s="34">
        <v>6</v>
      </c>
      <c r="L171" s="34"/>
      <c r="M171" s="34"/>
      <c r="N171" s="34"/>
      <c r="O171" s="34">
        <v>1</v>
      </c>
      <c r="P171" s="34"/>
    </row>
    <row r="172" spans="11:16" x14ac:dyDescent="0.2">
      <c r="K172" s="34">
        <v>6</v>
      </c>
      <c r="L172" s="34"/>
      <c r="M172" s="34"/>
      <c r="N172" s="34"/>
      <c r="O172" s="34">
        <v>1</v>
      </c>
      <c r="P172" s="34"/>
    </row>
    <row r="173" spans="11:16" x14ac:dyDescent="0.2">
      <c r="K173" s="34">
        <v>24</v>
      </c>
      <c r="L173" s="34"/>
      <c r="M173" s="34"/>
      <c r="N173" s="34"/>
      <c r="O173" s="34">
        <v>1</v>
      </c>
      <c r="P173" s="34"/>
    </row>
    <row r="174" spans="11:16" x14ac:dyDescent="0.2">
      <c r="K174" s="34">
        <v>24</v>
      </c>
      <c r="L174" s="34"/>
      <c r="M174" s="34"/>
      <c r="N174" s="34"/>
      <c r="O174" s="34">
        <v>1</v>
      </c>
      <c r="P174" s="34"/>
    </row>
    <row r="175" spans="11:16" x14ac:dyDescent="0.2">
      <c r="K175" s="34">
        <v>24</v>
      </c>
      <c r="L175" s="34"/>
      <c r="M175" s="34"/>
      <c r="N175" s="34"/>
      <c r="O175" s="34">
        <v>1</v>
      </c>
      <c r="P175" s="34"/>
    </row>
    <row r="176" spans="11:16" x14ac:dyDescent="0.2">
      <c r="K176" s="34">
        <v>24</v>
      </c>
      <c r="L176" s="34"/>
      <c r="M176" s="34"/>
      <c r="N176" s="34"/>
      <c r="O176" s="34">
        <v>1</v>
      </c>
      <c r="P176" s="34"/>
    </row>
    <row r="177" spans="11:16" x14ac:dyDescent="0.2">
      <c r="K177" s="34">
        <v>24</v>
      </c>
      <c r="L177" s="34"/>
      <c r="M177" s="34"/>
      <c r="N177" s="34"/>
      <c r="O177" s="34">
        <v>1</v>
      </c>
      <c r="P177" s="34"/>
    </row>
    <row r="178" spans="11:16" x14ac:dyDescent="0.2">
      <c r="K178" s="34">
        <v>24</v>
      </c>
      <c r="L178" s="34"/>
      <c r="M178" s="34"/>
      <c r="N178" s="34"/>
      <c r="O178" s="34">
        <v>1</v>
      </c>
      <c r="P178" s="34"/>
    </row>
    <row r="179" spans="11:16" x14ac:dyDescent="0.2">
      <c r="K179" s="34">
        <v>24</v>
      </c>
      <c r="L179" s="34"/>
      <c r="M179" s="34"/>
      <c r="N179" s="34"/>
      <c r="O179" s="34">
        <v>1</v>
      </c>
      <c r="P179" s="34"/>
    </row>
    <row r="180" spans="11:16" x14ac:dyDescent="0.2">
      <c r="K180" s="34">
        <v>24</v>
      </c>
      <c r="L180" s="34"/>
      <c r="M180" s="34"/>
      <c r="N180" s="34"/>
      <c r="O180" s="34">
        <v>1</v>
      </c>
      <c r="P180" s="34"/>
    </row>
    <row r="181" spans="11:16" x14ac:dyDescent="0.2">
      <c r="K181" s="34">
        <v>24</v>
      </c>
      <c r="L181" s="34"/>
      <c r="M181" s="34"/>
      <c r="N181" s="34"/>
      <c r="O181" s="34">
        <v>1</v>
      </c>
      <c r="P181" s="34"/>
    </row>
    <row r="182" spans="11:16" x14ac:dyDescent="0.2">
      <c r="K182" s="34">
        <v>24</v>
      </c>
      <c r="L182" s="34"/>
      <c r="M182" s="34"/>
      <c r="N182" s="34"/>
      <c r="O182" s="34">
        <v>1</v>
      </c>
      <c r="P182" s="34"/>
    </row>
    <row r="183" spans="11:16" x14ac:dyDescent="0.2">
      <c r="K183" s="34">
        <v>24</v>
      </c>
      <c r="L183" s="34"/>
      <c r="M183" s="34"/>
      <c r="N183" s="34"/>
      <c r="O183" s="34">
        <v>1</v>
      </c>
      <c r="P183" s="34"/>
    </row>
    <row r="184" spans="11:16" x14ac:dyDescent="0.2">
      <c r="K184" s="34">
        <v>24</v>
      </c>
      <c r="L184" s="34"/>
      <c r="M184" s="34"/>
      <c r="N184" s="34"/>
      <c r="O184" s="34">
        <v>1</v>
      </c>
      <c r="P184" s="34"/>
    </row>
    <row r="185" spans="11:16" x14ac:dyDescent="0.2">
      <c r="K185" s="34">
        <v>24</v>
      </c>
      <c r="L185" s="34"/>
      <c r="M185" s="34"/>
      <c r="N185" s="34"/>
      <c r="O185" s="34">
        <v>1</v>
      </c>
      <c r="P185" s="34"/>
    </row>
    <row r="186" spans="11:16" x14ac:dyDescent="0.2">
      <c r="K186" s="34">
        <v>24</v>
      </c>
      <c r="L186" s="34"/>
      <c r="M186" s="34"/>
      <c r="N186" s="34"/>
      <c r="O186" s="34">
        <v>1</v>
      </c>
      <c r="P186" s="34"/>
    </row>
    <row r="187" spans="11:16" x14ac:dyDescent="0.2">
      <c r="K187" s="34">
        <v>24</v>
      </c>
      <c r="L187" s="34"/>
      <c r="M187" s="34"/>
      <c r="N187" s="34"/>
      <c r="O187" s="34">
        <v>1</v>
      </c>
      <c r="P187" s="34"/>
    </row>
    <row r="188" spans="11:16" x14ac:dyDescent="0.2">
      <c r="K188" s="34">
        <v>24</v>
      </c>
      <c r="L188" s="34"/>
      <c r="M188" s="34"/>
      <c r="N188" s="34"/>
      <c r="O188" s="34">
        <v>1</v>
      </c>
      <c r="P188" s="34"/>
    </row>
    <row r="189" spans="11:16" x14ac:dyDescent="0.2">
      <c r="K189" s="34">
        <v>24</v>
      </c>
      <c r="L189" s="34"/>
      <c r="M189" s="34"/>
      <c r="N189" s="34"/>
      <c r="O189" s="34">
        <v>1</v>
      </c>
      <c r="P189" s="34"/>
    </row>
    <row r="190" spans="11:16" x14ac:dyDescent="0.2">
      <c r="K190" s="34">
        <v>24</v>
      </c>
      <c r="L190" s="34"/>
      <c r="M190" s="34"/>
      <c r="N190" s="34"/>
      <c r="O190" s="34">
        <v>1</v>
      </c>
      <c r="P190" s="34"/>
    </row>
    <row r="191" spans="11:16" x14ac:dyDescent="0.2">
      <c r="K191" s="34">
        <v>24</v>
      </c>
      <c r="L191" s="34"/>
      <c r="M191" s="34"/>
      <c r="N191" s="34"/>
      <c r="O191" s="34">
        <v>1</v>
      </c>
      <c r="P191" s="34"/>
    </row>
    <row r="192" spans="11:16" x14ac:dyDescent="0.2">
      <c r="K192" s="34">
        <v>24</v>
      </c>
      <c r="L192" s="34"/>
      <c r="M192" s="34"/>
      <c r="N192" s="34"/>
      <c r="O192" s="34">
        <v>1</v>
      </c>
      <c r="P192" s="34"/>
    </row>
    <row r="193" spans="11:16" x14ac:dyDescent="0.2">
      <c r="K193" s="34">
        <v>24</v>
      </c>
      <c r="L193" s="34"/>
      <c r="M193" s="34"/>
      <c r="N193" s="34"/>
      <c r="O193" s="34">
        <v>1</v>
      </c>
      <c r="P193" s="34"/>
    </row>
    <row r="194" spans="11:16" x14ac:dyDescent="0.2">
      <c r="K194" s="34">
        <v>24</v>
      </c>
      <c r="L194" s="34"/>
      <c r="M194" s="34"/>
      <c r="N194" s="34"/>
      <c r="O194" s="34">
        <v>1</v>
      </c>
      <c r="P194" s="34"/>
    </row>
    <row r="195" spans="11:16" x14ac:dyDescent="0.2">
      <c r="K195" s="34">
        <v>24</v>
      </c>
      <c r="L195" s="34"/>
      <c r="M195" s="34"/>
      <c r="N195" s="34"/>
      <c r="O195" s="34">
        <v>1</v>
      </c>
      <c r="P195" s="34"/>
    </row>
    <row r="196" spans="11:16" x14ac:dyDescent="0.2">
      <c r="K196" s="34">
        <v>24</v>
      </c>
      <c r="L196" s="34"/>
      <c r="M196" s="34"/>
      <c r="N196" s="34"/>
      <c r="O196" s="34">
        <v>1</v>
      </c>
      <c r="P196" s="34"/>
    </row>
    <row r="197" spans="11:16" x14ac:dyDescent="0.2">
      <c r="K197" s="34">
        <v>24</v>
      </c>
      <c r="L197" s="34"/>
      <c r="M197" s="34"/>
      <c r="N197" s="34"/>
      <c r="O197" s="34">
        <v>1</v>
      </c>
      <c r="P197" s="34"/>
    </row>
    <row r="198" spans="11:16" x14ac:dyDescent="0.2">
      <c r="K198" s="34">
        <v>24</v>
      </c>
      <c r="L198" s="34"/>
      <c r="M198" s="34"/>
      <c r="N198" s="34"/>
      <c r="O198" s="34">
        <v>1</v>
      </c>
      <c r="P198" s="34"/>
    </row>
    <row r="199" spans="11:16" x14ac:dyDescent="0.2">
      <c r="K199" s="34">
        <v>48</v>
      </c>
      <c r="L199" s="34"/>
      <c r="M199" s="34"/>
      <c r="N199" s="34"/>
      <c r="O199" s="34">
        <v>1</v>
      </c>
      <c r="P199" s="34"/>
    </row>
    <row r="200" spans="11:16" x14ac:dyDescent="0.2">
      <c r="K200" s="34">
        <v>48</v>
      </c>
      <c r="L200" s="34"/>
      <c r="M200" s="34"/>
      <c r="N200" s="34"/>
      <c r="O200" s="34">
        <v>1</v>
      </c>
      <c r="P200" s="34"/>
    </row>
    <row r="201" spans="11:16" x14ac:dyDescent="0.2">
      <c r="K201" s="34">
        <v>48</v>
      </c>
      <c r="L201" s="34"/>
      <c r="M201" s="34"/>
      <c r="N201" s="34"/>
      <c r="O201" s="34">
        <v>1</v>
      </c>
      <c r="P201" s="34"/>
    </row>
    <row r="202" spans="11:16" x14ac:dyDescent="0.2">
      <c r="K202" s="34">
        <v>48</v>
      </c>
      <c r="L202" s="34"/>
      <c r="M202" s="34"/>
      <c r="N202" s="34"/>
      <c r="O202" s="34">
        <v>1</v>
      </c>
      <c r="P202" s="34"/>
    </row>
    <row r="203" spans="11:16" x14ac:dyDescent="0.2">
      <c r="K203" s="34">
        <v>48</v>
      </c>
      <c r="L203" s="34"/>
      <c r="M203" s="34"/>
      <c r="N203" s="34"/>
      <c r="O203" s="34">
        <v>1</v>
      </c>
      <c r="P203" s="34"/>
    </row>
    <row r="204" spans="11:16" x14ac:dyDescent="0.2">
      <c r="K204" s="34">
        <v>48</v>
      </c>
      <c r="L204" s="34"/>
      <c r="M204" s="34"/>
      <c r="N204" s="34"/>
      <c r="O204" s="34">
        <v>1</v>
      </c>
      <c r="P204" s="34"/>
    </row>
    <row r="205" spans="11:16" x14ac:dyDescent="0.2">
      <c r="K205" s="34">
        <v>48</v>
      </c>
      <c r="L205" s="34"/>
      <c r="M205" s="34"/>
      <c r="N205" s="34"/>
      <c r="O205" s="34">
        <v>1</v>
      </c>
      <c r="P205" s="34"/>
    </row>
    <row r="206" spans="11:16" x14ac:dyDescent="0.2">
      <c r="K206" s="34">
        <v>48</v>
      </c>
      <c r="L206" s="34"/>
      <c r="M206" s="34"/>
      <c r="N206" s="34"/>
      <c r="O206" s="34">
        <v>1</v>
      </c>
      <c r="P206" s="34"/>
    </row>
    <row r="207" spans="11:16" x14ac:dyDescent="0.2">
      <c r="K207" s="34">
        <v>48</v>
      </c>
      <c r="L207" s="34"/>
      <c r="M207" s="34"/>
      <c r="N207" s="34"/>
      <c r="O207" s="34">
        <v>1</v>
      </c>
      <c r="P207" s="34"/>
    </row>
    <row r="208" spans="11:16" x14ac:dyDescent="0.2">
      <c r="K208" s="34">
        <v>6</v>
      </c>
      <c r="L208" s="34"/>
      <c r="M208" s="34"/>
      <c r="N208" s="34"/>
      <c r="O208" s="34">
        <v>1</v>
      </c>
      <c r="P208" s="34"/>
    </row>
    <row r="209" spans="11:16" x14ac:dyDescent="0.2">
      <c r="K209" s="34">
        <v>6</v>
      </c>
      <c r="L209" s="34"/>
      <c r="M209" s="34"/>
      <c r="N209" s="34"/>
      <c r="O209" s="34">
        <v>1</v>
      </c>
      <c r="P209" s="34"/>
    </row>
    <row r="210" spans="11:16" x14ac:dyDescent="0.2">
      <c r="K210" s="34">
        <v>6</v>
      </c>
      <c r="L210" s="34"/>
      <c r="M210" s="34"/>
      <c r="N210" s="34"/>
      <c r="O210" s="34">
        <v>1</v>
      </c>
      <c r="P210" s="34"/>
    </row>
    <row r="211" spans="11:16" x14ac:dyDescent="0.2">
      <c r="K211" s="34">
        <v>6</v>
      </c>
      <c r="L211" s="34"/>
      <c r="M211" s="34"/>
      <c r="N211" s="34"/>
      <c r="O211" s="34">
        <v>1</v>
      </c>
      <c r="P211" s="34"/>
    </row>
    <row r="212" spans="11:16" x14ac:dyDescent="0.2">
      <c r="K212" s="34">
        <v>6</v>
      </c>
      <c r="L212" s="34"/>
      <c r="M212" s="34"/>
      <c r="N212" s="34"/>
      <c r="O212" s="34">
        <v>1</v>
      </c>
      <c r="P212" s="34"/>
    </row>
    <row r="213" spans="11:16" x14ac:dyDescent="0.2">
      <c r="K213" s="34">
        <v>6</v>
      </c>
      <c r="L213" s="34"/>
      <c r="M213" s="34"/>
      <c r="N213" s="34"/>
      <c r="O213" s="34">
        <v>1</v>
      </c>
      <c r="P213" s="34"/>
    </row>
    <row r="214" spans="11:16" x14ac:dyDescent="0.2">
      <c r="K214" s="34">
        <v>6</v>
      </c>
      <c r="L214" s="34"/>
      <c r="M214" s="34"/>
      <c r="N214" s="34"/>
      <c r="O214" s="34">
        <v>1</v>
      </c>
      <c r="P214" s="34"/>
    </row>
    <row r="215" spans="11:16" x14ac:dyDescent="0.2">
      <c r="K215" s="34">
        <v>6</v>
      </c>
      <c r="L215" s="34"/>
      <c r="M215" s="34"/>
      <c r="N215" s="34"/>
      <c r="O215" s="34">
        <v>1</v>
      </c>
      <c r="P215" s="34"/>
    </row>
    <row r="216" spans="11:16" x14ac:dyDescent="0.2">
      <c r="K216" s="34">
        <v>6</v>
      </c>
      <c r="L216" s="34"/>
      <c r="M216" s="34"/>
      <c r="N216" s="34"/>
      <c r="O216" s="34"/>
      <c r="P216" s="34">
        <v>1</v>
      </c>
    </row>
    <row r="217" spans="11:16" x14ac:dyDescent="0.2">
      <c r="K217" s="34">
        <v>6</v>
      </c>
      <c r="L217" s="34"/>
      <c r="M217" s="34"/>
      <c r="N217" s="34"/>
      <c r="O217" s="34"/>
      <c r="P217" s="34">
        <v>1</v>
      </c>
    </row>
    <row r="218" spans="11:16" x14ac:dyDescent="0.2">
      <c r="K218" s="34">
        <v>6</v>
      </c>
      <c r="L218" s="34"/>
      <c r="M218" s="34"/>
      <c r="N218" s="34"/>
      <c r="O218" s="34"/>
      <c r="P218" s="34">
        <v>1</v>
      </c>
    </row>
    <row r="219" spans="11:16" x14ac:dyDescent="0.2">
      <c r="K219" s="34">
        <v>6</v>
      </c>
      <c r="L219" s="34"/>
      <c r="M219" s="34"/>
      <c r="N219" s="34"/>
      <c r="O219" s="34"/>
      <c r="P219" s="34">
        <v>1</v>
      </c>
    </row>
    <row r="220" spans="11:16" x14ac:dyDescent="0.2">
      <c r="K220" s="34">
        <v>6</v>
      </c>
      <c r="L220" s="34"/>
      <c r="M220" s="34"/>
      <c r="N220" s="34"/>
      <c r="O220" s="34"/>
      <c r="P220" s="34">
        <v>1</v>
      </c>
    </row>
    <row r="221" spans="11:16" x14ac:dyDescent="0.2">
      <c r="K221" s="34">
        <v>6</v>
      </c>
      <c r="L221" s="34"/>
      <c r="M221" s="34"/>
      <c r="N221" s="34"/>
      <c r="O221" s="34"/>
      <c r="P221" s="34">
        <v>1</v>
      </c>
    </row>
    <row r="222" spans="11:16" x14ac:dyDescent="0.2">
      <c r="K222" s="34">
        <v>6</v>
      </c>
      <c r="L222" s="34"/>
      <c r="M222" s="34"/>
      <c r="N222" s="34"/>
      <c r="O222" s="34"/>
      <c r="P222" s="34">
        <v>1</v>
      </c>
    </row>
    <row r="223" spans="11:16" x14ac:dyDescent="0.2">
      <c r="K223" s="34">
        <v>6</v>
      </c>
      <c r="L223" s="34"/>
      <c r="M223" s="34"/>
      <c r="N223" s="34"/>
      <c r="O223" s="34"/>
      <c r="P223" s="34">
        <v>1</v>
      </c>
    </row>
    <row r="224" spans="11:16" x14ac:dyDescent="0.2">
      <c r="K224" s="34">
        <v>6</v>
      </c>
      <c r="L224" s="34"/>
      <c r="M224" s="34"/>
      <c r="N224" s="34"/>
      <c r="O224" s="34"/>
      <c r="P224" s="34">
        <v>1</v>
      </c>
    </row>
    <row r="225" spans="11:16" x14ac:dyDescent="0.2">
      <c r="K225" s="34">
        <v>6</v>
      </c>
      <c r="L225" s="34"/>
      <c r="M225" s="34"/>
      <c r="N225" s="34"/>
      <c r="O225" s="34"/>
      <c r="P225" s="34">
        <v>1</v>
      </c>
    </row>
    <row r="226" spans="11:16" x14ac:dyDescent="0.2">
      <c r="K226" s="34">
        <v>6</v>
      </c>
      <c r="L226" s="34"/>
      <c r="M226" s="34"/>
      <c r="N226" s="34"/>
      <c r="O226" s="34"/>
      <c r="P226" s="34">
        <v>1</v>
      </c>
    </row>
    <row r="227" spans="11:16" x14ac:dyDescent="0.2">
      <c r="K227" s="34">
        <v>6</v>
      </c>
      <c r="L227" s="34"/>
      <c r="M227" s="34"/>
      <c r="N227" s="34"/>
      <c r="O227" s="34"/>
      <c r="P227" s="34">
        <v>1</v>
      </c>
    </row>
    <row r="228" spans="11:16" x14ac:dyDescent="0.2">
      <c r="K228" s="34">
        <v>6</v>
      </c>
      <c r="L228" s="34"/>
      <c r="M228" s="34"/>
      <c r="N228" s="34"/>
      <c r="O228" s="34"/>
      <c r="P228" s="34">
        <v>1</v>
      </c>
    </row>
    <row r="229" spans="11:16" x14ac:dyDescent="0.2">
      <c r="K229" s="34">
        <v>6</v>
      </c>
      <c r="L229" s="34"/>
      <c r="M229" s="34"/>
      <c r="N229" s="34"/>
      <c r="O229" s="34"/>
      <c r="P229" s="34">
        <v>1</v>
      </c>
    </row>
    <row r="230" spans="11:16" x14ac:dyDescent="0.2">
      <c r="K230" s="34">
        <v>6</v>
      </c>
      <c r="L230" s="34"/>
      <c r="M230" s="34"/>
      <c r="N230" s="34"/>
      <c r="O230" s="34"/>
      <c r="P230" s="34">
        <v>1</v>
      </c>
    </row>
    <row r="231" spans="11:16" x14ac:dyDescent="0.2">
      <c r="K231" s="34">
        <v>24</v>
      </c>
      <c r="L231" s="34"/>
      <c r="M231" s="34"/>
      <c r="N231" s="34"/>
      <c r="O231" s="34"/>
      <c r="P231" s="34">
        <v>1</v>
      </c>
    </row>
    <row r="232" spans="11:16" x14ac:dyDescent="0.2">
      <c r="K232" s="34">
        <v>24</v>
      </c>
      <c r="L232" s="34"/>
      <c r="M232" s="34"/>
      <c r="N232" s="34"/>
      <c r="O232" s="34"/>
      <c r="P232" s="34">
        <v>1</v>
      </c>
    </row>
    <row r="233" spans="11:16" x14ac:dyDescent="0.2">
      <c r="K233" s="34">
        <v>24</v>
      </c>
      <c r="L233" s="34"/>
      <c r="M233" s="34"/>
      <c r="N233" s="34"/>
      <c r="O233" s="34"/>
      <c r="P233" s="34">
        <v>1</v>
      </c>
    </row>
    <row r="234" spans="11:16" x14ac:dyDescent="0.2">
      <c r="K234" s="34">
        <v>24</v>
      </c>
      <c r="L234" s="34"/>
      <c r="M234" s="34"/>
      <c r="N234" s="34"/>
      <c r="O234" s="34"/>
      <c r="P234" s="34">
        <v>1</v>
      </c>
    </row>
    <row r="235" spans="11:16" x14ac:dyDescent="0.2">
      <c r="K235" s="34">
        <v>24</v>
      </c>
      <c r="L235" s="34"/>
      <c r="M235" s="34"/>
      <c r="N235" s="34"/>
      <c r="O235" s="34"/>
      <c r="P235" s="34">
        <v>1</v>
      </c>
    </row>
    <row r="236" spans="11:16" x14ac:dyDescent="0.2">
      <c r="K236" s="34">
        <v>24</v>
      </c>
      <c r="L236" s="34"/>
      <c r="M236" s="34"/>
      <c r="N236" s="34"/>
      <c r="O236" s="34"/>
      <c r="P236" s="34">
        <v>1</v>
      </c>
    </row>
    <row r="237" spans="11:16" x14ac:dyDescent="0.2">
      <c r="K237" s="34">
        <v>24</v>
      </c>
      <c r="L237" s="34"/>
      <c r="M237" s="34"/>
      <c r="N237" s="34"/>
      <c r="O237" s="34"/>
      <c r="P237" s="34">
        <v>1</v>
      </c>
    </row>
    <row r="238" spans="11:16" x14ac:dyDescent="0.2">
      <c r="K238" s="34">
        <v>24</v>
      </c>
      <c r="L238" s="34"/>
      <c r="M238" s="34"/>
      <c r="N238" s="34"/>
      <c r="O238" s="34"/>
      <c r="P238" s="34">
        <v>1</v>
      </c>
    </row>
    <row r="239" spans="11:16" x14ac:dyDescent="0.2">
      <c r="K239" s="34">
        <v>24</v>
      </c>
      <c r="L239" s="34"/>
      <c r="M239" s="34"/>
      <c r="N239" s="34"/>
      <c r="O239" s="34"/>
      <c r="P239" s="34">
        <v>1</v>
      </c>
    </row>
    <row r="240" spans="11:16" x14ac:dyDescent="0.2">
      <c r="K240" s="34">
        <v>24</v>
      </c>
      <c r="L240" s="34"/>
      <c r="M240" s="34"/>
      <c r="N240" s="34"/>
      <c r="O240" s="34"/>
      <c r="P240" s="34">
        <v>1</v>
      </c>
    </row>
    <row r="241" spans="11:16" x14ac:dyDescent="0.2">
      <c r="K241" s="34">
        <v>24</v>
      </c>
      <c r="L241" s="34"/>
      <c r="M241" s="34"/>
      <c r="N241" s="34"/>
      <c r="O241" s="34"/>
      <c r="P241" s="34">
        <v>1</v>
      </c>
    </row>
    <row r="242" spans="11:16" x14ac:dyDescent="0.2">
      <c r="K242" s="34">
        <v>24</v>
      </c>
      <c r="L242" s="34"/>
      <c r="M242" s="34"/>
      <c r="N242" s="34"/>
      <c r="O242" s="34"/>
      <c r="P242" s="34">
        <v>1</v>
      </c>
    </row>
    <row r="243" spans="11:16" x14ac:dyDescent="0.2">
      <c r="K243" s="34">
        <v>24</v>
      </c>
      <c r="L243" s="34"/>
      <c r="M243" s="34"/>
      <c r="N243" s="34"/>
      <c r="O243" s="34"/>
      <c r="P243" s="34">
        <v>1</v>
      </c>
    </row>
    <row r="244" spans="11:16" x14ac:dyDescent="0.2">
      <c r="K244" s="34">
        <v>24</v>
      </c>
      <c r="L244" s="34"/>
      <c r="M244" s="34"/>
      <c r="N244" s="34"/>
      <c r="O244" s="34"/>
      <c r="P244" s="34">
        <v>1</v>
      </c>
    </row>
    <row r="245" spans="11:16" x14ac:dyDescent="0.2">
      <c r="K245" s="34">
        <v>24</v>
      </c>
      <c r="L245" s="34"/>
      <c r="M245" s="34"/>
      <c r="N245" s="34"/>
      <c r="O245" s="34"/>
      <c r="P245" s="34">
        <v>1</v>
      </c>
    </row>
    <row r="246" spans="11:16" x14ac:dyDescent="0.2">
      <c r="K246" s="34">
        <v>24</v>
      </c>
      <c r="L246" s="34"/>
      <c r="M246" s="34"/>
      <c r="N246" s="34"/>
      <c r="O246" s="34"/>
      <c r="P246" s="34">
        <v>1</v>
      </c>
    </row>
    <row r="247" spans="11:16" x14ac:dyDescent="0.2">
      <c r="K247" s="34">
        <v>24</v>
      </c>
      <c r="L247" s="34"/>
      <c r="M247" s="34"/>
      <c r="N247" s="34"/>
      <c r="O247" s="34"/>
      <c r="P247" s="34">
        <v>1</v>
      </c>
    </row>
    <row r="248" spans="11:16" x14ac:dyDescent="0.2">
      <c r="K248" s="34">
        <v>24</v>
      </c>
      <c r="L248" s="34"/>
      <c r="M248" s="34"/>
      <c r="N248" s="34"/>
      <c r="O248" s="34"/>
      <c r="P248" s="34">
        <v>1</v>
      </c>
    </row>
    <row r="249" spans="11:16" x14ac:dyDescent="0.2">
      <c r="K249" s="34">
        <v>24</v>
      </c>
      <c r="L249" s="34"/>
      <c r="M249" s="34"/>
      <c r="N249" s="34"/>
      <c r="O249" s="34"/>
      <c r="P249" s="34">
        <v>1</v>
      </c>
    </row>
    <row r="250" spans="11:16" x14ac:dyDescent="0.2">
      <c r="K250" s="34">
        <v>24</v>
      </c>
      <c r="L250" s="34"/>
      <c r="M250" s="34"/>
      <c r="N250" s="34"/>
      <c r="O250" s="34"/>
      <c r="P250" s="34">
        <v>1</v>
      </c>
    </row>
    <row r="251" spans="11:16" x14ac:dyDescent="0.2">
      <c r="K251" s="34">
        <v>24</v>
      </c>
      <c r="L251" s="34"/>
      <c r="M251" s="34"/>
      <c r="N251" s="34"/>
      <c r="O251" s="34"/>
      <c r="P251" s="34">
        <v>1</v>
      </c>
    </row>
    <row r="252" spans="11:16" x14ac:dyDescent="0.2">
      <c r="K252" s="34">
        <v>24</v>
      </c>
      <c r="L252" s="34"/>
      <c r="M252" s="34"/>
      <c r="N252" s="34"/>
      <c r="O252" s="34"/>
      <c r="P252" s="34">
        <v>1</v>
      </c>
    </row>
    <row r="253" spans="11:16" x14ac:dyDescent="0.2">
      <c r="K253" s="34">
        <v>24</v>
      </c>
      <c r="L253" s="34"/>
      <c r="M253" s="34"/>
      <c r="N253" s="34"/>
      <c r="O253" s="34"/>
      <c r="P253" s="34">
        <v>1</v>
      </c>
    </row>
    <row r="254" spans="11:16" x14ac:dyDescent="0.2">
      <c r="K254" s="34">
        <v>24</v>
      </c>
      <c r="L254" s="34"/>
      <c r="M254" s="34"/>
      <c r="N254" s="34"/>
      <c r="O254" s="34"/>
      <c r="P254" s="34">
        <v>1</v>
      </c>
    </row>
    <row r="255" spans="11:16" x14ac:dyDescent="0.2">
      <c r="K255" s="34">
        <v>48</v>
      </c>
      <c r="L255" s="34"/>
      <c r="M255" s="34"/>
      <c r="N255" s="34"/>
      <c r="O255" s="34"/>
      <c r="P255" s="34">
        <v>1</v>
      </c>
    </row>
    <row r="256" spans="11:16" x14ac:dyDescent="0.2">
      <c r="K256" s="34">
        <v>48</v>
      </c>
      <c r="L256" s="34"/>
      <c r="M256" s="34"/>
      <c r="N256" s="34"/>
      <c r="O256" s="34"/>
      <c r="P256" s="34">
        <v>1</v>
      </c>
    </row>
    <row r="257" spans="11:16" x14ac:dyDescent="0.2">
      <c r="K257" s="34">
        <v>48</v>
      </c>
      <c r="L257" s="34"/>
      <c r="M257" s="34"/>
      <c r="N257" s="34"/>
      <c r="O257" s="34"/>
      <c r="P257" s="34">
        <v>1</v>
      </c>
    </row>
    <row r="258" spans="11:16" x14ac:dyDescent="0.2">
      <c r="K258" s="34">
        <v>48</v>
      </c>
      <c r="L258" s="34"/>
      <c r="M258" s="34"/>
      <c r="N258" s="34"/>
      <c r="O258" s="34"/>
      <c r="P258" s="34">
        <v>1</v>
      </c>
    </row>
    <row r="259" spans="11:16" x14ac:dyDescent="0.2">
      <c r="K259" s="34">
        <v>48</v>
      </c>
      <c r="L259" s="34"/>
      <c r="M259" s="34"/>
      <c r="N259" s="34"/>
      <c r="O259" s="34"/>
      <c r="P259" s="34">
        <v>1</v>
      </c>
    </row>
    <row r="260" spans="11:16" x14ac:dyDescent="0.2">
      <c r="K260" s="34">
        <v>48</v>
      </c>
      <c r="L260" s="34"/>
      <c r="M260" s="34"/>
      <c r="N260" s="34"/>
      <c r="O260" s="34"/>
      <c r="P260" s="34">
        <v>1</v>
      </c>
    </row>
    <row r="261" spans="11:16" x14ac:dyDescent="0.2">
      <c r="K261" s="34">
        <v>48</v>
      </c>
      <c r="L261" s="34"/>
      <c r="M261" s="34"/>
      <c r="N261" s="34"/>
      <c r="O261" s="34"/>
      <c r="P261" s="34">
        <v>1</v>
      </c>
    </row>
    <row r="262" spans="11:16" x14ac:dyDescent="0.2">
      <c r="K262" s="34">
        <v>48</v>
      </c>
      <c r="L262" s="34"/>
      <c r="M262" s="34"/>
      <c r="N262" s="34"/>
      <c r="O262" s="34"/>
      <c r="P262" s="34">
        <v>1</v>
      </c>
    </row>
    <row r="263" spans="11:16" x14ac:dyDescent="0.2">
      <c r="K263" s="34">
        <v>48</v>
      </c>
      <c r="L263" s="34"/>
      <c r="M263" s="34"/>
      <c r="N263" s="34"/>
      <c r="O263" s="34"/>
      <c r="P263" s="34">
        <v>1</v>
      </c>
    </row>
    <row r="264" spans="11:16" x14ac:dyDescent="0.2">
      <c r="K264" s="34">
        <v>48</v>
      </c>
      <c r="L264" s="34"/>
      <c r="M264" s="34"/>
      <c r="N264" s="34"/>
      <c r="O264" s="34"/>
      <c r="P264" s="34">
        <v>1</v>
      </c>
    </row>
    <row r="265" spans="11:16" x14ac:dyDescent="0.2">
      <c r="K265" s="34">
        <v>48</v>
      </c>
      <c r="L265" s="34"/>
      <c r="M265" s="34"/>
      <c r="N265" s="34"/>
      <c r="O265" s="34"/>
      <c r="P265" s="34">
        <v>1</v>
      </c>
    </row>
    <row r="266" spans="11:16" x14ac:dyDescent="0.2">
      <c r="K266" s="34">
        <v>48</v>
      </c>
      <c r="L266" s="34"/>
      <c r="M266" s="34"/>
      <c r="N266" s="34"/>
      <c r="O266" s="34"/>
      <c r="P266" s="34">
        <v>1</v>
      </c>
    </row>
    <row r="267" spans="11:16" x14ac:dyDescent="0.2">
      <c r="K267" s="34">
        <v>48</v>
      </c>
      <c r="L267" s="34"/>
      <c r="M267" s="34"/>
      <c r="N267" s="34"/>
      <c r="O267" s="34"/>
      <c r="P267" s="34">
        <v>1</v>
      </c>
    </row>
    <row r="268" spans="11:16" x14ac:dyDescent="0.2">
      <c r="K268" s="34">
        <v>48</v>
      </c>
      <c r="L268" s="34"/>
      <c r="M268" s="34"/>
      <c r="N268" s="34"/>
      <c r="O268" s="34"/>
      <c r="P268" s="34">
        <v>1</v>
      </c>
    </row>
    <row r="269" spans="11:16" x14ac:dyDescent="0.2">
      <c r="K269" s="34">
        <v>48</v>
      </c>
      <c r="L269" s="34"/>
      <c r="M269" s="34"/>
      <c r="N269" s="34"/>
      <c r="O269" s="34"/>
      <c r="P269" s="34">
        <v>1</v>
      </c>
    </row>
    <row r="270" spans="11:16" x14ac:dyDescent="0.2">
      <c r="K270" s="34">
        <v>48</v>
      </c>
      <c r="L270" s="34"/>
      <c r="M270" s="34"/>
      <c r="N270" s="34"/>
      <c r="O270" s="34"/>
      <c r="P270" s="34">
        <v>1</v>
      </c>
    </row>
    <row r="271" spans="11:16" x14ac:dyDescent="0.2">
      <c r="K271" s="34">
        <v>48</v>
      </c>
      <c r="L271" s="34"/>
      <c r="M271" s="34"/>
      <c r="N271" s="34"/>
      <c r="O271" s="34"/>
      <c r="P271" s="34">
        <v>1</v>
      </c>
    </row>
    <row r="272" spans="11:16" x14ac:dyDescent="0.2">
      <c r="K272" s="34">
        <v>72</v>
      </c>
      <c r="L272" s="34"/>
      <c r="M272" s="34"/>
      <c r="N272" s="34"/>
      <c r="O272" s="34"/>
      <c r="P272" s="34">
        <v>1</v>
      </c>
    </row>
    <row r="273" spans="11:16" x14ac:dyDescent="0.2">
      <c r="K273" s="34">
        <v>72</v>
      </c>
      <c r="L273" s="34"/>
      <c r="M273" s="34"/>
      <c r="N273" s="34"/>
      <c r="O273" s="34"/>
      <c r="P273" s="34">
        <v>1</v>
      </c>
    </row>
    <row r="274" spans="11:16" x14ac:dyDescent="0.2">
      <c r="K274" s="34">
        <v>72</v>
      </c>
      <c r="L274" s="34"/>
      <c r="M274" s="34"/>
      <c r="N274" s="34"/>
      <c r="O274" s="34"/>
      <c r="P274" s="34">
        <v>1</v>
      </c>
    </row>
    <row r="275" spans="11:16" x14ac:dyDescent="0.2">
      <c r="K275" s="34">
        <v>72</v>
      </c>
      <c r="L275" s="34"/>
      <c r="M275" s="34"/>
      <c r="N275" s="34"/>
      <c r="O275" s="34"/>
      <c r="P275" s="34">
        <v>1</v>
      </c>
    </row>
    <row r="276" spans="11:16" x14ac:dyDescent="0.2">
      <c r="K276" s="34">
        <v>96</v>
      </c>
      <c r="L276" s="34"/>
      <c r="M276" s="34"/>
      <c r="N276" s="34"/>
      <c r="O276" s="34"/>
      <c r="P276" s="34">
        <v>1</v>
      </c>
    </row>
    <row r="277" spans="11:16" x14ac:dyDescent="0.2">
      <c r="K277" s="34">
        <v>96</v>
      </c>
      <c r="L277" s="34"/>
      <c r="M277" s="34"/>
      <c r="N277" s="34"/>
      <c r="O277" s="34"/>
      <c r="P277" s="34">
        <v>1</v>
      </c>
    </row>
    <row r="278" spans="11:16" x14ac:dyDescent="0.2">
      <c r="K278" s="34">
        <v>96</v>
      </c>
      <c r="L278" s="34"/>
      <c r="M278" s="34"/>
      <c r="N278" s="34"/>
      <c r="O278" s="34"/>
      <c r="P278" s="34">
        <v>0</v>
      </c>
    </row>
    <row r="279" spans="11:16" x14ac:dyDescent="0.2">
      <c r="K279" s="34">
        <v>96</v>
      </c>
      <c r="L279" s="34"/>
      <c r="M279" s="34"/>
      <c r="N279" s="34"/>
      <c r="O279" s="34"/>
      <c r="P279" s="34">
        <v>0</v>
      </c>
    </row>
    <row r="280" spans="11:16" x14ac:dyDescent="0.2">
      <c r="K280" s="34">
        <v>96</v>
      </c>
      <c r="L280" s="34"/>
      <c r="M280" s="34"/>
      <c r="N280" s="34"/>
      <c r="O280" s="34"/>
      <c r="P280" s="34">
        <v>0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6"/>
  <sheetViews>
    <sheetView workbookViewId="0">
      <selection activeCell="D50" sqref="D50"/>
    </sheetView>
  </sheetViews>
  <sheetFormatPr baseColWidth="10" defaultColWidth="11" defaultRowHeight="16" x14ac:dyDescent="0.2"/>
  <cols>
    <col min="10" max="10" width="19.1640625" customWidth="1"/>
  </cols>
  <sheetData>
    <row r="1" spans="1:18" x14ac:dyDescent="0.2">
      <c r="A1" t="s">
        <v>84</v>
      </c>
      <c r="B1" t="s">
        <v>29</v>
      </c>
      <c r="C1" t="s">
        <v>106</v>
      </c>
      <c r="D1" t="s">
        <v>14</v>
      </c>
      <c r="E1" t="s">
        <v>15</v>
      </c>
      <c r="F1" t="s">
        <v>107</v>
      </c>
      <c r="G1" t="s">
        <v>108</v>
      </c>
      <c r="H1" t="s">
        <v>109</v>
      </c>
      <c r="J1" s="36" t="s">
        <v>112</v>
      </c>
      <c r="L1" t="s">
        <v>111</v>
      </c>
      <c r="M1" t="s">
        <v>80</v>
      </c>
      <c r="N1" t="s">
        <v>81</v>
      </c>
      <c r="O1" t="s">
        <v>88</v>
      </c>
      <c r="P1" t="s">
        <v>89</v>
      </c>
      <c r="Q1" t="s">
        <v>44</v>
      </c>
      <c r="R1" t="s">
        <v>110</v>
      </c>
    </row>
    <row r="2" spans="1:18" x14ac:dyDescent="0.2">
      <c r="A2" s="38" t="s">
        <v>80</v>
      </c>
      <c r="B2">
        <v>1</v>
      </c>
      <c r="C2">
        <v>5</v>
      </c>
      <c r="D2">
        <v>4</v>
      </c>
      <c r="E2">
        <v>2</v>
      </c>
      <c r="F2">
        <v>1</v>
      </c>
      <c r="G2">
        <v>1</v>
      </c>
      <c r="H2">
        <v>1</v>
      </c>
      <c r="J2" s="36" t="s">
        <v>127</v>
      </c>
      <c r="L2">
        <v>6</v>
      </c>
      <c r="M2">
        <v>1</v>
      </c>
    </row>
    <row r="3" spans="1:18" x14ac:dyDescent="0.2">
      <c r="A3" s="38" t="s">
        <v>80</v>
      </c>
      <c r="B3">
        <v>2</v>
      </c>
      <c r="C3">
        <v>5</v>
      </c>
      <c r="D3">
        <v>4</v>
      </c>
      <c r="E3">
        <v>1</v>
      </c>
      <c r="F3">
        <v>1</v>
      </c>
      <c r="G3">
        <v>1</v>
      </c>
      <c r="H3">
        <v>1</v>
      </c>
      <c r="L3">
        <v>6</v>
      </c>
      <c r="M3">
        <v>1</v>
      </c>
    </row>
    <row r="4" spans="1:18" x14ac:dyDescent="0.2">
      <c r="A4" s="38" t="s">
        <v>80</v>
      </c>
      <c r="B4">
        <v>3</v>
      </c>
      <c r="C4">
        <v>5</v>
      </c>
      <c r="D4">
        <v>3</v>
      </c>
      <c r="E4">
        <v>1</v>
      </c>
      <c r="F4">
        <v>1</v>
      </c>
      <c r="G4">
        <v>0</v>
      </c>
      <c r="H4">
        <v>0</v>
      </c>
      <c r="L4">
        <v>6</v>
      </c>
      <c r="M4">
        <v>1</v>
      </c>
    </row>
    <row r="5" spans="1:18" x14ac:dyDescent="0.2">
      <c r="A5" s="38" t="s">
        <v>80</v>
      </c>
      <c r="B5">
        <v>4</v>
      </c>
      <c r="C5">
        <v>5</v>
      </c>
      <c r="D5">
        <v>5</v>
      </c>
      <c r="E5">
        <v>1</v>
      </c>
      <c r="F5">
        <v>1</v>
      </c>
      <c r="G5">
        <v>0</v>
      </c>
      <c r="H5">
        <v>0</v>
      </c>
      <c r="L5">
        <v>6</v>
      </c>
      <c r="M5">
        <v>1</v>
      </c>
    </row>
    <row r="6" spans="1:18" x14ac:dyDescent="0.2">
      <c r="A6" s="38" t="s">
        <v>80</v>
      </c>
      <c r="B6">
        <v>5</v>
      </c>
      <c r="C6">
        <v>5</v>
      </c>
      <c r="D6">
        <v>5</v>
      </c>
      <c r="E6">
        <v>1</v>
      </c>
      <c r="F6">
        <v>0</v>
      </c>
      <c r="G6">
        <v>0</v>
      </c>
      <c r="H6">
        <v>0</v>
      </c>
      <c r="L6">
        <v>6</v>
      </c>
      <c r="M6">
        <v>1</v>
      </c>
    </row>
    <row r="7" spans="1:18" x14ac:dyDescent="0.2">
      <c r="A7" s="38" t="s">
        <v>80</v>
      </c>
      <c r="B7">
        <v>6</v>
      </c>
      <c r="C7">
        <v>5</v>
      </c>
      <c r="D7">
        <v>5</v>
      </c>
      <c r="E7">
        <v>2</v>
      </c>
      <c r="F7">
        <v>2</v>
      </c>
      <c r="G7">
        <v>1</v>
      </c>
      <c r="H7">
        <v>1</v>
      </c>
      <c r="L7">
        <v>24</v>
      </c>
      <c r="M7">
        <v>1</v>
      </c>
    </row>
    <row r="8" spans="1:18" x14ac:dyDescent="0.2">
      <c r="A8" s="38" t="s">
        <v>80</v>
      </c>
      <c r="B8">
        <v>7</v>
      </c>
      <c r="C8">
        <v>5</v>
      </c>
      <c r="D8">
        <v>5</v>
      </c>
      <c r="E8">
        <v>1</v>
      </c>
      <c r="F8">
        <v>0</v>
      </c>
      <c r="G8">
        <v>0</v>
      </c>
      <c r="H8">
        <v>0</v>
      </c>
      <c r="L8">
        <v>24</v>
      </c>
      <c r="M8">
        <v>1</v>
      </c>
    </row>
    <row r="9" spans="1:18" x14ac:dyDescent="0.2">
      <c r="A9" s="38" t="s">
        <v>80</v>
      </c>
      <c r="B9">
        <v>8</v>
      </c>
      <c r="C9">
        <v>5</v>
      </c>
      <c r="D9">
        <v>4</v>
      </c>
      <c r="E9">
        <v>2</v>
      </c>
      <c r="F9">
        <v>1</v>
      </c>
      <c r="G9">
        <v>1</v>
      </c>
      <c r="H9">
        <v>1</v>
      </c>
      <c r="L9">
        <v>24</v>
      </c>
      <c r="M9">
        <v>1</v>
      </c>
    </row>
    <row r="10" spans="1:18" x14ac:dyDescent="0.2">
      <c r="A10" s="38" t="s">
        <v>80</v>
      </c>
      <c r="B10">
        <v>9</v>
      </c>
      <c r="C10">
        <v>5</v>
      </c>
      <c r="D10">
        <v>5</v>
      </c>
      <c r="E10">
        <v>4</v>
      </c>
      <c r="F10">
        <v>1</v>
      </c>
      <c r="G10">
        <v>0</v>
      </c>
      <c r="H10">
        <v>0</v>
      </c>
      <c r="L10">
        <v>24</v>
      </c>
      <c r="M10">
        <v>1</v>
      </c>
    </row>
    <row r="11" spans="1:18" x14ac:dyDescent="0.2">
      <c r="A11" s="38" t="s">
        <v>80</v>
      </c>
      <c r="B11">
        <v>10</v>
      </c>
      <c r="C11">
        <v>6</v>
      </c>
      <c r="D11">
        <v>6</v>
      </c>
      <c r="E11">
        <v>5</v>
      </c>
      <c r="F11">
        <v>2</v>
      </c>
      <c r="G11">
        <v>1</v>
      </c>
      <c r="H11">
        <v>1</v>
      </c>
      <c r="L11">
        <v>24</v>
      </c>
      <c r="M11">
        <v>1</v>
      </c>
    </row>
    <row r="12" spans="1:18" x14ac:dyDescent="0.2">
      <c r="A12" s="37" t="s">
        <v>81</v>
      </c>
      <c r="B12">
        <v>1</v>
      </c>
      <c r="C12">
        <v>5</v>
      </c>
      <c r="D12">
        <v>2</v>
      </c>
      <c r="E12">
        <v>0</v>
      </c>
      <c r="F12">
        <v>0</v>
      </c>
      <c r="G12">
        <v>0</v>
      </c>
      <c r="H12">
        <v>0</v>
      </c>
      <c r="L12">
        <v>24</v>
      </c>
      <c r="M12">
        <v>1</v>
      </c>
    </row>
    <row r="13" spans="1:18" x14ac:dyDescent="0.2">
      <c r="A13" s="37" t="s">
        <v>81</v>
      </c>
      <c r="B13">
        <v>2</v>
      </c>
      <c r="C13">
        <v>5</v>
      </c>
      <c r="D13">
        <v>4</v>
      </c>
      <c r="E13">
        <v>0</v>
      </c>
      <c r="F13">
        <v>0</v>
      </c>
      <c r="G13">
        <v>0</v>
      </c>
      <c r="H13">
        <v>0</v>
      </c>
      <c r="L13">
        <v>24</v>
      </c>
      <c r="M13">
        <v>1</v>
      </c>
    </row>
    <row r="14" spans="1:18" x14ac:dyDescent="0.2">
      <c r="A14" s="37" t="s">
        <v>81</v>
      </c>
      <c r="B14">
        <v>3</v>
      </c>
      <c r="C14">
        <v>5</v>
      </c>
      <c r="D14">
        <v>3</v>
      </c>
      <c r="E14">
        <v>0</v>
      </c>
      <c r="F14">
        <v>0</v>
      </c>
      <c r="G14">
        <v>0</v>
      </c>
      <c r="H14">
        <v>0</v>
      </c>
      <c r="L14">
        <v>24</v>
      </c>
      <c r="M14">
        <v>1</v>
      </c>
    </row>
    <row r="15" spans="1:18" x14ac:dyDescent="0.2">
      <c r="A15" s="37" t="s">
        <v>81</v>
      </c>
      <c r="B15">
        <v>4</v>
      </c>
      <c r="C15">
        <v>5</v>
      </c>
      <c r="D15">
        <v>3</v>
      </c>
      <c r="E15">
        <v>1</v>
      </c>
      <c r="F15">
        <v>0</v>
      </c>
      <c r="G15">
        <v>0</v>
      </c>
      <c r="H15">
        <v>0</v>
      </c>
      <c r="L15">
        <v>24</v>
      </c>
      <c r="M15">
        <v>1</v>
      </c>
    </row>
    <row r="16" spans="1:18" x14ac:dyDescent="0.2">
      <c r="A16" s="37" t="s">
        <v>81</v>
      </c>
      <c r="B16">
        <v>5</v>
      </c>
      <c r="C16">
        <v>5</v>
      </c>
      <c r="D16">
        <v>4</v>
      </c>
      <c r="E16">
        <v>4</v>
      </c>
      <c r="F16">
        <v>1</v>
      </c>
      <c r="G16">
        <v>0</v>
      </c>
      <c r="H16">
        <v>0</v>
      </c>
      <c r="L16">
        <v>24</v>
      </c>
      <c r="M16">
        <v>1</v>
      </c>
    </row>
    <row r="17" spans="1:13" x14ac:dyDescent="0.2">
      <c r="A17" s="37" t="s">
        <v>81</v>
      </c>
      <c r="B17">
        <v>6</v>
      </c>
      <c r="C17">
        <v>5</v>
      </c>
      <c r="D17">
        <v>5</v>
      </c>
      <c r="E17">
        <v>2</v>
      </c>
      <c r="F17">
        <v>0</v>
      </c>
      <c r="G17">
        <v>0</v>
      </c>
      <c r="H17">
        <v>0</v>
      </c>
      <c r="L17">
        <v>24</v>
      </c>
      <c r="M17">
        <v>1</v>
      </c>
    </row>
    <row r="18" spans="1:13" x14ac:dyDescent="0.2">
      <c r="A18" s="37" t="s">
        <v>81</v>
      </c>
      <c r="B18">
        <v>7</v>
      </c>
      <c r="C18">
        <v>6</v>
      </c>
      <c r="D18">
        <v>6</v>
      </c>
      <c r="E18">
        <v>2</v>
      </c>
      <c r="F18">
        <v>0</v>
      </c>
      <c r="G18">
        <v>0</v>
      </c>
      <c r="H18">
        <v>0</v>
      </c>
      <c r="L18">
        <v>24</v>
      </c>
      <c r="M18">
        <v>1</v>
      </c>
    </row>
    <row r="19" spans="1:13" x14ac:dyDescent="0.2">
      <c r="A19" s="37" t="s">
        <v>81</v>
      </c>
      <c r="B19">
        <v>8</v>
      </c>
      <c r="C19">
        <v>5</v>
      </c>
      <c r="D19">
        <v>4</v>
      </c>
      <c r="E19">
        <v>3</v>
      </c>
      <c r="F19">
        <v>1</v>
      </c>
      <c r="G19">
        <v>0</v>
      </c>
      <c r="H19">
        <v>0</v>
      </c>
      <c r="L19">
        <v>24</v>
      </c>
      <c r="M19">
        <v>1</v>
      </c>
    </row>
    <row r="20" spans="1:13" x14ac:dyDescent="0.2">
      <c r="A20" s="37" t="s">
        <v>81</v>
      </c>
      <c r="B20">
        <v>9</v>
      </c>
      <c r="C20">
        <v>7</v>
      </c>
      <c r="D20">
        <v>7</v>
      </c>
      <c r="E20">
        <v>2</v>
      </c>
      <c r="F20">
        <v>2</v>
      </c>
      <c r="G20">
        <v>1</v>
      </c>
      <c r="H20">
        <v>0</v>
      </c>
      <c r="L20">
        <v>24</v>
      </c>
      <c r="M20">
        <v>1</v>
      </c>
    </row>
    <row r="21" spans="1:13" x14ac:dyDescent="0.2">
      <c r="A21" s="37" t="s">
        <v>81</v>
      </c>
      <c r="B21">
        <v>10</v>
      </c>
      <c r="C21">
        <v>6</v>
      </c>
      <c r="D21">
        <v>4</v>
      </c>
      <c r="E21">
        <v>1</v>
      </c>
      <c r="F21">
        <v>0</v>
      </c>
      <c r="G21">
        <v>0</v>
      </c>
      <c r="H21">
        <v>0</v>
      </c>
      <c r="L21">
        <v>24</v>
      </c>
      <c r="M21">
        <v>1</v>
      </c>
    </row>
    <row r="22" spans="1:13" x14ac:dyDescent="0.2">
      <c r="A22" s="39" t="s">
        <v>88</v>
      </c>
      <c r="B22">
        <v>1</v>
      </c>
      <c r="C22">
        <v>5</v>
      </c>
      <c r="D22">
        <v>5</v>
      </c>
      <c r="E22">
        <v>2</v>
      </c>
      <c r="F22">
        <v>2</v>
      </c>
      <c r="G22">
        <v>2</v>
      </c>
      <c r="H22">
        <v>1</v>
      </c>
      <c r="L22">
        <v>24</v>
      </c>
      <c r="M22">
        <v>1</v>
      </c>
    </row>
    <row r="23" spans="1:13" x14ac:dyDescent="0.2">
      <c r="A23" s="39" t="s">
        <v>88</v>
      </c>
      <c r="B23">
        <v>2</v>
      </c>
      <c r="C23">
        <v>5</v>
      </c>
      <c r="D23">
        <v>4</v>
      </c>
      <c r="E23">
        <v>1</v>
      </c>
      <c r="F23">
        <v>1</v>
      </c>
      <c r="G23">
        <v>0</v>
      </c>
      <c r="H23">
        <v>0</v>
      </c>
      <c r="L23">
        <v>24</v>
      </c>
      <c r="M23">
        <v>1</v>
      </c>
    </row>
    <row r="24" spans="1:13" x14ac:dyDescent="0.2">
      <c r="A24" s="39" t="s">
        <v>88</v>
      </c>
      <c r="B24">
        <v>3</v>
      </c>
      <c r="C24">
        <v>5</v>
      </c>
      <c r="D24">
        <v>5</v>
      </c>
      <c r="E24">
        <v>3</v>
      </c>
      <c r="F24">
        <v>3</v>
      </c>
      <c r="G24">
        <v>2</v>
      </c>
      <c r="H24">
        <v>2</v>
      </c>
      <c r="L24">
        <v>24</v>
      </c>
      <c r="M24">
        <v>1</v>
      </c>
    </row>
    <row r="25" spans="1:13" x14ac:dyDescent="0.2">
      <c r="A25" s="39" t="s">
        <v>88</v>
      </c>
      <c r="B25">
        <v>4</v>
      </c>
      <c r="C25">
        <v>5</v>
      </c>
      <c r="D25">
        <v>4</v>
      </c>
      <c r="E25">
        <v>2</v>
      </c>
      <c r="F25">
        <v>2</v>
      </c>
      <c r="G25">
        <v>2</v>
      </c>
      <c r="H25">
        <v>2</v>
      </c>
      <c r="L25">
        <v>24</v>
      </c>
      <c r="M25">
        <v>1</v>
      </c>
    </row>
    <row r="26" spans="1:13" x14ac:dyDescent="0.2">
      <c r="A26" s="39" t="s">
        <v>88</v>
      </c>
      <c r="B26">
        <v>5</v>
      </c>
      <c r="C26">
        <v>5</v>
      </c>
      <c r="D26">
        <v>4</v>
      </c>
      <c r="E26">
        <v>3</v>
      </c>
      <c r="F26">
        <v>2</v>
      </c>
      <c r="G26">
        <v>1</v>
      </c>
      <c r="H26">
        <v>0</v>
      </c>
      <c r="L26">
        <v>24</v>
      </c>
      <c r="M26">
        <v>1</v>
      </c>
    </row>
    <row r="27" spans="1:13" x14ac:dyDescent="0.2">
      <c r="A27" s="39" t="s">
        <v>88</v>
      </c>
      <c r="B27">
        <v>6</v>
      </c>
      <c r="C27">
        <v>6</v>
      </c>
      <c r="D27">
        <v>6</v>
      </c>
      <c r="E27">
        <v>1</v>
      </c>
      <c r="F27">
        <v>0</v>
      </c>
      <c r="G27">
        <v>0</v>
      </c>
      <c r="H27">
        <v>0</v>
      </c>
      <c r="L27">
        <v>24</v>
      </c>
      <c r="M27">
        <v>1</v>
      </c>
    </row>
    <row r="28" spans="1:13" x14ac:dyDescent="0.2">
      <c r="A28" s="39" t="s">
        <v>88</v>
      </c>
      <c r="B28">
        <v>7</v>
      </c>
      <c r="C28">
        <v>6</v>
      </c>
      <c r="D28">
        <v>6</v>
      </c>
      <c r="E28">
        <v>2</v>
      </c>
      <c r="F28">
        <v>2</v>
      </c>
      <c r="G28">
        <v>1</v>
      </c>
      <c r="H28">
        <v>0</v>
      </c>
      <c r="L28">
        <v>24</v>
      </c>
      <c r="M28">
        <v>1</v>
      </c>
    </row>
    <row r="29" spans="1:13" x14ac:dyDescent="0.2">
      <c r="A29" s="39" t="s">
        <v>88</v>
      </c>
      <c r="B29">
        <v>8</v>
      </c>
      <c r="C29">
        <v>5</v>
      </c>
      <c r="D29">
        <v>5</v>
      </c>
      <c r="E29">
        <v>3</v>
      </c>
      <c r="F29">
        <v>3</v>
      </c>
      <c r="G29">
        <v>2</v>
      </c>
      <c r="H29">
        <v>2</v>
      </c>
      <c r="L29">
        <v>24</v>
      </c>
      <c r="M29">
        <v>1</v>
      </c>
    </row>
    <row r="30" spans="1:13" x14ac:dyDescent="0.2">
      <c r="A30" s="39" t="s">
        <v>88</v>
      </c>
      <c r="B30">
        <v>9</v>
      </c>
      <c r="C30">
        <v>5</v>
      </c>
      <c r="D30">
        <v>5</v>
      </c>
      <c r="E30">
        <v>4</v>
      </c>
      <c r="F30">
        <v>1</v>
      </c>
      <c r="G30">
        <v>0</v>
      </c>
      <c r="H30">
        <v>0</v>
      </c>
      <c r="L30">
        <v>24</v>
      </c>
      <c r="M30">
        <v>1</v>
      </c>
    </row>
    <row r="31" spans="1:13" x14ac:dyDescent="0.2">
      <c r="A31" s="39" t="s">
        <v>88</v>
      </c>
      <c r="B31">
        <v>10</v>
      </c>
      <c r="C31">
        <v>6</v>
      </c>
      <c r="D31">
        <v>6</v>
      </c>
      <c r="E31">
        <v>2</v>
      </c>
      <c r="F31">
        <v>1</v>
      </c>
      <c r="G31">
        <v>1</v>
      </c>
      <c r="H31">
        <v>0</v>
      </c>
      <c r="L31">
        <v>24</v>
      </c>
      <c r="M31">
        <v>1</v>
      </c>
    </row>
    <row r="32" spans="1:13" x14ac:dyDescent="0.2">
      <c r="A32" s="40" t="s">
        <v>89</v>
      </c>
      <c r="B32">
        <v>1</v>
      </c>
      <c r="C32">
        <v>5</v>
      </c>
      <c r="D32">
        <v>5</v>
      </c>
      <c r="E32">
        <v>0</v>
      </c>
      <c r="F32">
        <v>0</v>
      </c>
      <c r="G32">
        <v>0</v>
      </c>
      <c r="H32">
        <v>0</v>
      </c>
      <c r="L32">
        <v>24</v>
      </c>
      <c r="M32">
        <v>1</v>
      </c>
    </row>
    <row r="33" spans="1:13" x14ac:dyDescent="0.2">
      <c r="A33" s="40" t="s">
        <v>89</v>
      </c>
      <c r="B33">
        <v>2</v>
      </c>
      <c r="C33">
        <v>5</v>
      </c>
      <c r="D33">
        <v>3</v>
      </c>
      <c r="E33">
        <v>0</v>
      </c>
      <c r="F33">
        <v>0</v>
      </c>
      <c r="G33">
        <v>0</v>
      </c>
      <c r="H33">
        <v>0</v>
      </c>
      <c r="L33">
        <v>48</v>
      </c>
      <c r="M33">
        <v>1</v>
      </c>
    </row>
    <row r="34" spans="1:13" x14ac:dyDescent="0.2">
      <c r="A34" s="40" t="s">
        <v>89</v>
      </c>
      <c r="B34">
        <v>3</v>
      </c>
      <c r="C34">
        <v>5</v>
      </c>
      <c r="D34">
        <v>4</v>
      </c>
      <c r="E34">
        <v>1</v>
      </c>
      <c r="F34">
        <v>1</v>
      </c>
      <c r="G34">
        <v>0</v>
      </c>
      <c r="H34">
        <v>0</v>
      </c>
      <c r="L34">
        <v>48</v>
      </c>
      <c r="M34">
        <v>1</v>
      </c>
    </row>
    <row r="35" spans="1:13" x14ac:dyDescent="0.2">
      <c r="A35" s="40" t="s">
        <v>89</v>
      </c>
      <c r="B35">
        <v>4</v>
      </c>
      <c r="C35">
        <v>5</v>
      </c>
      <c r="D35">
        <v>2</v>
      </c>
      <c r="E35">
        <v>0</v>
      </c>
      <c r="F35">
        <v>0</v>
      </c>
      <c r="G35">
        <v>0</v>
      </c>
      <c r="H35">
        <v>0</v>
      </c>
      <c r="L35">
        <v>48</v>
      </c>
      <c r="M35">
        <v>1</v>
      </c>
    </row>
    <row r="36" spans="1:13" x14ac:dyDescent="0.2">
      <c r="A36" s="40" t="s">
        <v>89</v>
      </c>
      <c r="B36">
        <v>5</v>
      </c>
      <c r="C36">
        <v>5</v>
      </c>
      <c r="D36">
        <v>4</v>
      </c>
      <c r="E36">
        <v>2</v>
      </c>
      <c r="F36">
        <v>2</v>
      </c>
      <c r="G36">
        <v>1</v>
      </c>
      <c r="H36">
        <v>0</v>
      </c>
      <c r="L36">
        <v>48</v>
      </c>
      <c r="M36">
        <v>1</v>
      </c>
    </row>
    <row r="37" spans="1:13" x14ac:dyDescent="0.2">
      <c r="A37" s="40" t="s">
        <v>89</v>
      </c>
      <c r="B37">
        <v>6</v>
      </c>
      <c r="C37">
        <v>7</v>
      </c>
      <c r="D37">
        <v>5</v>
      </c>
      <c r="E37">
        <v>4</v>
      </c>
      <c r="F37">
        <v>0</v>
      </c>
      <c r="G37">
        <v>0</v>
      </c>
      <c r="H37">
        <v>0</v>
      </c>
      <c r="L37">
        <v>48</v>
      </c>
      <c r="M37">
        <v>1</v>
      </c>
    </row>
    <row r="38" spans="1:13" x14ac:dyDescent="0.2">
      <c r="A38" s="40" t="s">
        <v>89</v>
      </c>
      <c r="B38">
        <v>7</v>
      </c>
      <c r="C38">
        <v>5</v>
      </c>
      <c r="D38">
        <v>5</v>
      </c>
      <c r="E38">
        <v>2</v>
      </c>
      <c r="F38">
        <v>2</v>
      </c>
      <c r="G38">
        <v>0</v>
      </c>
      <c r="H38">
        <v>0</v>
      </c>
      <c r="L38">
        <v>48</v>
      </c>
      <c r="M38">
        <v>1</v>
      </c>
    </row>
    <row r="39" spans="1:13" x14ac:dyDescent="0.2">
      <c r="A39" s="40" t="s">
        <v>89</v>
      </c>
      <c r="B39">
        <v>8</v>
      </c>
      <c r="C39">
        <v>6</v>
      </c>
      <c r="D39">
        <v>3</v>
      </c>
      <c r="E39">
        <v>2</v>
      </c>
      <c r="F39">
        <v>0</v>
      </c>
      <c r="G39">
        <v>0</v>
      </c>
      <c r="H39">
        <v>0</v>
      </c>
      <c r="L39">
        <v>48</v>
      </c>
      <c r="M39">
        <v>1</v>
      </c>
    </row>
    <row r="40" spans="1:13" x14ac:dyDescent="0.2">
      <c r="A40" s="40" t="s">
        <v>89</v>
      </c>
      <c r="B40">
        <v>9</v>
      </c>
      <c r="C40">
        <v>6</v>
      </c>
      <c r="D40">
        <v>5</v>
      </c>
      <c r="E40">
        <v>3</v>
      </c>
      <c r="F40">
        <v>2</v>
      </c>
      <c r="G40">
        <v>2</v>
      </c>
      <c r="H40">
        <v>0</v>
      </c>
      <c r="L40">
        <v>48</v>
      </c>
      <c r="M40">
        <v>1</v>
      </c>
    </row>
    <row r="41" spans="1:13" x14ac:dyDescent="0.2">
      <c r="A41" s="40" t="s">
        <v>89</v>
      </c>
      <c r="B41">
        <v>10</v>
      </c>
      <c r="C41">
        <v>7</v>
      </c>
      <c r="D41">
        <v>6</v>
      </c>
      <c r="E41">
        <v>1</v>
      </c>
      <c r="F41">
        <v>0</v>
      </c>
      <c r="G41">
        <v>0</v>
      </c>
      <c r="H41">
        <v>0</v>
      </c>
      <c r="L41">
        <v>48</v>
      </c>
      <c r="M41">
        <v>1</v>
      </c>
    </row>
    <row r="42" spans="1:13" x14ac:dyDescent="0.2">
      <c r="A42" s="41" t="s">
        <v>44</v>
      </c>
      <c r="B42">
        <v>1</v>
      </c>
      <c r="C42">
        <v>6</v>
      </c>
      <c r="D42">
        <v>3</v>
      </c>
      <c r="E42">
        <v>3</v>
      </c>
      <c r="F42">
        <v>3</v>
      </c>
      <c r="G42">
        <v>2</v>
      </c>
      <c r="H42">
        <v>1</v>
      </c>
      <c r="L42">
        <v>48</v>
      </c>
      <c r="M42">
        <v>1</v>
      </c>
    </row>
    <row r="43" spans="1:13" x14ac:dyDescent="0.2">
      <c r="A43" s="41" t="s">
        <v>44</v>
      </c>
      <c r="B43">
        <v>2</v>
      </c>
      <c r="C43">
        <v>5</v>
      </c>
      <c r="D43">
        <v>2</v>
      </c>
      <c r="E43">
        <v>2</v>
      </c>
      <c r="F43">
        <v>1</v>
      </c>
      <c r="G43">
        <v>0</v>
      </c>
      <c r="H43">
        <v>0</v>
      </c>
      <c r="L43">
        <v>72</v>
      </c>
      <c r="M43">
        <v>1</v>
      </c>
    </row>
    <row r="44" spans="1:13" x14ac:dyDescent="0.2">
      <c r="A44" s="41" t="s">
        <v>44</v>
      </c>
      <c r="B44">
        <v>3</v>
      </c>
      <c r="C44">
        <v>5</v>
      </c>
      <c r="D44">
        <v>2</v>
      </c>
      <c r="E44">
        <v>2</v>
      </c>
      <c r="F44">
        <v>2</v>
      </c>
      <c r="G44">
        <v>1</v>
      </c>
      <c r="H44">
        <v>1</v>
      </c>
      <c r="L44">
        <v>72</v>
      </c>
      <c r="M44">
        <v>1</v>
      </c>
    </row>
    <row r="45" spans="1:13" x14ac:dyDescent="0.2">
      <c r="A45" s="41" t="s">
        <v>44</v>
      </c>
      <c r="B45">
        <v>4</v>
      </c>
      <c r="C45">
        <v>5</v>
      </c>
      <c r="D45">
        <v>4</v>
      </c>
      <c r="E45">
        <v>1</v>
      </c>
      <c r="F45">
        <v>0</v>
      </c>
      <c r="G45">
        <v>0</v>
      </c>
      <c r="H45">
        <v>0</v>
      </c>
      <c r="L45">
        <v>72</v>
      </c>
      <c r="M45">
        <v>1</v>
      </c>
    </row>
    <row r="46" spans="1:13" x14ac:dyDescent="0.2">
      <c r="A46" s="41" t="s">
        <v>44</v>
      </c>
      <c r="B46">
        <v>5</v>
      </c>
      <c r="C46">
        <v>5</v>
      </c>
      <c r="D46">
        <v>4</v>
      </c>
      <c r="E46">
        <v>1</v>
      </c>
      <c r="F46">
        <v>1</v>
      </c>
      <c r="G46">
        <v>0</v>
      </c>
      <c r="H46">
        <v>0</v>
      </c>
      <c r="L46">
        <v>72</v>
      </c>
      <c r="M46">
        <v>1</v>
      </c>
    </row>
    <row r="47" spans="1:13" x14ac:dyDescent="0.2">
      <c r="A47" s="9" t="s">
        <v>110</v>
      </c>
      <c r="B47">
        <v>1</v>
      </c>
      <c r="C47">
        <v>55</v>
      </c>
      <c r="D47">
        <v>55</v>
      </c>
      <c r="E47">
        <v>37</v>
      </c>
      <c r="F47">
        <v>21</v>
      </c>
      <c r="G47">
        <v>13</v>
      </c>
      <c r="H47">
        <v>13</v>
      </c>
      <c r="L47">
        <v>72</v>
      </c>
      <c r="M47">
        <v>1</v>
      </c>
    </row>
    <row r="48" spans="1:13" x14ac:dyDescent="0.2">
      <c r="L48">
        <v>96</v>
      </c>
      <c r="M48">
        <v>0</v>
      </c>
    </row>
    <row r="49" spans="12:14" x14ac:dyDescent="0.2">
      <c r="L49">
        <v>96</v>
      </c>
      <c r="M49">
        <v>0</v>
      </c>
    </row>
    <row r="50" spans="12:14" x14ac:dyDescent="0.2">
      <c r="L50">
        <v>96</v>
      </c>
      <c r="M50">
        <v>0</v>
      </c>
    </row>
    <row r="51" spans="12:14" x14ac:dyDescent="0.2">
      <c r="L51">
        <v>96</v>
      </c>
      <c r="M51">
        <v>0</v>
      </c>
    </row>
    <row r="52" spans="12:14" x14ac:dyDescent="0.2">
      <c r="L52">
        <v>96</v>
      </c>
      <c r="M52">
        <v>0</v>
      </c>
    </row>
    <row r="53" spans="12:14" x14ac:dyDescent="0.2">
      <c r="L53">
        <v>6</v>
      </c>
      <c r="N53">
        <v>1</v>
      </c>
    </row>
    <row r="54" spans="12:14" x14ac:dyDescent="0.2">
      <c r="L54">
        <v>6</v>
      </c>
      <c r="N54">
        <v>1</v>
      </c>
    </row>
    <row r="55" spans="12:14" x14ac:dyDescent="0.2">
      <c r="L55">
        <v>6</v>
      </c>
      <c r="N55">
        <v>1</v>
      </c>
    </row>
    <row r="56" spans="12:14" x14ac:dyDescent="0.2">
      <c r="L56">
        <v>6</v>
      </c>
      <c r="N56">
        <v>1</v>
      </c>
    </row>
    <row r="57" spans="12:14" x14ac:dyDescent="0.2">
      <c r="L57">
        <v>6</v>
      </c>
      <c r="N57">
        <v>1</v>
      </c>
    </row>
    <row r="58" spans="12:14" x14ac:dyDescent="0.2">
      <c r="L58">
        <v>6</v>
      </c>
      <c r="N58">
        <v>1</v>
      </c>
    </row>
    <row r="59" spans="12:14" x14ac:dyDescent="0.2">
      <c r="L59">
        <v>6</v>
      </c>
      <c r="N59">
        <v>1</v>
      </c>
    </row>
    <row r="60" spans="12:14" x14ac:dyDescent="0.2">
      <c r="L60">
        <v>6</v>
      </c>
      <c r="N60">
        <v>1</v>
      </c>
    </row>
    <row r="61" spans="12:14" x14ac:dyDescent="0.2">
      <c r="L61">
        <v>6</v>
      </c>
      <c r="N61">
        <v>1</v>
      </c>
    </row>
    <row r="62" spans="12:14" x14ac:dyDescent="0.2">
      <c r="L62">
        <v>6</v>
      </c>
      <c r="N62">
        <v>1</v>
      </c>
    </row>
    <row r="63" spans="12:14" x14ac:dyDescent="0.2">
      <c r="L63">
        <v>6</v>
      </c>
      <c r="N63">
        <v>1</v>
      </c>
    </row>
    <row r="64" spans="12:14" x14ac:dyDescent="0.2">
      <c r="L64">
        <v>6</v>
      </c>
      <c r="N64">
        <v>1</v>
      </c>
    </row>
    <row r="65" spans="12:14" x14ac:dyDescent="0.2">
      <c r="L65">
        <v>24</v>
      </c>
      <c r="N65">
        <v>1</v>
      </c>
    </row>
    <row r="66" spans="12:14" x14ac:dyDescent="0.2">
      <c r="L66">
        <v>24</v>
      </c>
      <c r="N66">
        <v>1</v>
      </c>
    </row>
    <row r="67" spans="12:14" x14ac:dyDescent="0.2">
      <c r="L67">
        <v>24</v>
      </c>
      <c r="N67">
        <v>1</v>
      </c>
    </row>
    <row r="68" spans="12:14" x14ac:dyDescent="0.2">
      <c r="L68">
        <v>24</v>
      </c>
      <c r="N68">
        <v>1</v>
      </c>
    </row>
    <row r="69" spans="12:14" x14ac:dyDescent="0.2">
      <c r="L69">
        <v>24</v>
      </c>
      <c r="N69">
        <v>1</v>
      </c>
    </row>
    <row r="70" spans="12:14" x14ac:dyDescent="0.2">
      <c r="L70">
        <v>24</v>
      </c>
      <c r="N70">
        <v>1</v>
      </c>
    </row>
    <row r="71" spans="12:14" x14ac:dyDescent="0.2">
      <c r="L71">
        <v>24</v>
      </c>
      <c r="N71">
        <v>1</v>
      </c>
    </row>
    <row r="72" spans="12:14" x14ac:dyDescent="0.2">
      <c r="L72">
        <v>24</v>
      </c>
      <c r="N72">
        <v>1</v>
      </c>
    </row>
    <row r="73" spans="12:14" x14ac:dyDescent="0.2">
      <c r="L73">
        <v>24</v>
      </c>
      <c r="N73">
        <v>1</v>
      </c>
    </row>
    <row r="74" spans="12:14" x14ac:dyDescent="0.2">
      <c r="L74">
        <v>24</v>
      </c>
      <c r="N74">
        <v>1</v>
      </c>
    </row>
    <row r="75" spans="12:14" x14ac:dyDescent="0.2">
      <c r="L75">
        <v>24</v>
      </c>
      <c r="N75">
        <v>1</v>
      </c>
    </row>
    <row r="76" spans="12:14" x14ac:dyDescent="0.2">
      <c r="L76">
        <v>24</v>
      </c>
      <c r="N76">
        <v>1</v>
      </c>
    </row>
    <row r="77" spans="12:14" x14ac:dyDescent="0.2">
      <c r="L77">
        <v>24</v>
      </c>
      <c r="N77">
        <v>1</v>
      </c>
    </row>
    <row r="78" spans="12:14" x14ac:dyDescent="0.2">
      <c r="L78">
        <v>24</v>
      </c>
      <c r="N78">
        <v>1</v>
      </c>
    </row>
    <row r="79" spans="12:14" x14ac:dyDescent="0.2">
      <c r="L79">
        <v>24</v>
      </c>
      <c r="N79">
        <v>1</v>
      </c>
    </row>
    <row r="80" spans="12:14" x14ac:dyDescent="0.2">
      <c r="L80">
        <v>24</v>
      </c>
      <c r="N80">
        <v>1</v>
      </c>
    </row>
    <row r="81" spans="12:14" x14ac:dyDescent="0.2">
      <c r="L81">
        <v>24</v>
      </c>
      <c r="N81">
        <v>1</v>
      </c>
    </row>
    <row r="82" spans="12:14" x14ac:dyDescent="0.2">
      <c r="L82">
        <v>24</v>
      </c>
      <c r="N82">
        <v>1</v>
      </c>
    </row>
    <row r="83" spans="12:14" x14ac:dyDescent="0.2">
      <c r="L83">
        <v>24</v>
      </c>
      <c r="N83">
        <v>1</v>
      </c>
    </row>
    <row r="84" spans="12:14" x14ac:dyDescent="0.2">
      <c r="L84">
        <v>24</v>
      </c>
      <c r="N84">
        <v>1</v>
      </c>
    </row>
    <row r="85" spans="12:14" x14ac:dyDescent="0.2">
      <c r="L85">
        <v>24</v>
      </c>
      <c r="N85">
        <v>1</v>
      </c>
    </row>
    <row r="86" spans="12:14" x14ac:dyDescent="0.2">
      <c r="L86">
        <v>24</v>
      </c>
      <c r="N86">
        <v>1</v>
      </c>
    </row>
    <row r="87" spans="12:14" x14ac:dyDescent="0.2">
      <c r="L87">
        <v>24</v>
      </c>
      <c r="N87">
        <v>1</v>
      </c>
    </row>
    <row r="88" spans="12:14" x14ac:dyDescent="0.2">
      <c r="L88">
        <v>24</v>
      </c>
      <c r="N88">
        <v>1</v>
      </c>
    </row>
    <row r="89" spans="12:14" x14ac:dyDescent="0.2">
      <c r="L89">
        <v>24</v>
      </c>
      <c r="N89">
        <v>1</v>
      </c>
    </row>
    <row r="90" spans="12:14" x14ac:dyDescent="0.2">
      <c r="L90">
        <v>24</v>
      </c>
      <c r="N90">
        <v>1</v>
      </c>
    </row>
    <row r="91" spans="12:14" x14ac:dyDescent="0.2">
      <c r="L91">
        <v>24</v>
      </c>
      <c r="N91">
        <v>1</v>
      </c>
    </row>
    <row r="92" spans="12:14" x14ac:dyDescent="0.2">
      <c r="L92">
        <v>48</v>
      </c>
      <c r="N92">
        <v>1</v>
      </c>
    </row>
    <row r="93" spans="12:14" x14ac:dyDescent="0.2">
      <c r="L93">
        <v>48</v>
      </c>
      <c r="N93">
        <v>1</v>
      </c>
    </row>
    <row r="94" spans="12:14" x14ac:dyDescent="0.2">
      <c r="L94">
        <v>48</v>
      </c>
      <c r="N94">
        <v>1</v>
      </c>
    </row>
    <row r="95" spans="12:14" x14ac:dyDescent="0.2">
      <c r="L95">
        <v>48</v>
      </c>
      <c r="N95">
        <v>1</v>
      </c>
    </row>
    <row r="96" spans="12:14" x14ac:dyDescent="0.2">
      <c r="L96">
        <v>48</v>
      </c>
      <c r="N96">
        <v>1</v>
      </c>
    </row>
    <row r="97" spans="6:15" x14ac:dyDescent="0.2">
      <c r="F97" s="9"/>
      <c r="L97">
        <v>48</v>
      </c>
      <c r="N97">
        <v>1</v>
      </c>
    </row>
    <row r="98" spans="6:15" x14ac:dyDescent="0.2">
      <c r="L98">
        <v>48</v>
      </c>
      <c r="N98">
        <v>1</v>
      </c>
    </row>
    <row r="99" spans="6:15" x14ac:dyDescent="0.2">
      <c r="L99">
        <v>48</v>
      </c>
      <c r="N99">
        <v>1</v>
      </c>
    </row>
    <row r="100" spans="6:15" x14ac:dyDescent="0.2">
      <c r="L100">
        <v>48</v>
      </c>
      <c r="N100">
        <v>1</v>
      </c>
    </row>
    <row r="101" spans="6:15" x14ac:dyDescent="0.2">
      <c r="L101">
        <v>48</v>
      </c>
      <c r="N101">
        <v>1</v>
      </c>
    </row>
    <row r="102" spans="6:15" x14ac:dyDescent="0.2">
      <c r="L102">
        <v>48</v>
      </c>
      <c r="N102">
        <v>1</v>
      </c>
    </row>
    <row r="103" spans="6:15" x14ac:dyDescent="0.2">
      <c r="L103">
        <v>72</v>
      </c>
      <c r="N103">
        <v>1</v>
      </c>
    </row>
    <row r="104" spans="6:15" x14ac:dyDescent="0.2">
      <c r="L104">
        <v>72</v>
      </c>
      <c r="N104">
        <v>1</v>
      </c>
    </row>
    <row r="105" spans="6:15" x14ac:dyDescent="0.2">
      <c r="L105">
        <v>72</v>
      </c>
      <c r="N105">
        <v>1</v>
      </c>
    </row>
    <row r="106" spans="6:15" x14ac:dyDescent="0.2">
      <c r="L106">
        <v>96</v>
      </c>
      <c r="N106">
        <v>1</v>
      </c>
    </row>
    <row r="107" spans="6:15" x14ac:dyDescent="0.2">
      <c r="L107">
        <v>6</v>
      </c>
      <c r="O107">
        <v>1</v>
      </c>
    </row>
    <row r="108" spans="6:15" x14ac:dyDescent="0.2">
      <c r="L108">
        <v>6</v>
      </c>
      <c r="O108">
        <v>1</v>
      </c>
    </row>
    <row r="109" spans="6:15" x14ac:dyDescent="0.2">
      <c r="L109">
        <v>6</v>
      </c>
      <c r="O109">
        <v>1</v>
      </c>
    </row>
    <row r="110" spans="6:15" x14ac:dyDescent="0.2">
      <c r="L110">
        <v>24</v>
      </c>
      <c r="O110">
        <v>1</v>
      </c>
    </row>
    <row r="111" spans="6:15" x14ac:dyDescent="0.2">
      <c r="L111">
        <v>24</v>
      </c>
      <c r="O111">
        <v>1</v>
      </c>
    </row>
    <row r="112" spans="6:15" x14ac:dyDescent="0.2">
      <c r="L112">
        <v>24</v>
      </c>
      <c r="O112">
        <v>1</v>
      </c>
    </row>
    <row r="113" spans="12:15" x14ac:dyDescent="0.2">
      <c r="L113">
        <v>24</v>
      </c>
      <c r="O113">
        <v>1</v>
      </c>
    </row>
    <row r="114" spans="12:15" x14ac:dyDescent="0.2">
      <c r="L114">
        <v>24</v>
      </c>
      <c r="O114">
        <v>1</v>
      </c>
    </row>
    <row r="115" spans="12:15" x14ac:dyDescent="0.2">
      <c r="L115">
        <v>24</v>
      </c>
      <c r="O115">
        <v>1</v>
      </c>
    </row>
    <row r="116" spans="12:15" x14ac:dyDescent="0.2">
      <c r="L116">
        <v>24</v>
      </c>
      <c r="O116">
        <v>1</v>
      </c>
    </row>
    <row r="117" spans="12:15" x14ac:dyDescent="0.2">
      <c r="L117">
        <v>24</v>
      </c>
      <c r="O117">
        <v>1</v>
      </c>
    </row>
    <row r="118" spans="12:15" x14ac:dyDescent="0.2">
      <c r="L118">
        <v>24</v>
      </c>
      <c r="O118">
        <v>1</v>
      </c>
    </row>
    <row r="119" spans="12:15" x14ac:dyDescent="0.2">
      <c r="L119">
        <v>24</v>
      </c>
      <c r="O119">
        <v>1</v>
      </c>
    </row>
    <row r="120" spans="12:15" x14ac:dyDescent="0.2">
      <c r="L120">
        <v>24</v>
      </c>
      <c r="O120">
        <v>1</v>
      </c>
    </row>
    <row r="121" spans="12:15" x14ac:dyDescent="0.2">
      <c r="L121">
        <v>24</v>
      </c>
      <c r="O121">
        <v>1</v>
      </c>
    </row>
    <row r="122" spans="12:15" x14ac:dyDescent="0.2">
      <c r="L122">
        <v>24</v>
      </c>
      <c r="O122">
        <v>1</v>
      </c>
    </row>
    <row r="123" spans="12:15" x14ac:dyDescent="0.2">
      <c r="L123">
        <v>24</v>
      </c>
      <c r="O123">
        <v>1</v>
      </c>
    </row>
    <row r="124" spans="12:15" x14ac:dyDescent="0.2">
      <c r="L124">
        <v>24</v>
      </c>
      <c r="O124">
        <v>1</v>
      </c>
    </row>
    <row r="125" spans="12:15" x14ac:dyDescent="0.2">
      <c r="L125">
        <v>24</v>
      </c>
      <c r="O125">
        <v>1</v>
      </c>
    </row>
    <row r="126" spans="12:15" x14ac:dyDescent="0.2">
      <c r="L126">
        <v>24</v>
      </c>
      <c r="O126">
        <v>1</v>
      </c>
    </row>
    <row r="127" spans="12:15" x14ac:dyDescent="0.2">
      <c r="L127">
        <v>24</v>
      </c>
      <c r="O127">
        <v>1</v>
      </c>
    </row>
    <row r="128" spans="12:15" x14ac:dyDescent="0.2">
      <c r="L128">
        <v>24</v>
      </c>
      <c r="O128">
        <v>1</v>
      </c>
    </row>
    <row r="129" spans="12:15" x14ac:dyDescent="0.2">
      <c r="L129">
        <v>24</v>
      </c>
      <c r="O129">
        <v>1</v>
      </c>
    </row>
    <row r="130" spans="12:15" x14ac:dyDescent="0.2">
      <c r="L130">
        <v>24</v>
      </c>
      <c r="O130">
        <v>1</v>
      </c>
    </row>
    <row r="131" spans="12:15" x14ac:dyDescent="0.2">
      <c r="L131">
        <v>24</v>
      </c>
      <c r="O131">
        <v>1</v>
      </c>
    </row>
    <row r="132" spans="12:15" x14ac:dyDescent="0.2">
      <c r="L132">
        <v>24</v>
      </c>
      <c r="O132">
        <v>1</v>
      </c>
    </row>
    <row r="133" spans="12:15" x14ac:dyDescent="0.2">
      <c r="L133">
        <v>24</v>
      </c>
      <c r="O133">
        <v>1</v>
      </c>
    </row>
    <row r="134" spans="12:15" x14ac:dyDescent="0.2">
      <c r="L134">
        <v>24</v>
      </c>
      <c r="O134">
        <v>1</v>
      </c>
    </row>
    <row r="135" spans="12:15" x14ac:dyDescent="0.2">
      <c r="L135">
        <v>24</v>
      </c>
      <c r="O135">
        <v>1</v>
      </c>
    </row>
    <row r="136" spans="12:15" x14ac:dyDescent="0.2">
      <c r="L136">
        <v>24</v>
      </c>
      <c r="O136">
        <v>1</v>
      </c>
    </row>
    <row r="137" spans="12:15" x14ac:dyDescent="0.2">
      <c r="L137">
        <v>48</v>
      </c>
      <c r="O137">
        <v>1</v>
      </c>
    </row>
    <row r="138" spans="12:15" x14ac:dyDescent="0.2">
      <c r="L138">
        <v>48</v>
      </c>
      <c r="O138">
        <v>1</v>
      </c>
    </row>
    <row r="139" spans="12:15" x14ac:dyDescent="0.2">
      <c r="L139">
        <v>48</v>
      </c>
      <c r="O139">
        <v>1</v>
      </c>
    </row>
    <row r="140" spans="12:15" x14ac:dyDescent="0.2">
      <c r="L140">
        <v>48</v>
      </c>
      <c r="O140">
        <v>1</v>
      </c>
    </row>
    <row r="141" spans="12:15" x14ac:dyDescent="0.2">
      <c r="L141">
        <v>48</v>
      </c>
      <c r="O141">
        <v>1</v>
      </c>
    </row>
    <row r="142" spans="12:15" x14ac:dyDescent="0.2">
      <c r="L142">
        <v>48</v>
      </c>
      <c r="O142">
        <v>1</v>
      </c>
    </row>
    <row r="143" spans="12:15" x14ac:dyDescent="0.2">
      <c r="L143">
        <v>72</v>
      </c>
      <c r="O143">
        <v>1</v>
      </c>
    </row>
    <row r="144" spans="12:15" x14ac:dyDescent="0.2">
      <c r="L144">
        <v>72</v>
      </c>
      <c r="O144">
        <v>1</v>
      </c>
    </row>
    <row r="145" spans="12:16" x14ac:dyDescent="0.2">
      <c r="L145">
        <v>72</v>
      </c>
      <c r="O145">
        <v>1</v>
      </c>
    </row>
    <row r="146" spans="12:16" x14ac:dyDescent="0.2">
      <c r="L146">
        <v>72</v>
      </c>
      <c r="O146">
        <v>1</v>
      </c>
    </row>
    <row r="147" spans="12:16" x14ac:dyDescent="0.2">
      <c r="L147">
        <v>72</v>
      </c>
      <c r="O147">
        <v>1</v>
      </c>
    </row>
    <row r="148" spans="12:16" x14ac:dyDescent="0.2">
      <c r="L148">
        <v>72</v>
      </c>
      <c r="O148">
        <v>1</v>
      </c>
    </row>
    <row r="149" spans="12:16" x14ac:dyDescent="0.2">
      <c r="L149">
        <v>96</v>
      </c>
      <c r="O149">
        <v>1</v>
      </c>
    </row>
    <row r="150" spans="12:16" x14ac:dyDescent="0.2">
      <c r="L150">
        <v>96</v>
      </c>
      <c r="O150">
        <v>1</v>
      </c>
    </row>
    <row r="151" spans="12:16" x14ac:dyDescent="0.2">
      <c r="L151">
        <v>96</v>
      </c>
      <c r="O151">
        <v>1</v>
      </c>
    </row>
    <row r="152" spans="12:16" x14ac:dyDescent="0.2">
      <c r="L152">
        <v>96</v>
      </c>
      <c r="O152">
        <v>1</v>
      </c>
    </row>
    <row r="153" spans="12:16" x14ac:dyDescent="0.2">
      <c r="L153">
        <v>96</v>
      </c>
      <c r="O153">
        <v>0</v>
      </c>
    </row>
    <row r="154" spans="12:16" x14ac:dyDescent="0.2">
      <c r="L154">
        <v>96</v>
      </c>
      <c r="O154">
        <v>0</v>
      </c>
    </row>
    <row r="155" spans="12:16" x14ac:dyDescent="0.2">
      <c r="L155">
        <v>96</v>
      </c>
      <c r="O155">
        <v>0</v>
      </c>
    </row>
    <row r="156" spans="12:16" x14ac:dyDescent="0.2">
      <c r="L156">
        <v>96</v>
      </c>
      <c r="O156">
        <v>0</v>
      </c>
    </row>
    <row r="157" spans="12:16" x14ac:dyDescent="0.2">
      <c r="L157">
        <v>96</v>
      </c>
      <c r="O157">
        <v>0</v>
      </c>
    </row>
    <row r="158" spans="12:16" x14ac:dyDescent="0.2">
      <c r="L158">
        <v>96</v>
      </c>
      <c r="O158">
        <v>0</v>
      </c>
    </row>
    <row r="159" spans="12:16" x14ac:dyDescent="0.2">
      <c r="L159">
        <v>96</v>
      </c>
      <c r="O159">
        <v>0</v>
      </c>
    </row>
    <row r="160" spans="12:16" x14ac:dyDescent="0.2">
      <c r="L160">
        <v>6</v>
      </c>
      <c r="P160">
        <v>1</v>
      </c>
    </row>
    <row r="161" spans="7:16" x14ac:dyDescent="0.2">
      <c r="L161">
        <v>6</v>
      </c>
      <c r="P161">
        <v>1</v>
      </c>
    </row>
    <row r="162" spans="7:16" x14ac:dyDescent="0.2">
      <c r="L162">
        <v>6</v>
      </c>
      <c r="P162">
        <v>1</v>
      </c>
    </row>
    <row r="163" spans="7:16" x14ac:dyDescent="0.2">
      <c r="G163" s="9"/>
      <c r="L163">
        <v>6</v>
      </c>
      <c r="P163">
        <v>1</v>
      </c>
    </row>
    <row r="164" spans="7:16" x14ac:dyDescent="0.2">
      <c r="L164">
        <v>6</v>
      </c>
      <c r="P164">
        <v>1</v>
      </c>
    </row>
    <row r="165" spans="7:16" x14ac:dyDescent="0.2">
      <c r="L165">
        <v>6</v>
      </c>
      <c r="P165">
        <v>1</v>
      </c>
    </row>
    <row r="166" spans="7:16" x14ac:dyDescent="0.2">
      <c r="L166">
        <v>6</v>
      </c>
      <c r="P166">
        <v>1</v>
      </c>
    </row>
    <row r="167" spans="7:16" x14ac:dyDescent="0.2">
      <c r="L167">
        <v>6</v>
      </c>
      <c r="P167">
        <v>1</v>
      </c>
    </row>
    <row r="168" spans="7:16" x14ac:dyDescent="0.2">
      <c r="L168">
        <v>6</v>
      </c>
      <c r="P168">
        <v>1</v>
      </c>
    </row>
    <row r="169" spans="7:16" x14ac:dyDescent="0.2">
      <c r="L169">
        <v>6</v>
      </c>
      <c r="P169">
        <v>1</v>
      </c>
    </row>
    <row r="170" spans="7:16" x14ac:dyDescent="0.2">
      <c r="L170">
        <v>6</v>
      </c>
      <c r="P170">
        <v>1</v>
      </c>
    </row>
    <row r="171" spans="7:16" x14ac:dyDescent="0.2">
      <c r="L171">
        <v>6</v>
      </c>
      <c r="P171">
        <v>1</v>
      </c>
    </row>
    <row r="172" spans="7:16" x14ac:dyDescent="0.2">
      <c r="L172">
        <v>6</v>
      </c>
      <c r="P172">
        <v>1</v>
      </c>
    </row>
    <row r="173" spans="7:16" x14ac:dyDescent="0.2">
      <c r="L173">
        <v>6</v>
      </c>
      <c r="P173">
        <v>1</v>
      </c>
    </row>
    <row r="174" spans="7:16" x14ac:dyDescent="0.2">
      <c r="L174">
        <v>24</v>
      </c>
      <c r="P174">
        <v>1</v>
      </c>
    </row>
    <row r="175" spans="7:16" x14ac:dyDescent="0.2">
      <c r="L175">
        <v>24</v>
      </c>
      <c r="P175">
        <v>1</v>
      </c>
    </row>
    <row r="176" spans="7:16" x14ac:dyDescent="0.2">
      <c r="L176">
        <v>24</v>
      </c>
      <c r="P176">
        <v>1</v>
      </c>
    </row>
    <row r="177" spans="12:16" x14ac:dyDescent="0.2">
      <c r="L177">
        <v>24</v>
      </c>
      <c r="P177">
        <v>1</v>
      </c>
    </row>
    <row r="178" spans="12:16" x14ac:dyDescent="0.2">
      <c r="L178">
        <v>24</v>
      </c>
      <c r="P178">
        <v>1</v>
      </c>
    </row>
    <row r="179" spans="12:16" x14ac:dyDescent="0.2">
      <c r="L179">
        <v>24</v>
      </c>
      <c r="P179">
        <v>1</v>
      </c>
    </row>
    <row r="180" spans="12:16" x14ac:dyDescent="0.2">
      <c r="L180">
        <v>24</v>
      </c>
      <c r="P180">
        <v>1</v>
      </c>
    </row>
    <row r="181" spans="12:16" x14ac:dyDescent="0.2">
      <c r="L181">
        <v>24</v>
      </c>
      <c r="P181">
        <v>1</v>
      </c>
    </row>
    <row r="182" spans="12:16" x14ac:dyDescent="0.2">
      <c r="L182">
        <v>24</v>
      </c>
      <c r="P182">
        <v>1</v>
      </c>
    </row>
    <row r="183" spans="12:16" x14ac:dyDescent="0.2">
      <c r="L183">
        <v>24</v>
      </c>
      <c r="P183">
        <v>1</v>
      </c>
    </row>
    <row r="184" spans="12:16" x14ac:dyDescent="0.2">
      <c r="L184">
        <v>24</v>
      </c>
      <c r="P184">
        <v>1</v>
      </c>
    </row>
    <row r="185" spans="12:16" x14ac:dyDescent="0.2">
      <c r="L185">
        <v>24</v>
      </c>
      <c r="P185">
        <v>1</v>
      </c>
    </row>
    <row r="186" spans="12:16" x14ac:dyDescent="0.2">
      <c r="L186">
        <v>24</v>
      </c>
      <c r="P186">
        <v>1</v>
      </c>
    </row>
    <row r="187" spans="12:16" x14ac:dyDescent="0.2">
      <c r="L187">
        <v>24</v>
      </c>
      <c r="P187">
        <v>1</v>
      </c>
    </row>
    <row r="188" spans="12:16" x14ac:dyDescent="0.2">
      <c r="L188">
        <v>24</v>
      </c>
      <c r="P188">
        <v>1</v>
      </c>
    </row>
    <row r="189" spans="12:16" x14ac:dyDescent="0.2">
      <c r="L189">
        <v>24</v>
      </c>
      <c r="P189">
        <v>1</v>
      </c>
    </row>
    <row r="190" spans="12:16" x14ac:dyDescent="0.2">
      <c r="L190">
        <v>24</v>
      </c>
      <c r="P190">
        <v>1</v>
      </c>
    </row>
    <row r="191" spans="12:16" x14ac:dyDescent="0.2">
      <c r="L191">
        <v>24</v>
      </c>
      <c r="P191">
        <v>1</v>
      </c>
    </row>
    <row r="192" spans="12:16" x14ac:dyDescent="0.2">
      <c r="L192">
        <v>24</v>
      </c>
      <c r="P192">
        <v>1</v>
      </c>
    </row>
    <row r="193" spans="12:16" x14ac:dyDescent="0.2">
      <c r="L193">
        <v>24</v>
      </c>
      <c r="P193">
        <v>1</v>
      </c>
    </row>
    <row r="194" spans="12:16" x14ac:dyDescent="0.2">
      <c r="L194">
        <v>24</v>
      </c>
      <c r="P194">
        <v>1</v>
      </c>
    </row>
    <row r="195" spans="12:16" x14ac:dyDescent="0.2">
      <c r="L195">
        <v>24</v>
      </c>
      <c r="P195">
        <v>1</v>
      </c>
    </row>
    <row r="196" spans="12:16" x14ac:dyDescent="0.2">
      <c r="L196">
        <v>24</v>
      </c>
      <c r="P196">
        <v>1</v>
      </c>
    </row>
    <row r="197" spans="12:16" x14ac:dyDescent="0.2">
      <c r="L197">
        <v>24</v>
      </c>
      <c r="P197">
        <v>1</v>
      </c>
    </row>
    <row r="198" spans="12:16" x14ac:dyDescent="0.2">
      <c r="L198">
        <v>24</v>
      </c>
      <c r="P198">
        <v>1</v>
      </c>
    </row>
    <row r="199" spans="12:16" x14ac:dyDescent="0.2">
      <c r="L199">
        <v>24</v>
      </c>
      <c r="P199">
        <v>1</v>
      </c>
    </row>
    <row r="200" spans="12:16" x14ac:dyDescent="0.2">
      <c r="L200">
        <v>24</v>
      </c>
      <c r="P200">
        <v>1</v>
      </c>
    </row>
    <row r="201" spans="12:16" x14ac:dyDescent="0.2">
      <c r="L201">
        <v>48</v>
      </c>
      <c r="P201">
        <v>1</v>
      </c>
    </row>
    <row r="202" spans="12:16" x14ac:dyDescent="0.2">
      <c r="L202">
        <v>48</v>
      </c>
      <c r="P202">
        <v>1</v>
      </c>
    </row>
    <row r="203" spans="12:16" x14ac:dyDescent="0.2">
      <c r="L203">
        <v>48</v>
      </c>
      <c r="P203">
        <v>1</v>
      </c>
    </row>
    <row r="204" spans="12:16" x14ac:dyDescent="0.2">
      <c r="L204">
        <v>48</v>
      </c>
      <c r="P204">
        <v>1</v>
      </c>
    </row>
    <row r="205" spans="12:16" x14ac:dyDescent="0.2">
      <c r="L205">
        <v>48</v>
      </c>
      <c r="P205">
        <v>1</v>
      </c>
    </row>
    <row r="206" spans="12:16" x14ac:dyDescent="0.2">
      <c r="L206">
        <v>48</v>
      </c>
      <c r="P206">
        <v>1</v>
      </c>
    </row>
    <row r="207" spans="12:16" x14ac:dyDescent="0.2">
      <c r="L207">
        <v>48</v>
      </c>
      <c r="P207">
        <v>1</v>
      </c>
    </row>
    <row r="208" spans="12:16" x14ac:dyDescent="0.2">
      <c r="L208">
        <v>48</v>
      </c>
      <c r="P208">
        <v>1</v>
      </c>
    </row>
    <row r="209" spans="6:17" x14ac:dyDescent="0.2">
      <c r="L209">
        <v>72</v>
      </c>
      <c r="P209">
        <v>1</v>
      </c>
    </row>
    <row r="210" spans="6:17" x14ac:dyDescent="0.2">
      <c r="L210">
        <v>72</v>
      </c>
      <c r="P210">
        <v>1</v>
      </c>
    </row>
    <row r="211" spans="6:17" x14ac:dyDescent="0.2">
      <c r="L211">
        <v>72</v>
      </c>
      <c r="P211">
        <v>1</v>
      </c>
    </row>
    <row r="212" spans="6:17" x14ac:dyDescent="0.2">
      <c r="L212">
        <v>72</v>
      </c>
      <c r="P212">
        <v>1</v>
      </c>
    </row>
    <row r="213" spans="6:17" x14ac:dyDescent="0.2">
      <c r="L213">
        <v>96</v>
      </c>
      <c r="P213">
        <v>1</v>
      </c>
    </row>
    <row r="214" spans="6:17" x14ac:dyDescent="0.2">
      <c r="L214">
        <v>96</v>
      </c>
      <c r="P214">
        <v>1</v>
      </c>
    </row>
    <row r="215" spans="6:17" x14ac:dyDescent="0.2">
      <c r="L215">
        <v>96</v>
      </c>
      <c r="P215">
        <v>1</v>
      </c>
    </row>
    <row r="216" spans="6:17" x14ac:dyDescent="0.2">
      <c r="L216">
        <v>6</v>
      </c>
      <c r="Q216">
        <v>1</v>
      </c>
    </row>
    <row r="217" spans="6:17" x14ac:dyDescent="0.2">
      <c r="F217" s="9"/>
      <c r="L217">
        <v>6</v>
      </c>
      <c r="Q217">
        <v>1</v>
      </c>
    </row>
    <row r="218" spans="6:17" x14ac:dyDescent="0.2">
      <c r="F218" s="9"/>
      <c r="L218">
        <v>6</v>
      </c>
      <c r="Q218">
        <v>1</v>
      </c>
    </row>
    <row r="219" spans="6:17" x14ac:dyDescent="0.2">
      <c r="F219" s="9"/>
      <c r="L219">
        <v>6</v>
      </c>
      <c r="Q219">
        <v>1</v>
      </c>
    </row>
    <row r="220" spans="6:17" x14ac:dyDescent="0.2">
      <c r="F220" s="9"/>
      <c r="L220">
        <v>6</v>
      </c>
      <c r="Q220">
        <v>1</v>
      </c>
    </row>
    <row r="221" spans="6:17" x14ac:dyDescent="0.2">
      <c r="F221" s="9"/>
      <c r="L221">
        <v>6</v>
      </c>
      <c r="Q221">
        <v>1</v>
      </c>
    </row>
    <row r="222" spans="6:17" x14ac:dyDescent="0.2">
      <c r="L222">
        <v>6</v>
      </c>
      <c r="Q222">
        <v>1</v>
      </c>
    </row>
    <row r="223" spans="6:17" x14ac:dyDescent="0.2">
      <c r="L223">
        <v>6</v>
      </c>
      <c r="Q223">
        <v>1</v>
      </c>
    </row>
    <row r="224" spans="6:17" x14ac:dyDescent="0.2">
      <c r="L224">
        <v>6</v>
      </c>
      <c r="Q224">
        <v>1</v>
      </c>
    </row>
    <row r="225" spans="12:17" x14ac:dyDescent="0.2">
      <c r="L225">
        <v>6</v>
      </c>
      <c r="Q225">
        <v>1</v>
      </c>
    </row>
    <row r="226" spans="12:17" x14ac:dyDescent="0.2">
      <c r="L226">
        <v>6</v>
      </c>
      <c r="Q226">
        <v>1</v>
      </c>
    </row>
    <row r="227" spans="12:17" x14ac:dyDescent="0.2">
      <c r="L227">
        <v>24</v>
      </c>
      <c r="Q227">
        <v>1</v>
      </c>
    </row>
    <row r="228" spans="12:17" x14ac:dyDescent="0.2">
      <c r="L228">
        <v>24</v>
      </c>
      <c r="Q228">
        <v>1</v>
      </c>
    </row>
    <row r="229" spans="12:17" x14ac:dyDescent="0.2">
      <c r="L229">
        <v>24</v>
      </c>
      <c r="Q229">
        <v>1</v>
      </c>
    </row>
    <row r="230" spans="12:17" x14ac:dyDescent="0.2">
      <c r="L230">
        <v>24</v>
      </c>
      <c r="Q230">
        <v>1</v>
      </c>
    </row>
    <row r="231" spans="12:17" x14ac:dyDescent="0.2">
      <c r="L231">
        <v>24</v>
      </c>
      <c r="Q231">
        <v>1</v>
      </c>
    </row>
    <row r="232" spans="12:17" x14ac:dyDescent="0.2">
      <c r="L232">
        <v>24</v>
      </c>
      <c r="Q232">
        <v>1</v>
      </c>
    </row>
    <row r="233" spans="12:17" x14ac:dyDescent="0.2">
      <c r="L233">
        <v>48</v>
      </c>
      <c r="Q233">
        <v>1</v>
      </c>
    </row>
    <row r="234" spans="12:17" x14ac:dyDescent="0.2">
      <c r="L234">
        <v>48</v>
      </c>
      <c r="Q234">
        <v>1</v>
      </c>
    </row>
    <row r="235" spans="12:17" x14ac:dyDescent="0.2">
      <c r="L235">
        <v>72</v>
      </c>
      <c r="Q235">
        <v>1</v>
      </c>
    </row>
    <row r="236" spans="12:17" x14ac:dyDescent="0.2">
      <c r="L236">
        <v>72</v>
      </c>
      <c r="Q236">
        <v>1</v>
      </c>
    </row>
    <row r="237" spans="12:17" x14ac:dyDescent="0.2">
      <c r="L237">
        <v>72</v>
      </c>
      <c r="Q237">
        <v>1</v>
      </c>
    </row>
    <row r="238" spans="12:17" x14ac:dyDescent="0.2">
      <c r="L238">
        <v>72</v>
      </c>
      <c r="Q238">
        <v>1</v>
      </c>
    </row>
    <row r="239" spans="12:17" x14ac:dyDescent="0.2">
      <c r="L239">
        <v>96</v>
      </c>
      <c r="Q239">
        <v>1</v>
      </c>
    </row>
    <row r="240" spans="12:17" x14ac:dyDescent="0.2">
      <c r="L240">
        <v>96</v>
      </c>
      <c r="Q240">
        <v>0</v>
      </c>
    </row>
    <row r="241" spans="12:18" x14ac:dyDescent="0.2">
      <c r="L241">
        <v>96</v>
      </c>
      <c r="Q241">
        <v>0</v>
      </c>
    </row>
    <row r="242" spans="12:18" x14ac:dyDescent="0.2">
      <c r="L242" s="34">
        <v>24</v>
      </c>
      <c r="R242" s="34">
        <v>1</v>
      </c>
    </row>
    <row r="243" spans="12:18" x14ac:dyDescent="0.2">
      <c r="L243" s="34">
        <v>24</v>
      </c>
      <c r="R243" s="34">
        <v>1</v>
      </c>
    </row>
    <row r="244" spans="12:18" x14ac:dyDescent="0.2">
      <c r="L244" s="34">
        <v>24</v>
      </c>
      <c r="R244" s="34">
        <v>1</v>
      </c>
    </row>
    <row r="245" spans="12:18" x14ac:dyDescent="0.2">
      <c r="L245" s="34">
        <v>24</v>
      </c>
      <c r="R245" s="34">
        <v>1</v>
      </c>
    </row>
    <row r="246" spans="12:18" x14ac:dyDescent="0.2">
      <c r="L246" s="34">
        <v>24</v>
      </c>
      <c r="R246" s="34">
        <v>1</v>
      </c>
    </row>
    <row r="247" spans="12:18" x14ac:dyDescent="0.2">
      <c r="L247" s="34">
        <v>24</v>
      </c>
      <c r="R247" s="34">
        <v>1</v>
      </c>
    </row>
    <row r="248" spans="12:18" x14ac:dyDescent="0.2">
      <c r="L248" s="34">
        <v>24</v>
      </c>
      <c r="R248" s="34">
        <v>1</v>
      </c>
    </row>
    <row r="249" spans="12:18" x14ac:dyDescent="0.2">
      <c r="L249" s="34">
        <v>24</v>
      </c>
      <c r="R249" s="34">
        <v>1</v>
      </c>
    </row>
    <row r="250" spans="12:18" x14ac:dyDescent="0.2">
      <c r="L250" s="34">
        <v>24</v>
      </c>
      <c r="R250" s="34">
        <v>1</v>
      </c>
    </row>
    <row r="251" spans="12:18" x14ac:dyDescent="0.2">
      <c r="L251" s="34">
        <v>24</v>
      </c>
      <c r="R251" s="34">
        <v>1</v>
      </c>
    </row>
    <row r="252" spans="12:18" x14ac:dyDescent="0.2">
      <c r="L252" s="34">
        <v>24</v>
      </c>
      <c r="R252" s="34">
        <v>1</v>
      </c>
    </row>
    <row r="253" spans="12:18" x14ac:dyDescent="0.2">
      <c r="L253" s="34">
        <v>24</v>
      </c>
      <c r="R253" s="34">
        <v>1</v>
      </c>
    </row>
    <row r="254" spans="12:18" x14ac:dyDescent="0.2">
      <c r="L254" s="34">
        <v>24</v>
      </c>
      <c r="R254" s="34">
        <v>1</v>
      </c>
    </row>
    <row r="255" spans="12:18" x14ac:dyDescent="0.2">
      <c r="L255" s="34">
        <v>24</v>
      </c>
      <c r="R255" s="34">
        <v>1</v>
      </c>
    </row>
    <row r="256" spans="12:18" x14ac:dyDescent="0.2">
      <c r="L256" s="34">
        <v>24</v>
      </c>
      <c r="R256" s="34">
        <v>1</v>
      </c>
    </row>
    <row r="257" spans="12:18" x14ac:dyDescent="0.2">
      <c r="L257" s="34">
        <v>24</v>
      </c>
      <c r="R257" s="34">
        <v>1</v>
      </c>
    </row>
    <row r="258" spans="12:18" x14ac:dyDescent="0.2">
      <c r="L258" s="34">
        <v>24</v>
      </c>
      <c r="R258" s="34">
        <v>1</v>
      </c>
    </row>
    <row r="259" spans="12:18" x14ac:dyDescent="0.2">
      <c r="L259" s="34">
        <v>24</v>
      </c>
      <c r="R259" s="34">
        <v>1</v>
      </c>
    </row>
    <row r="260" spans="12:18" x14ac:dyDescent="0.2">
      <c r="L260" s="34">
        <v>48</v>
      </c>
      <c r="R260" s="34">
        <v>1</v>
      </c>
    </row>
    <row r="261" spans="12:18" x14ac:dyDescent="0.2">
      <c r="L261" s="34">
        <v>48</v>
      </c>
      <c r="R261" s="34">
        <v>1</v>
      </c>
    </row>
    <row r="262" spans="12:18" x14ac:dyDescent="0.2">
      <c r="L262" s="34">
        <v>48</v>
      </c>
      <c r="R262" s="34">
        <v>1</v>
      </c>
    </row>
    <row r="263" spans="12:18" x14ac:dyDescent="0.2">
      <c r="L263" s="34">
        <v>48</v>
      </c>
      <c r="R263" s="34">
        <v>1</v>
      </c>
    </row>
    <row r="264" spans="12:18" x14ac:dyDescent="0.2">
      <c r="L264" s="34">
        <v>48</v>
      </c>
      <c r="R264" s="34">
        <v>1</v>
      </c>
    </row>
    <row r="265" spans="12:18" x14ac:dyDescent="0.2">
      <c r="L265" s="34">
        <v>48</v>
      </c>
      <c r="R265" s="34">
        <v>1</v>
      </c>
    </row>
    <row r="266" spans="12:18" x14ac:dyDescent="0.2">
      <c r="L266" s="34">
        <v>48</v>
      </c>
      <c r="R266" s="34">
        <v>1</v>
      </c>
    </row>
    <row r="267" spans="12:18" x14ac:dyDescent="0.2">
      <c r="L267" s="34">
        <v>48</v>
      </c>
      <c r="R267" s="34">
        <v>1</v>
      </c>
    </row>
    <row r="268" spans="12:18" x14ac:dyDescent="0.2">
      <c r="L268" s="34">
        <v>48</v>
      </c>
      <c r="R268" s="34">
        <v>1</v>
      </c>
    </row>
    <row r="269" spans="12:18" x14ac:dyDescent="0.2">
      <c r="L269" s="34">
        <v>48</v>
      </c>
      <c r="R269" s="34">
        <v>1</v>
      </c>
    </row>
    <row r="270" spans="12:18" x14ac:dyDescent="0.2">
      <c r="L270" s="34">
        <v>48</v>
      </c>
      <c r="R270" s="34">
        <v>1</v>
      </c>
    </row>
    <row r="271" spans="12:18" x14ac:dyDescent="0.2">
      <c r="L271" s="34">
        <v>48</v>
      </c>
      <c r="R271" s="34">
        <v>1</v>
      </c>
    </row>
    <row r="272" spans="12:18" x14ac:dyDescent="0.2">
      <c r="L272" s="34">
        <v>48</v>
      </c>
      <c r="R272" s="34">
        <v>1</v>
      </c>
    </row>
    <row r="273" spans="12:18" x14ac:dyDescent="0.2">
      <c r="L273" s="34">
        <v>48</v>
      </c>
      <c r="R273" s="34">
        <v>1</v>
      </c>
    </row>
    <row r="274" spans="12:18" x14ac:dyDescent="0.2">
      <c r="L274" s="34">
        <v>48</v>
      </c>
      <c r="R274" s="34">
        <v>1</v>
      </c>
    </row>
    <row r="275" spans="12:18" x14ac:dyDescent="0.2">
      <c r="L275" s="34">
        <v>48</v>
      </c>
      <c r="R275" s="34">
        <v>1</v>
      </c>
    </row>
    <row r="276" spans="12:18" x14ac:dyDescent="0.2">
      <c r="L276" s="34">
        <v>72</v>
      </c>
      <c r="R276" s="34">
        <v>1</v>
      </c>
    </row>
    <row r="277" spans="12:18" x14ac:dyDescent="0.2">
      <c r="L277" s="34">
        <v>72</v>
      </c>
      <c r="R277" s="34">
        <v>1</v>
      </c>
    </row>
    <row r="278" spans="12:18" x14ac:dyDescent="0.2">
      <c r="L278" s="34">
        <v>72</v>
      </c>
      <c r="R278" s="34">
        <v>1</v>
      </c>
    </row>
    <row r="279" spans="12:18" x14ac:dyDescent="0.2">
      <c r="L279" s="34">
        <v>72</v>
      </c>
      <c r="R279" s="34">
        <v>1</v>
      </c>
    </row>
    <row r="280" spans="12:18" x14ac:dyDescent="0.2">
      <c r="L280" s="34">
        <v>72</v>
      </c>
      <c r="R280" s="34">
        <v>1</v>
      </c>
    </row>
    <row r="281" spans="12:18" x14ac:dyDescent="0.2">
      <c r="L281" s="34">
        <v>72</v>
      </c>
      <c r="R281" s="34">
        <v>1</v>
      </c>
    </row>
    <row r="282" spans="12:18" x14ac:dyDescent="0.2">
      <c r="L282" s="34">
        <v>72</v>
      </c>
      <c r="R282" s="34">
        <v>1</v>
      </c>
    </row>
    <row r="283" spans="12:18" x14ac:dyDescent="0.2">
      <c r="L283" s="34">
        <v>72</v>
      </c>
      <c r="R283" s="34">
        <v>1</v>
      </c>
    </row>
    <row r="284" spans="12:18" x14ac:dyDescent="0.2">
      <c r="L284" s="34">
        <v>96</v>
      </c>
      <c r="R284" s="34">
        <v>0</v>
      </c>
    </row>
    <row r="285" spans="12:18" x14ac:dyDescent="0.2">
      <c r="L285" s="34">
        <v>96</v>
      </c>
      <c r="R285" s="34">
        <v>0</v>
      </c>
    </row>
    <row r="286" spans="12:18" x14ac:dyDescent="0.2">
      <c r="L286" s="34">
        <v>96</v>
      </c>
      <c r="R286" s="34">
        <v>0</v>
      </c>
    </row>
    <row r="287" spans="12:18" x14ac:dyDescent="0.2">
      <c r="L287" s="34">
        <v>96</v>
      </c>
      <c r="R287" s="34">
        <v>0</v>
      </c>
    </row>
    <row r="288" spans="12:18" x14ac:dyDescent="0.2">
      <c r="L288" s="34">
        <v>96</v>
      </c>
      <c r="R288" s="34">
        <v>0</v>
      </c>
    </row>
    <row r="289" spans="12:18" x14ac:dyDescent="0.2">
      <c r="L289" s="34">
        <v>96</v>
      </c>
      <c r="R289" s="34">
        <v>0</v>
      </c>
    </row>
    <row r="290" spans="12:18" x14ac:dyDescent="0.2">
      <c r="L290" s="34">
        <v>96</v>
      </c>
      <c r="R290" s="34">
        <v>0</v>
      </c>
    </row>
    <row r="291" spans="12:18" x14ac:dyDescent="0.2">
      <c r="L291" s="34">
        <v>96</v>
      </c>
      <c r="R291" s="34">
        <v>0</v>
      </c>
    </row>
    <row r="292" spans="12:18" x14ac:dyDescent="0.2">
      <c r="L292" s="34">
        <v>96</v>
      </c>
      <c r="R292" s="34">
        <v>0</v>
      </c>
    </row>
    <row r="293" spans="12:18" x14ac:dyDescent="0.2">
      <c r="L293" s="34">
        <v>96</v>
      </c>
      <c r="R293" s="34">
        <v>0</v>
      </c>
    </row>
    <row r="294" spans="12:18" x14ac:dyDescent="0.2">
      <c r="L294" s="34">
        <v>96</v>
      </c>
      <c r="R294" s="34">
        <v>0</v>
      </c>
    </row>
    <row r="295" spans="12:18" x14ac:dyDescent="0.2">
      <c r="L295" s="34">
        <v>96</v>
      </c>
      <c r="R295" s="34">
        <v>0</v>
      </c>
    </row>
    <row r="296" spans="12:18" x14ac:dyDescent="0.2">
      <c r="L296" s="34">
        <v>96</v>
      </c>
      <c r="R296" s="34">
        <v>0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Monoinoculation</vt:lpstr>
      <vt:lpstr>Competition in vivo</vt:lpstr>
      <vt:lpstr>Series competition in vivo</vt:lpstr>
      <vt:lpstr>Competition in vitro</vt:lpstr>
      <vt:lpstr>Survival of monoinoculation</vt:lpstr>
      <vt:lpstr>Survival of combinations</vt:lpstr>
      <vt:lpstr>Survival of series competition </vt:lpstr>
    </vt:vector>
  </TitlesOfParts>
  <Company>Leiden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Wang</dc:creator>
  <cp:lastModifiedBy>Daniel Rozen</cp:lastModifiedBy>
  <dcterms:created xsi:type="dcterms:W3CDTF">2017-03-18T18:55:26Z</dcterms:created>
  <dcterms:modified xsi:type="dcterms:W3CDTF">2017-03-27T11:27:02Z</dcterms:modified>
</cp:coreProperties>
</file>