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etbouman/Desktop/Tuli thesis/"/>
    </mc:Choice>
  </mc:AlternateContent>
  <xr:revisionPtr revIDLastSave="0" documentId="8_{DB4746BE-87E4-A442-8834-E36BE86C97A9}" xr6:coauthVersionLast="47" xr6:coauthVersionMax="47" xr10:uidLastSave="{00000000-0000-0000-0000-000000000000}"/>
  <bookViews>
    <workbookView xWindow="0" yWindow="0" windowWidth="25480" windowHeight="28800" firstSheet="6" activeTab="6" xr2:uid="{E8150BDE-4B29-4E5C-8598-89A4DAAA4FE2}"/>
  </bookViews>
  <sheets>
    <sheet name="All data" sheetId="1" r:id="rId1"/>
    <sheet name="Leopard" sheetId="3" r:id="rId2"/>
    <sheet name="Spotted Hyena" sheetId="4" r:id="rId3"/>
    <sheet name="Brown Hyena" sheetId="6" r:id="rId4"/>
    <sheet name="Wild dog" sheetId="7" r:id="rId5"/>
    <sheet name="Overview" sheetId="2" r:id="rId6"/>
    <sheet name="Jacobs Index" sheetId="9" r:id="rId7"/>
    <sheet name="Levin + Pianka" sheetId="8" r:id="rId8"/>
  </sheets>
  <definedNames>
    <definedName name="_xlnm._FilterDatabase" localSheetId="0" hidden="1">'All data'!$A$1:$Q$229</definedName>
    <definedName name="_xlnm._FilterDatabase" localSheetId="3" hidden="1">'Brown Hyena'!$A$17:$I$91</definedName>
    <definedName name="_xlnm._FilterDatabase" localSheetId="1" hidden="1">Leopard!$A$16:$J$74</definedName>
    <definedName name="_xlnm._FilterDatabase" localSheetId="2" hidden="1">'Spotted Hyena'!$A$18:$J$78</definedName>
    <definedName name="_xlnm._FilterDatabase" localSheetId="4" hidden="1">'Wild dog'!$A$12:$K$39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2" l="1"/>
  <c r="X38" i="8"/>
  <c r="X39" i="8"/>
  <c r="X40" i="8"/>
  <c r="X37" i="8"/>
  <c r="H85" i="2"/>
  <c r="N29" i="2"/>
  <c r="G29" i="2"/>
  <c r="F29" i="2"/>
  <c r="G30" i="2"/>
  <c r="O29" i="2"/>
  <c r="P29" i="2"/>
  <c r="K30" i="2"/>
  <c r="K29" i="2"/>
  <c r="M32" i="2"/>
  <c r="M31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N2" i="2"/>
  <c r="J22" i="2"/>
  <c r="M29" i="2" s="1"/>
  <c r="J82" i="2"/>
  <c r="Q81" i="2" s="1"/>
  <c r="I82" i="2"/>
  <c r="P81" i="2" s="1"/>
  <c r="J72" i="2"/>
  <c r="Q71" i="2" s="1"/>
  <c r="I72" i="2"/>
  <c r="P69" i="2" s="1"/>
  <c r="J57" i="2"/>
  <c r="Q54" i="2" s="1"/>
  <c r="I57" i="2"/>
  <c r="P56" i="2" s="1"/>
  <c r="J41" i="2"/>
  <c r="Q39" i="2" s="1"/>
  <c r="I41" i="2"/>
  <c r="P37" i="2" s="1"/>
  <c r="J25" i="2"/>
  <c r="M79" i="2" s="1"/>
  <c r="F22" i="2"/>
  <c r="M76" i="2" l="1"/>
  <c r="M80" i="2"/>
  <c r="M77" i="2"/>
  <c r="M81" i="2"/>
  <c r="M78" i="2"/>
  <c r="M35" i="2"/>
  <c r="M39" i="2"/>
  <c r="M36" i="2"/>
  <c r="M40" i="2"/>
  <c r="M33" i="2"/>
  <c r="M37" i="2"/>
  <c r="M30" i="2"/>
  <c r="M34" i="2"/>
  <c r="M38" i="2"/>
  <c r="P62" i="2"/>
  <c r="P53" i="2"/>
  <c r="P45" i="2"/>
  <c r="Q47" i="2"/>
  <c r="G47" i="2" s="1"/>
  <c r="P50" i="2"/>
  <c r="P49" i="2"/>
  <c r="P78" i="2"/>
  <c r="Q51" i="2"/>
  <c r="P79" i="2"/>
  <c r="P46" i="2"/>
  <c r="P54" i="2"/>
  <c r="Q55" i="2"/>
  <c r="P66" i="2"/>
  <c r="F66" i="2" s="1"/>
  <c r="P74" i="2"/>
  <c r="F74" i="2" s="1"/>
  <c r="Q74" i="2"/>
  <c r="G74" i="2" s="1"/>
  <c r="Q43" i="2"/>
  <c r="P70" i="2"/>
  <c r="P75" i="2"/>
  <c r="F75" i="2" s="1"/>
  <c r="Q78" i="2"/>
  <c r="Q60" i="2"/>
  <c r="G60" i="2" s="1"/>
  <c r="P43" i="2"/>
  <c r="P47" i="2"/>
  <c r="F47" i="2" s="1"/>
  <c r="P51" i="2"/>
  <c r="P55" i="2"/>
  <c r="Q44" i="2"/>
  <c r="G44" i="2" s="1"/>
  <c r="Q48" i="2"/>
  <c r="Q52" i="2"/>
  <c r="Q56" i="2"/>
  <c r="P59" i="2"/>
  <c r="F59" i="2" s="1"/>
  <c r="P63" i="2"/>
  <c r="P67" i="2"/>
  <c r="P71" i="2"/>
  <c r="Q61" i="2"/>
  <c r="Q65" i="2"/>
  <c r="Q69" i="2"/>
  <c r="P76" i="2"/>
  <c r="P80" i="2"/>
  <c r="Q75" i="2"/>
  <c r="Q79" i="2"/>
  <c r="Q64" i="2"/>
  <c r="Q68" i="2"/>
  <c r="P44" i="2"/>
  <c r="F44" i="2" s="1"/>
  <c r="P48" i="2"/>
  <c r="P52" i="2"/>
  <c r="Q45" i="2"/>
  <c r="Q49" i="2"/>
  <c r="Q53" i="2"/>
  <c r="P60" i="2"/>
  <c r="F60" i="2" s="1"/>
  <c r="P64" i="2"/>
  <c r="P68" i="2"/>
  <c r="Q62" i="2"/>
  <c r="Q66" i="2"/>
  <c r="G66" i="2" s="1"/>
  <c r="Q70" i="2"/>
  <c r="P77" i="2"/>
  <c r="Q76" i="2"/>
  <c r="Q80" i="2"/>
  <c r="Q46" i="2"/>
  <c r="Q50" i="2"/>
  <c r="P61" i="2"/>
  <c r="P65" i="2"/>
  <c r="Q59" i="2"/>
  <c r="G59" i="2" s="1"/>
  <c r="Q63" i="2"/>
  <c r="Q67" i="2"/>
  <c r="Q77" i="2"/>
  <c r="Q32" i="2"/>
  <c r="G32" i="2" s="1"/>
  <c r="Q37" i="2"/>
  <c r="Q40" i="2"/>
  <c r="Q29" i="2"/>
  <c r="Q33" i="2"/>
  <c r="Q36" i="2"/>
  <c r="Q30" i="2"/>
  <c r="Q34" i="2"/>
  <c r="Q38" i="2"/>
  <c r="Q31" i="2"/>
  <c r="G31" i="2" s="1"/>
  <c r="Q35" i="2"/>
  <c r="P30" i="2"/>
  <c r="P34" i="2"/>
  <c r="P38" i="2"/>
  <c r="P31" i="2"/>
  <c r="F31" i="2" s="1"/>
  <c r="P35" i="2"/>
  <c r="P40" i="2"/>
  <c r="P32" i="2"/>
  <c r="F32" i="2" s="1"/>
  <c r="P36" i="2"/>
  <c r="P39" i="2"/>
  <c r="P33" i="2"/>
  <c r="J23" i="2"/>
  <c r="J24" i="2"/>
  <c r="M54" i="2" l="1"/>
  <c r="M50" i="2"/>
  <c r="M53" i="2"/>
  <c r="M49" i="2"/>
  <c r="M56" i="2"/>
  <c r="M52" i="2"/>
  <c r="M48" i="2"/>
  <c r="M55" i="2"/>
  <c r="M51" i="2"/>
  <c r="M82" i="2"/>
  <c r="M41" i="2"/>
  <c r="M71" i="2"/>
  <c r="M67" i="2"/>
  <c r="M63" i="2"/>
  <c r="M70" i="2"/>
  <c r="M65" i="2"/>
  <c r="M61" i="2"/>
  <c r="M69" i="2"/>
  <c r="M64" i="2"/>
  <c r="M68" i="2"/>
  <c r="M62" i="2"/>
  <c r="M45" i="2"/>
  <c r="M43" i="2"/>
  <c r="P82" i="2"/>
  <c r="Q82" i="2"/>
  <c r="Q72" i="2"/>
  <c r="P72" i="2"/>
  <c r="P57" i="2"/>
  <c r="Q57" i="2"/>
  <c r="Q41" i="2"/>
  <c r="P41" i="2"/>
  <c r="M57" i="2" l="1"/>
  <c r="M72" i="2"/>
  <c r="W40" i="8"/>
  <c r="W39" i="8"/>
  <c r="W38" i="8"/>
  <c r="W37" i="8"/>
  <c r="V40" i="8"/>
  <c r="V39" i="8"/>
  <c r="V38" i="8"/>
  <c r="V37" i="8"/>
  <c r="U40" i="8"/>
  <c r="U39" i="8"/>
  <c r="U38" i="8"/>
  <c r="U37" i="8"/>
  <c r="AC13" i="8"/>
  <c r="AC12" i="8"/>
  <c r="AC11" i="8"/>
  <c r="AC10" i="8"/>
  <c r="AC9" i="8"/>
  <c r="AC8" i="8"/>
  <c r="AB13" i="8"/>
  <c r="AB12" i="8"/>
  <c r="AB11" i="8"/>
  <c r="AB10" i="8"/>
  <c r="AB9" i="8"/>
  <c r="AB8" i="8"/>
  <c r="AA13" i="8"/>
  <c r="AA12" i="8"/>
  <c r="AA11" i="8"/>
  <c r="AA10" i="8"/>
  <c r="AA9" i="8"/>
  <c r="AA8" i="8"/>
  <c r="R55" i="8"/>
  <c r="R74" i="8" s="1"/>
  <c r="R98" i="8" s="1"/>
  <c r="Q55" i="8"/>
  <c r="P55" i="8"/>
  <c r="P72" i="8" s="1"/>
  <c r="O55" i="8"/>
  <c r="L55" i="8"/>
  <c r="K55" i="8"/>
  <c r="J55" i="8"/>
  <c r="J73" i="8" s="1"/>
  <c r="I55" i="8"/>
  <c r="F55" i="8"/>
  <c r="E55" i="8"/>
  <c r="D55" i="8"/>
  <c r="D72" i="8" s="1"/>
  <c r="C55" i="8"/>
  <c r="H10" i="7"/>
  <c r="E10" i="7"/>
  <c r="P62" i="8" l="1"/>
  <c r="P86" i="8" s="1"/>
  <c r="P71" i="8"/>
  <c r="P95" i="8" s="1"/>
  <c r="D60" i="8"/>
  <c r="D84" i="8" s="1"/>
  <c r="J66" i="8"/>
  <c r="J90" i="8" s="1"/>
  <c r="J61" i="8"/>
  <c r="J85" i="8" s="1"/>
  <c r="D69" i="8"/>
  <c r="D93" i="8" s="1"/>
  <c r="P58" i="8"/>
  <c r="J64" i="8"/>
  <c r="J88" i="8" s="1"/>
  <c r="J74" i="8"/>
  <c r="J98" i="8" s="1"/>
  <c r="D58" i="8"/>
  <c r="J59" i="8"/>
  <c r="J83" i="8" s="1"/>
  <c r="P60" i="8"/>
  <c r="P84" i="8" s="1"/>
  <c r="D62" i="8"/>
  <c r="D86" i="8" s="1"/>
  <c r="J63" i="8"/>
  <c r="J87" i="8" s="1"/>
  <c r="D65" i="8"/>
  <c r="D89" i="8" s="1"/>
  <c r="P67" i="8"/>
  <c r="P91" i="8" s="1"/>
  <c r="J70" i="8"/>
  <c r="J94" i="8" s="1"/>
  <c r="D73" i="8"/>
  <c r="D97" i="8" s="1"/>
  <c r="J58" i="8"/>
  <c r="J82" i="8" s="1"/>
  <c r="P59" i="8"/>
  <c r="P83" i="8" s="1"/>
  <c r="D61" i="8"/>
  <c r="D85" i="8" s="1"/>
  <c r="J62" i="8"/>
  <c r="J86" i="8" s="1"/>
  <c r="P63" i="8"/>
  <c r="P87" i="8" s="1"/>
  <c r="P65" i="8"/>
  <c r="P89" i="8" s="1"/>
  <c r="J68" i="8"/>
  <c r="J92" i="8" s="1"/>
  <c r="D71" i="8"/>
  <c r="D95" i="8" s="1"/>
  <c r="P73" i="8"/>
  <c r="P97" i="8" s="1"/>
  <c r="D59" i="8"/>
  <c r="D83" i="8" s="1"/>
  <c r="J60" i="8"/>
  <c r="J84" i="8" s="1"/>
  <c r="P61" i="8"/>
  <c r="P85" i="8" s="1"/>
  <c r="D63" i="8"/>
  <c r="D87" i="8" s="1"/>
  <c r="P64" i="8"/>
  <c r="P88" i="8" s="1"/>
  <c r="D67" i="8"/>
  <c r="D91" i="8" s="1"/>
  <c r="P69" i="8"/>
  <c r="P93" i="8" s="1"/>
  <c r="J72" i="8"/>
  <c r="J96" i="8" s="1"/>
  <c r="D96" i="8"/>
  <c r="J97" i="8"/>
  <c r="P96" i="8"/>
  <c r="E77" i="8"/>
  <c r="E78" i="8"/>
  <c r="E76" i="8"/>
  <c r="E75" i="8"/>
  <c r="E74" i="8"/>
  <c r="E72" i="8"/>
  <c r="F21" i="8" s="1"/>
  <c r="E70" i="8"/>
  <c r="E68" i="8"/>
  <c r="E66" i="8"/>
  <c r="E64" i="8"/>
  <c r="E62" i="8"/>
  <c r="E60" i="8"/>
  <c r="E58" i="8"/>
  <c r="E71" i="8"/>
  <c r="E59" i="8"/>
  <c r="E73" i="8"/>
  <c r="E69" i="8"/>
  <c r="F18" i="8" s="1"/>
  <c r="E67" i="8"/>
  <c r="E65" i="8"/>
  <c r="E63" i="8"/>
  <c r="E61" i="8"/>
  <c r="K78" i="8"/>
  <c r="K75" i="8"/>
  <c r="K73" i="8"/>
  <c r="N22" i="8" s="1"/>
  <c r="K71" i="8"/>
  <c r="K69" i="8"/>
  <c r="K67" i="8"/>
  <c r="K65" i="8"/>
  <c r="K63" i="8"/>
  <c r="K61" i="8"/>
  <c r="K59" i="8"/>
  <c r="K62" i="8"/>
  <c r="K77" i="8"/>
  <c r="K70" i="8"/>
  <c r="K76" i="8"/>
  <c r="K74" i="8"/>
  <c r="K72" i="8"/>
  <c r="N21" i="8" s="1"/>
  <c r="K68" i="8"/>
  <c r="K66" i="8"/>
  <c r="K64" i="8"/>
  <c r="K60" i="8"/>
  <c r="K58" i="8"/>
  <c r="Q75" i="8"/>
  <c r="Q74" i="8"/>
  <c r="Q76" i="8"/>
  <c r="Q78" i="8"/>
  <c r="Q77" i="8"/>
  <c r="Q72" i="8"/>
  <c r="Q70" i="8"/>
  <c r="Q68" i="8"/>
  <c r="Q66" i="8"/>
  <c r="Q64" i="8"/>
  <c r="Q62" i="8"/>
  <c r="Q60" i="8"/>
  <c r="Q58" i="8"/>
  <c r="Q59" i="8"/>
  <c r="Q61" i="8"/>
  <c r="Q73" i="8"/>
  <c r="Q71" i="8"/>
  <c r="Q69" i="8"/>
  <c r="V18" i="8" s="1"/>
  <c r="Q67" i="8"/>
  <c r="Q65" i="8"/>
  <c r="Q63" i="8"/>
  <c r="D82" i="8"/>
  <c r="P82" i="8"/>
  <c r="D64" i="8"/>
  <c r="J65" i="8"/>
  <c r="D66" i="8"/>
  <c r="P66" i="8"/>
  <c r="J67" i="8"/>
  <c r="D68" i="8"/>
  <c r="P68" i="8"/>
  <c r="J69" i="8"/>
  <c r="D70" i="8"/>
  <c r="P70" i="8"/>
  <c r="J71" i="8"/>
  <c r="F12" i="8"/>
  <c r="V14" i="8"/>
  <c r="V20" i="8"/>
  <c r="V22" i="8"/>
  <c r="D78" i="8"/>
  <c r="D77" i="8"/>
  <c r="D76" i="8"/>
  <c r="D75" i="8"/>
  <c r="J78" i="8"/>
  <c r="J77" i="8"/>
  <c r="J76" i="8"/>
  <c r="J75" i="8"/>
  <c r="P78" i="8"/>
  <c r="P77" i="8"/>
  <c r="P76" i="8"/>
  <c r="P75" i="8"/>
  <c r="P74" i="8"/>
  <c r="F78" i="8"/>
  <c r="F102" i="8" s="1"/>
  <c r="F77" i="8"/>
  <c r="F101" i="8" s="1"/>
  <c r="F76" i="8"/>
  <c r="F100" i="8" s="1"/>
  <c r="F75" i="8"/>
  <c r="F99" i="8" s="1"/>
  <c r="L78" i="8"/>
  <c r="L102" i="8" s="1"/>
  <c r="L77" i="8"/>
  <c r="L101" i="8" s="1"/>
  <c r="L76" i="8"/>
  <c r="L100" i="8" s="1"/>
  <c r="L75" i="8"/>
  <c r="L99" i="8" s="1"/>
  <c r="R78" i="8"/>
  <c r="R102" i="8" s="1"/>
  <c r="R77" i="8"/>
  <c r="R101" i="8" s="1"/>
  <c r="R76" i="8"/>
  <c r="R100" i="8" s="1"/>
  <c r="R75" i="8"/>
  <c r="R99" i="8" s="1"/>
  <c r="F58" i="8"/>
  <c r="L58" i="8"/>
  <c r="R58" i="8"/>
  <c r="F59" i="8"/>
  <c r="F83" i="8" s="1"/>
  <c r="L59" i="8"/>
  <c r="R59" i="8"/>
  <c r="F60" i="8"/>
  <c r="L60" i="8"/>
  <c r="L84" i="8" s="1"/>
  <c r="R60" i="8"/>
  <c r="F61" i="8"/>
  <c r="L61" i="8"/>
  <c r="R61" i="8"/>
  <c r="R85" i="8" s="1"/>
  <c r="F62" i="8"/>
  <c r="L62" i="8"/>
  <c r="R62" i="8"/>
  <c r="F63" i="8"/>
  <c r="L63" i="8"/>
  <c r="R63" i="8"/>
  <c r="F64" i="8"/>
  <c r="F88" i="8" s="1"/>
  <c r="L64" i="8"/>
  <c r="R64" i="8"/>
  <c r="F65" i="8"/>
  <c r="L65" i="8"/>
  <c r="L89" i="8" s="1"/>
  <c r="R65" i="8"/>
  <c r="F66" i="8"/>
  <c r="F90" i="8" s="1"/>
  <c r="L66" i="8"/>
  <c r="R66" i="8"/>
  <c r="R90" i="8" s="1"/>
  <c r="F67" i="8"/>
  <c r="L67" i="8"/>
  <c r="L91" i="8" s="1"/>
  <c r="R67" i="8"/>
  <c r="F68" i="8"/>
  <c r="F92" i="8" s="1"/>
  <c r="L68" i="8"/>
  <c r="R68" i="8"/>
  <c r="R92" i="8" s="1"/>
  <c r="F69" i="8"/>
  <c r="L69" i="8"/>
  <c r="L93" i="8" s="1"/>
  <c r="R69" i="8"/>
  <c r="F70" i="8"/>
  <c r="F94" i="8" s="1"/>
  <c r="L70" i="8"/>
  <c r="R70" i="8"/>
  <c r="R94" i="8" s="1"/>
  <c r="F71" i="8"/>
  <c r="L71" i="8"/>
  <c r="L95" i="8" s="1"/>
  <c r="R71" i="8"/>
  <c r="F72" i="8"/>
  <c r="F96" i="8" s="1"/>
  <c r="L72" i="8"/>
  <c r="R72" i="8"/>
  <c r="R96" i="8" s="1"/>
  <c r="F73" i="8"/>
  <c r="L73" i="8"/>
  <c r="L97" i="8" s="1"/>
  <c r="R73" i="8"/>
  <c r="F74" i="8"/>
  <c r="F98" i="8" s="1"/>
  <c r="L74" i="8"/>
  <c r="C78" i="8"/>
  <c r="C77" i="8"/>
  <c r="C76" i="8"/>
  <c r="C75" i="8"/>
  <c r="I78" i="8"/>
  <c r="I77" i="8"/>
  <c r="I76" i="8"/>
  <c r="I75" i="8"/>
  <c r="O78" i="8"/>
  <c r="O77" i="8"/>
  <c r="O76" i="8"/>
  <c r="O75" i="8"/>
  <c r="O74" i="8"/>
  <c r="C58" i="8"/>
  <c r="I58" i="8"/>
  <c r="O58" i="8"/>
  <c r="C59" i="8"/>
  <c r="I59" i="8"/>
  <c r="O59" i="8"/>
  <c r="C60" i="8"/>
  <c r="I60" i="8"/>
  <c r="O60" i="8"/>
  <c r="C61" i="8"/>
  <c r="I61" i="8"/>
  <c r="O61" i="8"/>
  <c r="C62" i="8"/>
  <c r="I62" i="8"/>
  <c r="O62" i="8"/>
  <c r="C63" i="8"/>
  <c r="I63" i="8"/>
  <c r="O63" i="8"/>
  <c r="C64" i="8"/>
  <c r="I64" i="8"/>
  <c r="O64" i="8"/>
  <c r="C65" i="8"/>
  <c r="I65" i="8"/>
  <c r="O65" i="8"/>
  <c r="C66" i="8"/>
  <c r="I66" i="8"/>
  <c r="O66" i="8"/>
  <c r="C67" i="8"/>
  <c r="I67" i="8"/>
  <c r="O67" i="8"/>
  <c r="C68" i="8"/>
  <c r="I68" i="8"/>
  <c r="O68" i="8"/>
  <c r="C69" i="8"/>
  <c r="I69" i="8"/>
  <c r="O69" i="8"/>
  <c r="C70" i="8"/>
  <c r="I70" i="8"/>
  <c r="O70" i="8"/>
  <c r="C71" i="8"/>
  <c r="I71" i="8"/>
  <c r="O71" i="8"/>
  <c r="C72" i="8"/>
  <c r="I72" i="8"/>
  <c r="O72" i="8"/>
  <c r="C73" i="8"/>
  <c r="I73" i="8"/>
  <c r="O73" i="8"/>
  <c r="C74" i="8"/>
  <c r="I74" i="8"/>
  <c r="H15" i="6"/>
  <c r="E15" i="6"/>
  <c r="H16" i="4"/>
  <c r="E16" i="4"/>
  <c r="H10" i="3"/>
  <c r="H2" i="3"/>
  <c r="H14" i="3" s="1"/>
  <c r="F24" i="2"/>
  <c r="K62" i="2" s="1"/>
  <c r="B24" i="2"/>
  <c r="L71" i="2" s="1"/>
  <c r="F23" i="2"/>
  <c r="K43" i="2" s="1"/>
  <c r="B23" i="2"/>
  <c r="L56" i="2" s="1"/>
  <c r="B25" i="2"/>
  <c r="L78" i="2" s="1"/>
  <c r="B22" i="2"/>
  <c r="B19" i="2"/>
  <c r="L34" i="2" l="1"/>
  <c r="L29" i="2"/>
  <c r="N22" i="2"/>
  <c r="C17" i="2"/>
  <c r="C2" i="2"/>
  <c r="N24" i="2"/>
  <c r="N61" i="2" s="1"/>
  <c r="L43" i="2"/>
  <c r="L49" i="2"/>
  <c r="L53" i="2"/>
  <c r="L79" i="2"/>
  <c r="L45" i="2"/>
  <c r="L50" i="2"/>
  <c r="L54" i="2"/>
  <c r="L67" i="2"/>
  <c r="L68" i="2"/>
  <c r="L76" i="2"/>
  <c r="L80" i="2"/>
  <c r="L46" i="2"/>
  <c r="L51" i="2"/>
  <c r="L55" i="2"/>
  <c r="L69" i="2"/>
  <c r="L77" i="2"/>
  <c r="L81" i="2"/>
  <c r="L65" i="2"/>
  <c r="L48" i="2"/>
  <c r="L52" i="2"/>
  <c r="N19" i="8"/>
  <c r="V8" i="8"/>
  <c r="N13" i="8"/>
  <c r="N23" i="8"/>
  <c r="N15" i="8"/>
  <c r="F20" i="8"/>
  <c r="F14" i="8"/>
  <c r="J79" i="8"/>
  <c r="N17" i="8"/>
  <c r="F8" i="8"/>
  <c r="F16" i="8"/>
  <c r="V12" i="8"/>
  <c r="C98" i="8"/>
  <c r="D23" i="8"/>
  <c r="E23" i="8"/>
  <c r="O96" i="8"/>
  <c r="T21" i="8"/>
  <c r="S21" i="8"/>
  <c r="U21" i="8"/>
  <c r="I95" i="8"/>
  <c r="L20" i="8"/>
  <c r="K20" i="8"/>
  <c r="M20" i="8"/>
  <c r="C94" i="8"/>
  <c r="D19" i="8"/>
  <c r="C19" i="8"/>
  <c r="E19" i="8"/>
  <c r="O92" i="8"/>
  <c r="T17" i="8"/>
  <c r="S17" i="8"/>
  <c r="U17" i="8"/>
  <c r="I91" i="8"/>
  <c r="L16" i="8"/>
  <c r="K16" i="8"/>
  <c r="M16" i="8"/>
  <c r="C90" i="8"/>
  <c r="D15" i="8"/>
  <c r="C15" i="8"/>
  <c r="E15" i="8"/>
  <c r="O88" i="8"/>
  <c r="T13" i="8"/>
  <c r="S13" i="8"/>
  <c r="U13" i="8"/>
  <c r="I87" i="8"/>
  <c r="L12" i="8"/>
  <c r="K12" i="8"/>
  <c r="M12" i="8"/>
  <c r="C86" i="8"/>
  <c r="D11" i="8"/>
  <c r="C11" i="8"/>
  <c r="E11" i="8"/>
  <c r="O84" i="8"/>
  <c r="T9" i="8"/>
  <c r="S9" i="8"/>
  <c r="U9" i="8"/>
  <c r="I83" i="8"/>
  <c r="L8" i="8"/>
  <c r="K8" i="8"/>
  <c r="M8" i="8"/>
  <c r="C82" i="8"/>
  <c r="C79" i="8"/>
  <c r="D7" i="8"/>
  <c r="C7" i="8"/>
  <c r="E7" i="8"/>
  <c r="O101" i="8"/>
  <c r="U26" i="8"/>
  <c r="T26" i="8"/>
  <c r="S26" i="8"/>
  <c r="I101" i="8"/>
  <c r="L26" i="8"/>
  <c r="K26" i="8"/>
  <c r="M26" i="8"/>
  <c r="C101" i="8"/>
  <c r="E26" i="8"/>
  <c r="D26" i="8"/>
  <c r="C26" i="8"/>
  <c r="R97" i="8"/>
  <c r="W22" i="8"/>
  <c r="L96" i="8"/>
  <c r="O21" i="8"/>
  <c r="F95" i="8"/>
  <c r="G20" i="8"/>
  <c r="R93" i="8"/>
  <c r="W18" i="8"/>
  <c r="L92" i="8"/>
  <c r="O17" i="8"/>
  <c r="F91" i="8"/>
  <c r="G16" i="8"/>
  <c r="R89" i="8"/>
  <c r="W14" i="8"/>
  <c r="L88" i="8"/>
  <c r="O13" i="8"/>
  <c r="F87" i="8"/>
  <c r="G12" i="8"/>
  <c r="P98" i="8"/>
  <c r="W23" i="8"/>
  <c r="V23" i="8"/>
  <c r="P102" i="8"/>
  <c r="W27" i="8"/>
  <c r="V27" i="8"/>
  <c r="J102" i="8"/>
  <c r="O27" i="8"/>
  <c r="N27" i="8"/>
  <c r="D102" i="8"/>
  <c r="G27" i="8"/>
  <c r="F27" i="8"/>
  <c r="J95" i="8"/>
  <c r="O20" i="8"/>
  <c r="N20" i="8"/>
  <c r="P92" i="8"/>
  <c r="V17" i="8"/>
  <c r="W17" i="8"/>
  <c r="D90" i="8"/>
  <c r="D74" i="8"/>
  <c r="G15" i="8"/>
  <c r="F15" i="8"/>
  <c r="Q89" i="8"/>
  <c r="X14" i="8"/>
  <c r="Q97" i="8"/>
  <c r="X22" i="8"/>
  <c r="X9" i="8"/>
  <c r="Q84" i="8"/>
  <c r="V9" i="8"/>
  <c r="X17" i="8"/>
  <c r="Q92" i="8"/>
  <c r="Q102" i="8"/>
  <c r="X27" i="8"/>
  <c r="K79" i="8"/>
  <c r="K82" i="8"/>
  <c r="P7" i="8"/>
  <c r="K92" i="8"/>
  <c r="P17" i="8"/>
  <c r="K94" i="8"/>
  <c r="P19" i="8"/>
  <c r="K85" i="8"/>
  <c r="P10" i="8"/>
  <c r="N10" i="8"/>
  <c r="K93" i="8"/>
  <c r="P18" i="8"/>
  <c r="K102" i="8"/>
  <c r="P27" i="8"/>
  <c r="E91" i="8"/>
  <c r="H16" i="8"/>
  <c r="E95" i="8"/>
  <c r="H20" i="8"/>
  <c r="E88" i="8"/>
  <c r="H13" i="8"/>
  <c r="E96" i="8"/>
  <c r="H21" i="8"/>
  <c r="H27" i="8"/>
  <c r="E102" i="8"/>
  <c r="G21" i="8"/>
  <c r="O9" i="8"/>
  <c r="O97" i="8"/>
  <c r="U22" i="8"/>
  <c r="T22" i="8"/>
  <c r="S22" i="8"/>
  <c r="I96" i="8"/>
  <c r="M21" i="8"/>
  <c r="L21" i="8"/>
  <c r="K21" i="8"/>
  <c r="C95" i="8"/>
  <c r="E20" i="8"/>
  <c r="D20" i="8"/>
  <c r="C20" i="8"/>
  <c r="O93" i="8"/>
  <c r="U18" i="8"/>
  <c r="T18" i="8"/>
  <c r="S18" i="8"/>
  <c r="I92" i="8"/>
  <c r="M17" i="8"/>
  <c r="L17" i="8"/>
  <c r="K17" i="8"/>
  <c r="C91" i="8"/>
  <c r="E16" i="8"/>
  <c r="D16" i="8"/>
  <c r="C16" i="8"/>
  <c r="O89" i="8"/>
  <c r="U14" i="8"/>
  <c r="T14" i="8"/>
  <c r="S14" i="8"/>
  <c r="I88" i="8"/>
  <c r="M13" i="8"/>
  <c r="L13" i="8"/>
  <c r="K13" i="8"/>
  <c r="C87" i="8"/>
  <c r="E12" i="8"/>
  <c r="D12" i="8"/>
  <c r="C12" i="8"/>
  <c r="O85" i="8"/>
  <c r="U10" i="8"/>
  <c r="T10" i="8"/>
  <c r="S10" i="8"/>
  <c r="I84" i="8"/>
  <c r="M9" i="8"/>
  <c r="L9" i="8"/>
  <c r="K9" i="8"/>
  <c r="C83" i="8"/>
  <c r="E8" i="8"/>
  <c r="D8" i="8"/>
  <c r="C8" i="8"/>
  <c r="O98" i="8"/>
  <c r="T23" i="8"/>
  <c r="S23" i="8"/>
  <c r="U23" i="8"/>
  <c r="O102" i="8"/>
  <c r="U27" i="8"/>
  <c r="T27" i="8"/>
  <c r="S27" i="8"/>
  <c r="I102" i="8"/>
  <c r="K27" i="8"/>
  <c r="M27" i="8"/>
  <c r="L27" i="8"/>
  <c r="C102" i="8"/>
  <c r="D27" i="8"/>
  <c r="E27" i="8"/>
  <c r="C27" i="8"/>
  <c r="R86" i="8"/>
  <c r="W11" i="8"/>
  <c r="L85" i="8"/>
  <c r="O10" i="8"/>
  <c r="F84" i="8"/>
  <c r="G9" i="8"/>
  <c r="R82" i="8"/>
  <c r="R79" i="8"/>
  <c r="W7" i="8"/>
  <c r="P99" i="8"/>
  <c r="V24" i="8"/>
  <c r="W24" i="8"/>
  <c r="J99" i="8"/>
  <c r="N24" i="8"/>
  <c r="O24" i="8"/>
  <c r="D99" i="8"/>
  <c r="F24" i="8"/>
  <c r="G24" i="8"/>
  <c r="P94" i="8"/>
  <c r="V19" i="8"/>
  <c r="W19" i="8"/>
  <c r="D92" i="8"/>
  <c r="G17" i="8"/>
  <c r="F17" i="8"/>
  <c r="J89" i="8"/>
  <c r="O14" i="8"/>
  <c r="N14" i="8"/>
  <c r="Q91" i="8"/>
  <c r="X16" i="8"/>
  <c r="Q85" i="8"/>
  <c r="X10" i="8"/>
  <c r="Q86" i="8"/>
  <c r="X11" i="8"/>
  <c r="V11" i="8"/>
  <c r="Q94" i="8"/>
  <c r="X19" i="8"/>
  <c r="X25" i="8"/>
  <c r="Q100" i="8"/>
  <c r="K84" i="8"/>
  <c r="P9" i="8"/>
  <c r="K96" i="8"/>
  <c r="P21" i="8"/>
  <c r="K101" i="8"/>
  <c r="P26" i="8"/>
  <c r="P12" i="8"/>
  <c r="K87" i="8"/>
  <c r="N12" i="8"/>
  <c r="P20" i="8"/>
  <c r="K95" i="8"/>
  <c r="E85" i="8"/>
  <c r="H10" i="8"/>
  <c r="E93" i="8"/>
  <c r="H18" i="8"/>
  <c r="H7" i="8"/>
  <c r="E82" i="8"/>
  <c r="E79" i="8"/>
  <c r="F7" i="8"/>
  <c r="H15" i="8"/>
  <c r="E90" i="8"/>
  <c r="H23" i="8"/>
  <c r="E98" i="8"/>
  <c r="E101" i="8"/>
  <c r="H26" i="8"/>
  <c r="V10" i="8"/>
  <c r="G8" i="8"/>
  <c r="I97" i="8"/>
  <c r="L22" i="8"/>
  <c r="K22" i="8"/>
  <c r="M22" i="8"/>
  <c r="C96" i="8"/>
  <c r="D21" i="8"/>
  <c r="C21" i="8"/>
  <c r="E21" i="8"/>
  <c r="O94" i="8"/>
  <c r="T19" i="8"/>
  <c r="S19" i="8"/>
  <c r="U19" i="8"/>
  <c r="I93" i="8"/>
  <c r="L18" i="8"/>
  <c r="K18" i="8"/>
  <c r="M18" i="8"/>
  <c r="C92" i="8"/>
  <c r="D17" i="8"/>
  <c r="C17" i="8"/>
  <c r="E17" i="8"/>
  <c r="O90" i="8"/>
  <c r="T15" i="8"/>
  <c r="S15" i="8"/>
  <c r="U15" i="8"/>
  <c r="I89" i="8"/>
  <c r="L14" i="8"/>
  <c r="K14" i="8"/>
  <c r="M14" i="8"/>
  <c r="C88" i="8"/>
  <c r="D13" i="8"/>
  <c r="C13" i="8"/>
  <c r="E13" i="8"/>
  <c r="O86" i="8"/>
  <c r="T11" i="8"/>
  <c r="S11" i="8"/>
  <c r="U11" i="8"/>
  <c r="I85" i="8"/>
  <c r="L10" i="8"/>
  <c r="K10" i="8"/>
  <c r="M10" i="8"/>
  <c r="C84" i="8"/>
  <c r="D9" i="8"/>
  <c r="C9" i="8"/>
  <c r="E9" i="8"/>
  <c r="O82" i="8"/>
  <c r="O79" i="8"/>
  <c r="T7" i="8"/>
  <c r="S7" i="8"/>
  <c r="U7" i="8"/>
  <c r="O99" i="8"/>
  <c r="U24" i="8"/>
  <c r="T24" i="8"/>
  <c r="S24" i="8"/>
  <c r="I99" i="8"/>
  <c r="L24" i="8"/>
  <c r="K24" i="8"/>
  <c r="M24" i="8"/>
  <c r="C99" i="8"/>
  <c r="D24" i="8"/>
  <c r="E24" i="8"/>
  <c r="C24" i="8"/>
  <c r="L98" i="8"/>
  <c r="O23" i="8"/>
  <c r="F97" i="8"/>
  <c r="G22" i="8"/>
  <c r="R95" i="8"/>
  <c r="W20" i="8"/>
  <c r="L94" i="8"/>
  <c r="O19" i="8"/>
  <c r="F93" i="8"/>
  <c r="G18" i="8"/>
  <c r="R91" i="8"/>
  <c r="W16" i="8"/>
  <c r="L90" i="8"/>
  <c r="O15" i="8"/>
  <c r="F89" i="8"/>
  <c r="G14" i="8"/>
  <c r="R87" i="8"/>
  <c r="W12" i="8"/>
  <c r="L86" i="8"/>
  <c r="O11" i="8"/>
  <c r="F85" i="8"/>
  <c r="G10" i="8"/>
  <c r="R83" i="8"/>
  <c r="W8" i="8"/>
  <c r="L82" i="8"/>
  <c r="L79" i="8"/>
  <c r="O7" i="8"/>
  <c r="P100" i="8"/>
  <c r="V25" i="8"/>
  <c r="W25" i="8"/>
  <c r="J100" i="8"/>
  <c r="N25" i="8"/>
  <c r="O25" i="8"/>
  <c r="D100" i="8"/>
  <c r="G25" i="8"/>
  <c r="F25" i="8"/>
  <c r="D94" i="8"/>
  <c r="F19" i="8"/>
  <c r="G19" i="8"/>
  <c r="J91" i="8"/>
  <c r="O16" i="8"/>
  <c r="N16" i="8"/>
  <c r="D88" i="8"/>
  <c r="G13" i="8"/>
  <c r="F13" i="8"/>
  <c r="Q93" i="8"/>
  <c r="X18" i="8"/>
  <c r="Q83" i="8"/>
  <c r="X8" i="8"/>
  <c r="Q88" i="8"/>
  <c r="X13" i="8"/>
  <c r="V13" i="8"/>
  <c r="Q96" i="8"/>
  <c r="X21" i="8"/>
  <c r="Q98" i="8"/>
  <c r="X23" i="8"/>
  <c r="K88" i="8"/>
  <c r="P13" i="8"/>
  <c r="K98" i="8"/>
  <c r="P23" i="8"/>
  <c r="K86" i="8"/>
  <c r="P11" i="8"/>
  <c r="K89" i="8"/>
  <c r="P14" i="8"/>
  <c r="K97" i="8"/>
  <c r="P22" i="8"/>
  <c r="E87" i="8"/>
  <c r="H12" i="8"/>
  <c r="H22" i="8"/>
  <c r="E97" i="8"/>
  <c r="E84" i="8"/>
  <c r="H9" i="8"/>
  <c r="F9" i="8"/>
  <c r="E92" i="8"/>
  <c r="H17" i="8"/>
  <c r="E99" i="8"/>
  <c r="H24" i="8"/>
  <c r="V21" i="8"/>
  <c r="O22" i="8"/>
  <c r="N9" i="8"/>
  <c r="I98" i="8"/>
  <c r="L23" i="8"/>
  <c r="M23" i="8"/>
  <c r="K23" i="8"/>
  <c r="C97" i="8"/>
  <c r="E22" i="8"/>
  <c r="D22" i="8"/>
  <c r="C22" i="8"/>
  <c r="O95" i="8"/>
  <c r="T20" i="8"/>
  <c r="U20" i="8"/>
  <c r="S20" i="8"/>
  <c r="I94" i="8"/>
  <c r="M19" i="8"/>
  <c r="L19" i="8"/>
  <c r="K19" i="8"/>
  <c r="C93" i="8"/>
  <c r="E18" i="8"/>
  <c r="D18" i="8"/>
  <c r="C18" i="8"/>
  <c r="O91" i="8"/>
  <c r="U16" i="8"/>
  <c r="S16" i="8"/>
  <c r="T16" i="8"/>
  <c r="I90" i="8"/>
  <c r="M15" i="8"/>
  <c r="L15" i="8"/>
  <c r="K15" i="8"/>
  <c r="C89" i="8"/>
  <c r="E14" i="8"/>
  <c r="D14" i="8"/>
  <c r="C14" i="8"/>
  <c r="O87" i="8"/>
  <c r="U12" i="8"/>
  <c r="T12" i="8"/>
  <c r="S12" i="8"/>
  <c r="I86" i="8"/>
  <c r="M11" i="8"/>
  <c r="L11" i="8"/>
  <c r="K11" i="8"/>
  <c r="C85" i="8"/>
  <c r="E10" i="8"/>
  <c r="D10" i="8"/>
  <c r="C10" i="8"/>
  <c r="O83" i="8"/>
  <c r="U8" i="8"/>
  <c r="T8" i="8"/>
  <c r="S8" i="8"/>
  <c r="I82" i="8"/>
  <c r="I79" i="8"/>
  <c r="M7" i="8"/>
  <c r="L7" i="8"/>
  <c r="K7" i="8"/>
  <c r="O100" i="8"/>
  <c r="T25" i="8"/>
  <c r="S25" i="8"/>
  <c r="U25" i="8"/>
  <c r="I100" i="8"/>
  <c r="L25" i="8"/>
  <c r="M25" i="8"/>
  <c r="K25" i="8"/>
  <c r="C100" i="8"/>
  <c r="D25" i="8"/>
  <c r="C25" i="8"/>
  <c r="E25" i="8"/>
  <c r="R88" i="8"/>
  <c r="W13" i="8"/>
  <c r="L87" i="8"/>
  <c r="O12" i="8"/>
  <c r="F86" i="8"/>
  <c r="G11" i="8"/>
  <c r="R84" i="8"/>
  <c r="W9" i="8"/>
  <c r="L83" i="8"/>
  <c r="O8" i="8"/>
  <c r="F82" i="8"/>
  <c r="F79" i="8"/>
  <c r="G7" i="8"/>
  <c r="P101" i="8"/>
  <c r="V26" i="8"/>
  <c r="W26" i="8"/>
  <c r="J101" i="8"/>
  <c r="N26" i="8"/>
  <c r="O26" i="8"/>
  <c r="D101" i="8"/>
  <c r="F26" i="8"/>
  <c r="G26" i="8"/>
  <c r="F22" i="8"/>
  <c r="V16" i="8"/>
  <c r="N11" i="8"/>
  <c r="J93" i="8"/>
  <c r="O18" i="8"/>
  <c r="N18" i="8"/>
  <c r="P90" i="8"/>
  <c r="W15" i="8"/>
  <c r="V15" i="8"/>
  <c r="P79" i="8"/>
  <c r="Q87" i="8"/>
  <c r="X12" i="8"/>
  <c r="Q95" i="8"/>
  <c r="X20" i="8"/>
  <c r="Q79" i="8"/>
  <c r="Q82" i="8"/>
  <c r="X7" i="8"/>
  <c r="V7" i="8"/>
  <c r="Q90" i="8"/>
  <c r="X15" i="8"/>
  <c r="Q101" i="8"/>
  <c r="X26" i="8"/>
  <c r="X24" i="8"/>
  <c r="Q99" i="8"/>
  <c r="K90" i="8"/>
  <c r="P15" i="8"/>
  <c r="K100" i="8"/>
  <c r="P25" i="8"/>
  <c r="K83" i="8"/>
  <c r="P8" i="8"/>
  <c r="N8" i="8"/>
  <c r="K91" i="8"/>
  <c r="P16" i="8"/>
  <c r="K99" i="8"/>
  <c r="P24" i="8"/>
  <c r="E89" i="8"/>
  <c r="H14" i="8"/>
  <c r="E83" i="8"/>
  <c r="H8" i="8"/>
  <c r="E86" i="8"/>
  <c r="H11" i="8"/>
  <c r="F11" i="8"/>
  <c r="E94" i="8"/>
  <c r="H19" i="8"/>
  <c r="E100" i="8"/>
  <c r="H25" i="8"/>
  <c r="F10" i="8"/>
  <c r="N7" i="8"/>
  <c r="W21" i="8"/>
  <c r="W10" i="8"/>
  <c r="E14" i="3"/>
  <c r="L61" i="2"/>
  <c r="L35" i="2"/>
  <c r="L33" i="2"/>
  <c r="L37" i="2"/>
  <c r="L40" i="2"/>
  <c r="L36" i="2"/>
  <c r="L39" i="2"/>
  <c r="L30" i="2"/>
  <c r="L62" i="2"/>
  <c r="L70" i="2"/>
  <c r="L63" i="2"/>
  <c r="L38" i="2"/>
  <c r="L64" i="2"/>
  <c r="N23" i="2"/>
  <c r="N25" i="2"/>
  <c r="C16" i="2"/>
  <c r="C5" i="2"/>
  <c r="C9" i="2"/>
  <c r="C13" i="2"/>
  <c r="C18" i="2"/>
  <c r="C6" i="2"/>
  <c r="C10" i="2"/>
  <c r="C14" i="2"/>
  <c r="C3" i="2"/>
  <c r="C7" i="2"/>
  <c r="C11" i="2"/>
  <c r="C15" i="2"/>
  <c r="C4" i="2"/>
  <c r="C8" i="2"/>
  <c r="C12" i="2"/>
  <c r="N50" i="2" l="1"/>
  <c r="F50" i="2" s="1"/>
  <c r="N45" i="2"/>
  <c r="N43" i="2"/>
  <c r="G43" i="2" s="1"/>
  <c r="C19" i="2"/>
  <c r="N81" i="2"/>
  <c r="G81" i="2" s="1"/>
  <c r="N76" i="2"/>
  <c r="N40" i="2"/>
  <c r="N34" i="2"/>
  <c r="N30" i="2"/>
  <c r="N33" i="2"/>
  <c r="F61" i="2"/>
  <c r="G61" i="2"/>
  <c r="N48" i="2"/>
  <c r="N71" i="2"/>
  <c r="N65" i="2"/>
  <c r="N67" i="2"/>
  <c r="N64" i="2"/>
  <c r="N62" i="2"/>
  <c r="N69" i="2"/>
  <c r="N68" i="2"/>
  <c r="N63" i="2"/>
  <c r="L57" i="2"/>
  <c r="N70" i="2"/>
  <c r="N77" i="2"/>
  <c r="N79" i="2"/>
  <c r="N52" i="2"/>
  <c r="N54" i="2"/>
  <c r="N78" i="2"/>
  <c r="L82" i="2"/>
  <c r="N56" i="2"/>
  <c r="N46" i="2"/>
  <c r="N53" i="2"/>
  <c r="N51" i="2"/>
  <c r="N80" i="2"/>
  <c r="N55" i="2"/>
  <c r="N49" i="2"/>
  <c r="N28" i="8"/>
  <c r="Q103" i="8"/>
  <c r="Q105" i="8" s="1"/>
  <c r="J103" i="8"/>
  <c r="J105" i="8" s="1"/>
  <c r="M28" i="8"/>
  <c r="P103" i="8"/>
  <c r="P105" i="8" s="1"/>
  <c r="K103" i="8"/>
  <c r="K105" i="8" s="1"/>
  <c r="D98" i="8"/>
  <c r="D103" i="8" s="1"/>
  <c r="D105" i="8" s="1"/>
  <c r="G23" i="8"/>
  <c r="F23" i="8"/>
  <c r="F28" i="8" s="1"/>
  <c r="D28" i="8"/>
  <c r="C23" i="8"/>
  <c r="G28" i="8"/>
  <c r="L103" i="8"/>
  <c r="L105" i="8" s="1"/>
  <c r="V28" i="8"/>
  <c r="K28" i="8"/>
  <c r="I103" i="8"/>
  <c r="I105" i="8" s="1"/>
  <c r="U28" i="8"/>
  <c r="O103" i="8"/>
  <c r="O105" i="8" s="1"/>
  <c r="E103" i="8"/>
  <c r="E105" i="8" s="1"/>
  <c r="R103" i="8"/>
  <c r="R105" i="8" s="1"/>
  <c r="X28" i="8"/>
  <c r="F103" i="8"/>
  <c r="F105" i="8" s="1"/>
  <c r="L28" i="8"/>
  <c r="O28" i="8"/>
  <c r="S28" i="8"/>
  <c r="H28" i="8"/>
  <c r="H30" i="8" s="1"/>
  <c r="E28" i="8"/>
  <c r="C103" i="8"/>
  <c r="C105" i="8" s="1"/>
  <c r="T28" i="8"/>
  <c r="W28" i="8"/>
  <c r="P28" i="8"/>
  <c r="C28" i="8"/>
  <c r="C30" i="8" s="1"/>
  <c r="D79" i="8"/>
  <c r="L72" i="2"/>
  <c r="L41" i="2"/>
  <c r="N37" i="2"/>
  <c r="N39" i="2"/>
  <c r="N36" i="2"/>
  <c r="N35" i="2"/>
  <c r="N38" i="2"/>
  <c r="F81" i="2" l="1"/>
  <c r="G50" i="2"/>
  <c r="G46" i="2"/>
  <c r="F46" i="2"/>
  <c r="G71" i="2"/>
  <c r="F71" i="2"/>
  <c r="G45" i="2"/>
  <c r="F45" i="2"/>
  <c r="G77" i="2"/>
  <c r="F77" i="2"/>
  <c r="G51" i="2"/>
  <c r="F51" i="2"/>
  <c r="G56" i="2"/>
  <c r="F56" i="2"/>
  <c r="G52" i="2"/>
  <c r="F52" i="2"/>
  <c r="F43" i="2"/>
  <c r="G68" i="2"/>
  <c r="F68" i="2"/>
  <c r="G67" i="2"/>
  <c r="F67" i="2"/>
  <c r="F55" i="2"/>
  <c r="G55" i="2"/>
  <c r="G78" i="2"/>
  <c r="F78" i="2"/>
  <c r="G76" i="2"/>
  <c r="F76" i="2"/>
  <c r="G62" i="2"/>
  <c r="F62" i="2"/>
  <c r="G80" i="2"/>
  <c r="F80" i="2"/>
  <c r="F54" i="2"/>
  <c r="G54" i="2"/>
  <c r="G63" i="2"/>
  <c r="F63" i="2"/>
  <c r="G64" i="2"/>
  <c r="F64" i="2"/>
  <c r="G48" i="2"/>
  <c r="F48" i="2"/>
  <c r="G49" i="2"/>
  <c r="F49" i="2"/>
  <c r="F53" i="2"/>
  <c r="G53" i="2"/>
  <c r="F79" i="2"/>
  <c r="G79" i="2"/>
  <c r="G70" i="2"/>
  <c r="F70" i="2"/>
  <c r="F69" i="2"/>
  <c r="G69" i="2"/>
  <c r="G65" i="2"/>
  <c r="F65" i="2"/>
  <c r="F33" i="2"/>
  <c r="G33" i="2"/>
  <c r="F38" i="2"/>
  <c r="G38" i="2"/>
  <c r="F37" i="2"/>
  <c r="G37" i="2"/>
  <c r="F35" i="2"/>
  <c r="G35" i="2"/>
  <c r="F34" i="2"/>
  <c r="G34" i="2"/>
  <c r="F36" i="2"/>
  <c r="G36" i="2"/>
  <c r="F40" i="2"/>
  <c r="G40" i="2"/>
  <c r="F30" i="2"/>
  <c r="F39" i="2"/>
  <c r="G39" i="2"/>
  <c r="N72" i="2"/>
  <c r="N57" i="2"/>
  <c r="N82" i="2"/>
  <c r="T30" i="8"/>
  <c r="F30" i="8"/>
  <c r="O30" i="8"/>
  <c r="E30" i="8"/>
  <c r="L30" i="8"/>
  <c r="K30" i="8"/>
  <c r="V30" i="8"/>
  <c r="P30" i="8"/>
  <c r="N30" i="8"/>
  <c r="S30" i="8"/>
  <c r="W30" i="8"/>
  <c r="M30" i="8"/>
  <c r="U30" i="8"/>
  <c r="G30" i="8"/>
  <c r="X30" i="8"/>
  <c r="D30" i="8"/>
  <c r="N41" i="2"/>
  <c r="K60" i="2" l="1"/>
  <c r="F25" i="2"/>
  <c r="K81" i="2" s="1"/>
  <c r="K69" i="2"/>
  <c r="K56" i="2"/>
  <c r="AB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A1" i="1"/>
  <c r="R18" i="2"/>
  <c r="R17" i="2"/>
  <c r="H82" i="2"/>
  <c r="O80" i="2" s="1"/>
  <c r="H72" i="2"/>
  <c r="O71" i="2" s="1"/>
  <c r="H57" i="2"/>
  <c r="O54" i="2" s="1"/>
  <c r="H41" i="2"/>
  <c r="R21" i="2"/>
  <c r="R22" i="2"/>
  <c r="R13" i="2"/>
  <c r="R19" i="2"/>
  <c r="R15" i="2"/>
  <c r="R16" i="2"/>
  <c r="R12" i="2"/>
  <c r="R10" i="2"/>
  <c r="R9" i="2"/>
  <c r="R8" i="2"/>
  <c r="R7" i="2"/>
  <c r="R6" i="2"/>
  <c r="R5" i="2"/>
  <c r="R4" i="2"/>
  <c r="B9" i="7"/>
  <c r="B8" i="7"/>
  <c r="B7" i="7"/>
  <c r="B6" i="7"/>
  <c r="B5" i="7"/>
  <c r="B14" i="6"/>
  <c r="B4" i="7"/>
  <c r="B3" i="7"/>
  <c r="B2" i="7"/>
  <c r="B13" i="6"/>
  <c r="B12" i="6"/>
  <c r="B9" i="6"/>
  <c r="B8" i="6"/>
  <c r="B7" i="6"/>
  <c r="B6" i="6"/>
  <c r="B4" i="6"/>
  <c r="B3" i="6"/>
  <c r="B2" i="6"/>
  <c r="B14" i="4"/>
  <c r="B13" i="4"/>
  <c r="B12" i="4"/>
  <c r="B11" i="4"/>
  <c r="B9" i="4"/>
  <c r="B7" i="4"/>
  <c r="B6" i="4"/>
  <c r="B5" i="4"/>
  <c r="B4" i="4"/>
  <c r="B2" i="4"/>
  <c r="B9" i="3"/>
  <c r="B2" i="3"/>
  <c r="B4" i="3"/>
  <c r="B5" i="3"/>
  <c r="B6" i="3"/>
  <c r="B8" i="3"/>
  <c r="B10" i="3"/>
  <c r="B12" i="3"/>
  <c r="B13" i="3"/>
  <c r="F19" i="2"/>
  <c r="N19" i="2" s="1"/>
  <c r="O2" i="2" s="1"/>
  <c r="D29" i="2" l="1"/>
  <c r="C29" i="2"/>
  <c r="E29" i="2"/>
  <c r="D54" i="2"/>
  <c r="E54" i="2"/>
  <c r="D71" i="2"/>
  <c r="E71" i="2"/>
  <c r="E80" i="2"/>
  <c r="D80" i="2"/>
  <c r="AA22" i="1"/>
  <c r="B10" i="7"/>
  <c r="K33" i="2"/>
  <c r="O40" i="2"/>
  <c r="G16" i="2"/>
  <c r="G15" i="2"/>
  <c r="K70" i="2"/>
  <c r="K36" i="2"/>
  <c r="K37" i="2"/>
  <c r="K38" i="2"/>
  <c r="K49" i="2"/>
  <c r="K34" i="2"/>
  <c r="K53" i="2"/>
  <c r="K64" i="2"/>
  <c r="K71" i="2"/>
  <c r="C71" i="2" s="1"/>
  <c r="K65" i="2"/>
  <c r="K61" i="2"/>
  <c r="K67" i="2"/>
  <c r="K78" i="2"/>
  <c r="K45" i="2"/>
  <c r="K50" i="2"/>
  <c r="K54" i="2"/>
  <c r="C54" i="2" s="1"/>
  <c r="K79" i="2"/>
  <c r="K39" i="2"/>
  <c r="K46" i="2"/>
  <c r="K51" i="2"/>
  <c r="K55" i="2"/>
  <c r="K76" i="2"/>
  <c r="K80" i="2"/>
  <c r="C80" i="2" s="1"/>
  <c r="G18" i="2"/>
  <c r="G2" i="2"/>
  <c r="K40" i="2"/>
  <c r="K48" i="2"/>
  <c r="K52" i="2"/>
  <c r="K63" i="2"/>
  <c r="K77" i="2"/>
  <c r="O45" i="2"/>
  <c r="O56" i="2"/>
  <c r="O51" i="2"/>
  <c r="O77" i="2"/>
  <c r="O34" i="2"/>
  <c r="O30" i="2"/>
  <c r="E30" i="2" s="1"/>
  <c r="O38" i="2"/>
  <c r="O48" i="2"/>
  <c r="O53" i="2"/>
  <c r="O81" i="2"/>
  <c r="O37" i="2"/>
  <c r="O47" i="2"/>
  <c r="O52" i="2"/>
  <c r="O33" i="2"/>
  <c r="O44" i="2"/>
  <c r="O49" i="2"/>
  <c r="O55" i="2"/>
  <c r="G14" i="2"/>
  <c r="O64" i="2"/>
  <c r="O61" i="2"/>
  <c r="O74" i="2"/>
  <c r="E74" i="2" s="1"/>
  <c r="O35" i="2"/>
  <c r="O62" i="2"/>
  <c r="O66" i="2"/>
  <c r="O70" i="2"/>
  <c r="O75" i="2"/>
  <c r="O79" i="2"/>
  <c r="G3" i="2"/>
  <c r="K35" i="2"/>
  <c r="O60" i="2"/>
  <c r="O68" i="2"/>
  <c r="O65" i="2"/>
  <c r="O69" i="2"/>
  <c r="O78" i="2"/>
  <c r="R23" i="2"/>
  <c r="O31" i="2"/>
  <c r="O39" i="2"/>
  <c r="O43" i="2"/>
  <c r="O32" i="2"/>
  <c r="O36" i="2"/>
  <c r="O46" i="2"/>
  <c r="O50" i="2"/>
  <c r="O59" i="2"/>
  <c r="O63" i="2"/>
  <c r="O67" i="2"/>
  <c r="O76" i="2"/>
  <c r="G7" i="2"/>
  <c r="G12" i="2"/>
  <c r="G10" i="2"/>
  <c r="G17" i="2"/>
  <c r="G4" i="2"/>
  <c r="G9" i="2"/>
  <c r="G6" i="2"/>
  <c r="G11" i="2"/>
  <c r="G5" i="2"/>
  <c r="G8" i="2"/>
  <c r="G13" i="2"/>
  <c r="B15" i="6"/>
  <c r="B16" i="4"/>
  <c r="B14" i="3"/>
  <c r="C40" i="2" l="1"/>
  <c r="D63" i="2"/>
  <c r="E63" i="2"/>
  <c r="C31" i="2"/>
  <c r="D31" i="2"/>
  <c r="E31" i="2"/>
  <c r="E61" i="2"/>
  <c r="D61" i="2"/>
  <c r="C47" i="2"/>
  <c r="D47" i="2"/>
  <c r="E47" i="2"/>
  <c r="E77" i="2"/>
  <c r="D77" i="2"/>
  <c r="E59" i="2"/>
  <c r="D59" i="2"/>
  <c r="C32" i="2"/>
  <c r="D32" i="2"/>
  <c r="E32" i="2"/>
  <c r="C68" i="2"/>
  <c r="E68" i="2"/>
  <c r="D68" i="2"/>
  <c r="E62" i="2"/>
  <c r="D62" i="2"/>
  <c r="C44" i="2"/>
  <c r="D44" i="2"/>
  <c r="E44" i="2"/>
  <c r="D38" i="2"/>
  <c r="E38" i="2"/>
  <c r="K82" i="2"/>
  <c r="K57" i="2"/>
  <c r="D76" i="2"/>
  <c r="E76" i="2"/>
  <c r="D50" i="2"/>
  <c r="E50" i="2"/>
  <c r="D43" i="2"/>
  <c r="E43" i="2"/>
  <c r="C43" i="2"/>
  <c r="E78" i="2"/>
  <c r="D78" i="2"/>
  <c r="C60" i="2"/>
  <c r="E60" i="2"/>
  <c r="D60" i="2"/>
  <c r="C75" i="2"/>
  <c r="E75" i="2"/>
  <c r="D75" i="2"/>
  <c r="D35" i="2"/>
  <c r="E35" i="2"/>
  <c r="D33" i="2"/>
  <c r="E33" i="2"/>
  <c r="C81" i="2"/>
  <c r="E81" i="2"/>
  <c r="D81" i="2"/>
  <c r="D30" i="2"/>
  <c r="C56" i="2"/>
  <c r="D56" i="2"/>
  <c r="E56" i="2"/>
  <c r="D40" i="2"/>
  <c r="E40" i="2"/>
  <c r="D36" i="2"/>
  <c r="E36" i="2"/>
  <c r="E65" i="2"/>
  <c r="D65" i="2"/>
  <c r="C66" i="2"/>
  <c r="E66" i="2"/>
  <c r="D66" i="2"/>
  <c r="D49" i="2"/>
  <c r="E49" i="2"/>
  <c r="D48" i="2"/>
  <c r="E48" i="2"/>
  <c r="E79" i="2"/>
  <c r="D79" i="2"/>
  <c r="E64" i="2"/>
  <c r="D64" i="2"/>
  <c r="D37" i="2"/>
  <c r="E37" i="2"/>
  <c r="D51" i="2"/>
  <c r="E51" i="2"/>
  <c r="D67" i="2"/>
  <c r="E67" i="2"/>
  <c r="D46" i="2"/>
  <c r="E46" i="2"/>
  <c r="D39" i="2"/>
  <c r="E39" i="2"/>
  <c r="C69" i="2"/>
  <c r="E69" i="2"/>
  <c r="D69" i="2"/>
  <c r="E70" i="2"/>
  <c r="D70" i="2"/>
  <c r="C74" i="2"/>
  <c r="D74" i="2"/>
  <c r="D55" i="2"/>
  <c r="E55" i="2"/>
  <c r="D52" i="2"/>
  <c r="E52" i="2"/>
  <c r="D53" i="2"/>
  <c r="E53" i="2"/>
  <c r="D34" i="2"/>
  <c r="E34" i="2"/>
  <c r="D45" i="2"/>
  <c r="E45" i="2"/>
  <c r="C33" i="2"/>
  <c r="K72" i="2"/>
  <c r="C30" i="2"/>
  <c r="K41" i="2"/>
  <c r="C52" i="2"/>
  <c r="C36" i="2"/>
  <c r="C48" i="2"/>
  <c r="C49" i="2"/>
  <c r="C62" i="2"/>
  <c r="O15" i="2"/>
  <c r="O3" i="2"/>
  <c r="O11" i="2"/>
  <c r="O7" i="2"/>
  <c r="O14" i="2"/>
  <c r="O9" i="2"/>
  <c r="O16" i="2"/>
  <c r="O18" i="2"/>
  <c r="O10" i="2"/>
  <c r="O5" i="2"/>
  <c r="O12" i="2"/>
  <c r="O13" i="2"/>
  <c r="O6" i="2"/>
  <c r="O8" i="2"/>
  <c r="O17" i="2"/>
  <c r="O4" i="2"/>
  <c r="C38" i="2"/>
  <c r="C53" i="2"/>
  <c r="C79" i="2"/>
  <c r="C78" i="2"/>
  <c r="C65" i="2"/>
  <c r="C70" i="2"/>
  <c r="C67" i="2"/>
  <c r="C37" i="2"/>
  <c r="C77" i="2"/>
  <c r="C61" i="2"/>
  <c r="C64" i="2"/>
  <c r="C63" i="2"/>
  <c r="C76" i="2"/>
  <c r="C55" i="2"/>
  <c r="C34" i="2"/>
  <c r="C50" i="2"/>
  <c r="C46" i="2"/>
  <c r="C39" i="2"/>
  <c r="C45" i="2"/>
  <c r="C35" i="2"/>
  <c r="C51" i="2"/>
  <c r="O72" i="2"/>
  <c r="O41" i="2"/>
  <c r="O57" i="2"/>
  <c r="O82" i="2"/>
  <c r="G19" i="2"/>
  <c r="O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Francisca Virtuoso</author>
  </authors>
  <commentList>
    <comment ref="A141" authorId="0" shapeId="0" xr:uid="{2128E168-71A1-46FF-BA57-95717B1CE338}">
      <text>
        <r>
          <rPr>
            <b/>
            <sz val="9"/>
            <color rgb="FF000000"/>
            <rFont val="Tahoma"/>
            <family val="2"/>
          </rPr>
          <t>Francisca Virtuoso: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<sst xmlns="http://schemas.openxmlformats.org/spreadsheetml/2006/main" count="3157" uniqueCount="433">
  <si>
    <t xml:space="preserve">Order of analysis </t>
  </si>
  <si>
    <t>ID</t>
  </si>
  <si>
    <t>carnivore species</t>
  </si>
  <si>
    <t>Date found</t>
  </si>
  <si>
    <t>latitude</t>
  </si>
  <si>
    <t>longitude</t>
  </si>
  <si>
    <t>season (wet Dec-Apr, dry May-Nov)</t>
  </si>
  <si>
    <t>prey species 1</t>
  </si>
  <si>
    <t>prey species 2</t>
  </si>
  <si>
    <t>prey species 3</t>
  </si>
  <si>
    <t>prey species 4</t>
  </si>
  <si>
    <t>biomass 1</t>
  </si>
  <si>
    <t>biomass 2</t>
  </si>
  <si>
    <t>biomass 3</t>
  </si>
  <si>
    <t>biomass 4</t>
  </si>
  <si>
    <t>student</t>
  </si>
  <si>
    <t>Notes</t>
  </si>
  <si>
    <t>Aardvark</t>
  </si>
  <si>
    <t>LION</t>
  </si>
  <si>
    <t>Bh01</t>
  </si>
  <si>
    <t>brown hyena</t>
  </si>
  <si>
    <t xml:space="preserve">dry </t>
  </si>
  <si>
    <t>zebra</t>
  </si>
  <si>
    <t>Gijs</t>
  </si>
  <si>
    <t>Baboon</t>
  </si>
  <si>
    <t>Bh02</t>
  </si>
  <si>
    <t>impala</t>
  </si>
  <si>
    <t>Bat eared fox</t>
  </si>
  <si>
    <t>Bh03</t>
  </si>
  <si>
    <t>kudu</t>
  </si>
  <si>
    <t>Bushbuck</t>
  </si>
  <si>
    <t>Bh04</t>
  </si>
  <si>
    <t>Cow</t>
  </si>
  <si>
    <t>Bh05</t>
  </si>
  <si>
    <t>Bad quality hair</t>
  </si>
  <si>
    <t>Dog</t>
  </si>
  <si>
    <t>Bh06</t>
  </si>
  <si>
    <t>wildebeest</t>
  </si>
  <si>
    <t>Donkey</t>
  </si>
  <si>
    <t>Bh07</t>
  </si>
  <si>
    <t>wet</t>
  </si>
  <si>
    <t>Just 2 black hairs with different pattern, not very clear imprints so I decided to not attribute a second prey species</t>
  </si>
  <si>
    <t>Duiker</t>
  </si>
  <si>
    <t>Bh08</t>
  </si>
  <si>
    <t>waterbuck</t>
  </si>
  <si>
    <t>bushbuck</t>
  </si>
  <si>
    <t>Difficult estimate between bushbuck &amp; impala for the regular patterned hairs</t>
  </si>
  <si>
    <t>Eland</t>
  </si>
  <si>
    <t>Bh09</t>
  </si>
  <si>
    <t xml:space="preserve">zebra  </t>
  </si>
  <si>
    <t>Goat</t>
  </si>
  <si>
    <t>Bh10</t>
  </si>
  <si>
    <t>duiker</t>
  </si>
  <si>
    <t>Elephant</t>
  </si>
  <si>
    <t>Bh11</t>
  </si>
  <si>
    <t>-22,36540</t>
  </si>
  <si>
    <t>rock hyrax</t>
  </si>
  <si>
    <t>Impala</t>
  </si>
  <si>
    <t>Bh12</t>
  </si>
  <si>
    <t>only few hairs (18)</t>
  </si>
  <si>
    <t>Klipspringer</t>
  </si>
  <si>
    <t>Bh13</t>
  </si>
  <si>
    <t>Kudu</t>
  </si>
  <si>
    <t>Bh14</t>
  </si>
  <si>
    <t>claw steenbok/klipspringer/duiker in faeces</t>
  </si>
  <si>
    <t>Sheep</t>
  </si>
  <si>
    <t>Bh15</t>
  </si>
  <si>
    <t>Same kill date as B14 + similar hairs! zebra based on 3 long white hairs (5, 7, 18)</t>
  </si>
  <si>
    <t>Rock Hyrax</t>
  </si>
  <si>
    <t>Bh16</t>
  </si>
  <si>
    <t>Springhare</t>
  </si>
  <si>
    <t>Bh17</t>
  </si>
  <si>
    <t>donkey</t>
  </si>
  <si>
    <t>Wildebeest</t>
  </si>
  <si>
    <t>Bh18</t>
  </si>
  <si>
    <t>Warthog</t>
  </si>
  <si>
    <t>Bh19</t>
  </si>
  <si>
    <t>not sure, lot of different colours &amp; patterns</t>
  </si>
  <si>
    <t>Waterbuck</t>
  </si>
  <si>
    <t>Bh20</t>
  </si>
  <si>
    <t>Zebra</t>
  </si>
  <si>
    <t>Bh21</t>
  </si>
  <si>
    <t xml:space="preserve">Total </t>
  </si>
  <si>
    <t>Bh22</t>
  </si>
  <si>
    <t>kudu based on two hairs (5 &amp; 17)</t>
  </si>
  <si>
    <t>Bh23</t>
  </si>
  <si>
    <t>only two hairs, mainly plant matter in scat</t>
  </si>
  <si>
    <t>Bh24</t>
  </si>
  <si>
    <t>dry</t>
  </si>
  <si>
    <t>DIRECT OBSERVATION</t>
  </si>
  <si>
    <t>Bh25</t>
  </si>
  <si>
    <t>Francisca</t>
  </si>
  <si>
    <t>Bh26</t>
  </si>
  <si>
    <t>Bh27</t>
  </si>
  <si>
    <t>Check impala, because of the number of scales. But size indicates bushbuck</t>
  </si>
  <si>
    <t>Bh28</t>
  </si>
  <si>
    <t>klipspringer</t>
  </si>
  <si>
    <t>Few hairs</t>
  </si>
  <si>
    <t>Bh29</t>
  </si>
  <si>
    <t>Bh30</t>
  </si>
  <si>
    <t>Wildebeest might be waterbuck</t>
  </si>
  <si>
    <t>Bh31</t>
  </si>
  <si>
    <t>Bh32</t>
  </si>
  <si>
    <t>Bh33</t>
  </si>
  <si>
    <t>Confirm</t>
  </si>
  <si>
    <t>Bh34</t>
  </si>
  <si>
    <t>Sometimes Wildebeest?</t>
  </si>
  <si>
    <t>Bh35</t>
  </si>
  <si>
    <t>Bad quality imprints</t>
  </si>
  <si>
    <t>Bh36</t>
  </si>
  <si>
    <t>There is another species, but all imprints are unclear - biased</t>
  </si>
  <si>
    <t>Bh37</t>
  </si>
  <si>
    <t>sheep</t>
  </si>
  <si>
    <t>Bh38</t>
  </si>
  <si>
    <t>AUGUST</t>
  </si>
  <si>
    <t>Bh39</t>
  </si>
  <si>
    <t>Bh40</t>
  </si>
  <si>
    <t xml:space="preserve">impala </t>
  </si>
  <si>
    <t>Found on same location and date. Same wildebeest, share? Or same individual</t>
  </si>
  <si>
    <t>Bh41</t>
  </si>
  <si>
    <t>Bh42</t>
  </si>
  <si>
    <t>Bh43</t>
  </si>
  <si>
    <t>Ariet</t>
  </si>
  <si>
    <t>Bh44</t>
  </si>
  <si>
    <t>Bh45</t>
  </si>
  <si>
    <t>Bh46</t>
  </si>
  <si>
    <t>Bh47</t>
  </si>
  <si>
    <t>Bh48</t>
  </si>
  <si>
    <t>Bh49</t>
  </si>
  <si>
    <t>Bh50</t>
  </si>
  <si>
    <t>Bh51</t>
  </si>
  <si>
    <t>Bh52</t>
  </si>
  <si>
    <t>Bh53</t>
  </si>
  <si>
    <t>Bh54</t>
  </si>
  <si>
    <t>Bh55</t>
  </si>
  <si>
    <t>Bh56</t>
  </si>
  <si>
    <t>Bh57</t>
  </si>
  <si>
    <t>Bh58</t>
  </si>
  <si>
    <t>springhare</t>
  </si>
  <si>
    <t>Bh59</t>
  </si>
  <si>
    <t>Bh60</t>
  </si>
  <si>
    <t>Bh61</t>
  </si>
  <si>
    <t xml:space="preserve">wet </t>
  </si>
  <si>
    <t>Bh62</t>
  </si>
  <si>
    <t>Bh63</t>
  </si>
  <si>
    <t>Bh64</t>
  </si>
  <si>
    <t>Bh65</t>
  </si>
  <si>
    <t>Bh66</t>
  </si>
  <si>
    <t>Bh67</t>
  </si>
  <si>
    <t>Bh68</t>
  </si>
  <si>
    <t>Bh69</t>
  </si>
  <si>
    <t>Bh70</t>
  </si>
  <si>
    <t>Bh71</t>
  </si>
  <si>
    <t>warthog</t>
  </si>
  <si>
    <t>Bh72</t>
  </si>
  <si>
    <t>Bh73</t>
  </si>
  <si>
    <t>Bh74</t>
  </si>
  <si>
    <t>Le01</t>
  </si>
  <si>
    <t>leopard</t>
  </si>
  <si>
    <t>bat eared fox</t>
  </si>
  <si>
    <t>Joeri</t>
  </si>
  <si>
    <t>Le02</t>
  </si>
  <si>
    <t>Le03</t>
  </si>
  <si>
    <t>Le04</t>
  </si>
  <si>
    <t>Le05</t>
  </si>
  <si>
    <t>Le06</t>
  </si>
  <si>
    <t>Le07</t>
  </si>
  <si>
    <t>Le08</t>
  </si>
  <si>
    <t>Le09</t>
  </si>
  <si>
    <t>Le10</t>
  </si>
  <si>
    <t>Le11</t>
  </si>
  <si>
    <t>Le12</t>
  </si>
  <si>
    <t>Le13</t>
  </si>
  <si>
    <t>Le14</t>
  </si>
  <si>
    <t>Not sure about the irregular hairs.. Might be zebra but also leopard hairs (due to licking/cleaning itself?)</t>
  </si>
  <si>
    <t>Le15</t>
  </si>
  <si>
    <t xml:space="preserve">Only a few picture look like impala, also these are bad quality </t>
  </si>
  <si>
    <t>Le16</t>
  </si>
  <si>
    <t>Le17</t>
  </si>
  <si>
    <t>Le18</t>
  </si>
  <si>
    <t>Le19</t>
  </si>
  <si>
    <t>BASED ON 1 HAIR!! mostly grass, very few hairs and very small hairs</t>
  </si>
  <si>
    <t>Le20</t>
  </si>
  <si>
    <t>Le21</t>
  </si>
  <si>
    <t>Le22</t>
  </si>
  <si>
    <t>Le23</t>
  </si>
  <si>
    <t>zebra based on two hairs (13 &amp; 23)</t>
  </si>
  <si>
    <t>Le24</t>
  </si>
  <si>
    <t xml:space="preserve">bushbuck </t>
  </si>
  <si>
    <t>bad quality hairs</t>
  </si>
  <si>
    <t>Le25</t>
  </si>
  <si>
    <t>Le26</t>
  </si>
  <si>
    <t>Double check!</t>
  </si>
  <si>
    <t>Le27</t>
  </si>
  <si>
    <t>bad quality imprints</t>
  </si>
  <si>
    <t>Le28</t>
  </si>
  <si>
    <t>Le29</t>
  </si>
  <si>
    <t>Doubting between kudu or bushbuck.. Very few hairs, mainly grass &amp; stones in scat!</t>
  </si>
  <si>
    <t>Le30</t>
  </si>
  <si>
    <t>Le31</t>
  </si>
  <si>
    <t>lot of grass &amp; poor quality hairs. Various small (leg/finger) bones in scate, take into account rodents &amp; primates.</t>
  </si>
  <si>
    <t>Le32</t>
  </si>
  <si>
    <t>Le33</t>
  </si>
  <si>
    <t>Le34</t>
  </si>
  <si>
    <t>Le35</t>
  </si>
  <si>
    <t>raptor</t>
  </si>
  <si>
    <t>small hairy claws in scat</t>
  </si>
  <si>
    <t>Le36</t>
  </si>
  <si>
    <t>Le37</t>
  </si>
  <si>
    <t>Le38</t>
  </si>
  <si>
    <t>Le39</t>
  </si>
  <si>
    <t xml:space="preserve">bat eared fox </t>
  </si>
  <si>
    <t>bat eared fox or leopard???</t>
  </si>
  <si>
    <t>Le40</t>
  </si>
  <si>
    <t>Le41</t>
  </si>
  <si>
    <t>Le42</t>
  </si>
  <si>
    <t>Le43</t>
  </si>
  <si>
    <t>Le44</t>
  </si>
  <si>
    <t>aardvark</t>
  </si>
  <si>
    <t>Le45</t>
  </si>
  <si>
    <t>Le46</t>
  </si>
  <si>
    <t>Le47</t>
  </si>
  <si>
    <t>Le48</t>
  </si>
  <si>
    <t>Le49</t>
  </si>
  <si>
    <t>very bad quality, AUGUST</t>
  </si>
  <si>
    <t>Le50</t>
  </si>
  <si>
    <t>Le51</t>
  </si>
  <si>
    <t>Le52</t>
  </si>
  <si>
    <t>Le53</t>
  </si>
  <si>
    <t>Le54</t>
  </si>
  <si>
    <t>Le55</t>
  </si>
  <si>
    <t>Le56</t>
  </si>
  <si>
    <t>Le57</t>
  </si>
  <si>
    <t>Le58</t>
  </si>
  <si>
    <t>Li01</t>
  </si>
  <si>
    <t>lion</t>
  </si>
  <si>
    <t>not 100 per cent sure</t>
  </si>
  <si>
    <t>Li02</t>
  </si>
  <si>
    <t>Li03</t>
  </si>
  <si>
    <t>Li04</t>
  </si>
  <si>
    <t>Li05</t>
  </si>
  <si>
    <t>Li06</t>
  </si>
  <si>
    <t>eland</t>
  </si>
  <si>
    <t>Small &amp; very small hooves in scat.. not sure about long hairs (orange &amp; white), first guess was kudu or eland..</t>
  </si>
  <si>
    <t>Li07</t>
  </si>
  <si>
    <t>Li08</t>
  </si>
  <si>
    <t>Li09</t>
  </si>
  <si>
    <t>Sh01</t>
  </si>
  <si>
    <t xml:space="preserve">spotted hyena </t>
  </si>
  <si>
    <t>Sh02</t>
  </si>
  <si>
    <t>Sh03</t>
  </si>
  <si>
    <t>Sh04</t>
  </si>
  <si>
    <t>Sh05</t>
  </si>
  <si>
    <t>Sh06</t>
  </si>
  <si>
    <t>Sh07</t>
  </si>
  <si>
    <t>Sh08</t>
  </si>
  <si>
    <t>Sh09</t>
  </si>
  <si>
    <t>Sh10</t>
  </si>
  <si>
    <t>Sh11</t>
  </si>
  <si>
    <t>dog</t>
  </si>
  <si>
    <t>cow</t>
  </si>
  <si>
    <t>Sh12</t>
  </si>
  <si>
    <t>Sh13</t>
  </si>
  <si>
    <t>Sh14</t>
  </si>
  <si>
    <t>baboon</t>
  </si>
  <si>
    <t>Sh15</t>
  </si>
  <si>
    <t>Sh16</t>
  </si>
  <si>
    <t>Sh17</t>
  </si>
  <si>
    <t>Bad quality hairs, very short ones --&gt; estimated guess that it is a rodent --&gt; rock hyrax</t>
  </si>
  <si>
    <t>Sh18</t>
  </si>
  <si>
    <t>Sh19</t>
  </si>
  <si>
    <t>Sh20</t>
  </si>
  <si>
    <t xml:space="preserve">Very few hairs in sample, lot of bones. </t>
  </si>
  <si>
    <t>Sh21</t>
  </si>
  <si>
    <t>crocodile</t>
  </si>
  <si>
    <t>Very few hairs in sample and very small (zebra) + tooth and scales that look like crocodile</t>
  </si>
  <si>
    <t>Sh22</t>
  </si>
  <si>
    <t>First guess was GOAT, similar to Sh09</t>
  </si>
  <si>
    <t>Sh23</t>
  </si>
  <si>
    <t xml:space="preserve">similar to Sh08 </t>
  </si>
  <si>
    <t>Sh24</t>
  </si>
  <si>
    <t>Sh25</t>
  </si>
  <si>
    <t>Mostly grass. Impala BASED ON 1 HAIR!</t>
  </si>
  <si>
    <t>Sh26</t>
  </si>
  <si>
    <t>Sh27</t>
  </si>
  <si>
    <t>Sh28</t>
  </si>
  <si>
    <t xml:space="preserve">Not sure, lot of different colours of hairs.. </t>
  </si>
  <si>
    <t>Sh29</t>
  </si>
  <si>
    <t>Sh30</t>
  </si>
  <si>
    <t>Sh31</t>
  </si>
  <si>
    <t>Sh32</t>
  </si>
  <si>
    <t>elephant</t>
  </si>
  <si>
    <t>(baby)</t>
  </si>
  <si>
    <t>Sh33</t>
  </si>
  <si>
    <t>spotted hyena</t>
  </si>
  <si>
    <t>Sh34</t>
  </si>
  <si>
    <t>not good quality</t>
  </si>
  <si>
    <t>Sh35</t>
  </si>
  <si>
    <t>Sh36</t>
  </si>
  <si>
    <t>? Very few hairs</t>
  </si>
  <si>
    <t>Sh37</t>
  </si>
  <si>
    <t>very different patterns, AUGUST</t>
  </si>
  <si>
    <t>Sh38</t>
  </si>
  <si>
    <t>Sh39</t>
  </si>
  <si>
    <t>Sh40</t>
  </si>
  <si>
    <t>Sh41</t>
  </si>
  <si>
    <t>Sh42</t>
  </si>
  <si>
    <t>Sh43</t>
  </si>
  <si>
    <t>Sh44</t>
  </si>
  <si>
    <t>Sh45</t>
  </si>
  <si>
    <t>Sh46</t>
  </si>
  <si>
    <t>Sh47</t>
  </si>
  <si>
    <t>Sh48</t>
  </si>
  <si>
    <t>Sh49</t>
  </si>
  <si>
    <t>Sh50</t>
  </si>
  <si>
    <t>Sh51</t>
  </si>
  <si>
    <t>Sh52</t>
  </si>
  <si>
    <t>Sh53</t>
  </si>
  <si>
    <t>Sh54</t>
  </si>
  <si>
    <t>Sh55</t>
  </si>
  <si>
    <t>Sh56</t>
  </si>
  <si>
    <t>Sh57</t>
  </si>
  <si>
    <t>Sh58</t>
  </si>
  <si>
    <t>Sh59</t>
  </si>
  <si>
    <t>Sh60</t>
  </si>
  <si>
    <t>Wd01</t>
  </si>
  <si>
    <t>wild dog</t>
  </si>
  <si>
    <t>Wd02</t>
  </si>
  <si>
    <t>Wd03</t>
  </si>
  <si>
    <t>Wd04</t>
  </si>
  <si>
    <t>Wd05</t>
  </si>
  <si>
    <t>Wd06</t>
  </si>
  <si>
    <t>Wd07</t>
  </si>
  <si>
    <t>Wd08</t>
  </si>
  <si>
    <t>Wd09</t>
  </si>
  <si>
    <t>Wd10</t>
  </si>
  <si>
    <t>Wd11</t>
  </si>
  <si>
    <t>Wd12</t>
  </si>
  <si>
    <t>Wd13</t>
  </si>
  <si>
    <t>Wd14</t>
  </si>
  <si>
    <t>Wd15</t>
  </si>
  <si>
    <t>Wd16</t>
  </si>
  <si>
    <t>Wd17</t>
  </si>
  <si>
    <t>Wd18</t>
  </si>
  <si>
    <t>Wd19</t>
  </si>
  <si>
    <t>Wd20</t>
  </si>
  <si>
    <t>Wd21</t>
  </si>
  <si>
    <t>Wd22</t>
  </si>
  <si>
    <t>Wd23</t>
  </si>
  <si>
    <t>Wd24</t>
  </si>
  <si>
    <t>goat</t>
  </si>
  <si>
    <t>Wd25</t>
  </si>
  <si>
    <t>Wd26</t>
  </si>
  <si>
    <t>Wd27</t>
  </si>
  <si>
    <t>Both seasons</t>
  </si>
  <si>
    <t>Wet season</t>
  </si>
  <si>
    <t>Dry season</t>
  </si>
  <si>
    <t>Total</t>
  </si>
  <si>
    <t>total</t>
  </si>
  <si>
    <t>Species - G</t>
  </si>
  <si>
    <t>Individuals</t>
  </si>
  <si>
    <t>Relative Abundance (%)</t>
  </si>
  <si>
    <t>Species -F</t>
  </si>
  <si>
    <t xml:space="preserve">Relative Abundance (%) </t>
  </si>
  <si>
    <t>Species - Ariet</t>
  </si>
  <si>
    <t xml:space="preserve">Species (G+F)+A </t>
  </si>
  <si>
    <t>Prey Species</t>
  </si>
  <si>
    <t>Total in scats</t>
  </si>
  <si>
    <t>check</t>
  </si>
  <si>
    <t>Bat-eared-fox</t>
  </si>
  <si>
    <t>Spinghare</t>
  </si>
  <si>
    <t>Carnivore</t>
  </si>
  <si>
    <t>Leopard</t>
  </si>
  <si>
    <t>Spotted Hyena</t>
  </si>
  <si>
    <t>Brown Hyena</t>
  </si>
  <si>
    <t>Wild Dog</t>
  </si>
  <si>
    <t>Carnivore species</t>
  </si>
  <si>
    <t>Jacob's index F</t>
  </si>
  <si>
    <t>Jacob's index G</t>
  </si>
  <si>
    <t>Jacob's index G+F+A</t>
  </si>
  <si>
    <t>Jacob's index wet</t>
  </si>
  <si>
    <t>Jacob's index dry</t>
  </si>
  <si>
    <t>N both</t>
  </si>
  <si>
    <t>N wet</t>
  </si>
  <si>
    <t>N dry</t>
  </si>
  <si>
    <t>Availability F</t>
  </si>
  <si>
    <t>Availability G</t>
  </si>
  <si>
    <t>Availability A</t>
  </si>
  <si>
    <t>Availability (G+F)+A</t>
  </si>
  <si>
    <t>Prey (%)</t>
  </si>
  <si>
    <t>Prey (%) W</t>
  </si>
  <si>
    <t>Prey (%) D</t>
  </si>
  <si>
    <t>Body mass (Kg)</t>
  </si>
  <si>
    <t xml:space="preserve">Herd size </t>
  </si>
  <si>
    <t>both</t>
  </si>
  <si>
    <t xml:space="preserve">Leopard </t>
  </si>
  <si>
    <t xml:space="preserve">Brown Hyena </t>
  </si>
  <si>
    <t xml:space="preserve">Wild Dog </t>
  </si>
  <si>
    <t>Jacob's index leopard</t>
  </si>
  <si>
    <t>TOTAL</t>
  </si>
  <si>
    <t>WET</t>
  </si>
  <si>
    <t>DRY</t>
  </si>
  <si>
    <t>Jacob's index spotted hyena</t>
  </si>
  <si>
    <t>Jacob's index brown hyena</t>
  </si>
  <si>
    <t>Jacob's index wild dog</t>
  </si>
  <si>
    <t>Niche overlap - Pianka's index</t>
  </si>
  <si>
    <r>
      <t>O</t>
    </r>
    <r>
      <rPr>
        <b/>
        <i/>
        <vertAlign val="subscript"/>
        <sz val="10"/>
        <color indexed="16"/>
        <rFont val="Times New Roman"/>
        <family val="1"/>
      </rPr>
      <t>ij</t>
    </r>
    <r>
      <rPr>
        <b/>
        <i/>
        <sz val="10"/>
        <color indexed="16"/>
        <rFont val="Times New Roman"/>
        <family val="1"/>
      </rPr>
      <t xml:space="preserve"> </t>
    </r>
    <r>
      <rPr>
        <sz val="10"/>
        <color indexed="16"/>
        <rFont val="Times New Roman"/>
        <family val="1"/>
      </rPr>
      <t xml:space="preserve"> =</t>
    </r>
  </si>
  <si>
    <r>
      <t xml:space="preserve">   </t>
    </r>
    <r>
      <rPr>
        <i/>
        <sz val="10"/>
        <color indexed="16"/>
        <rFont val="Times New Roman"/>
        <family val="1"/>
      </rPr>
      <t>∑p</t>
    </r>
    <r>
      <rPr>
        <i/>
        <vertAlign val="subscript"/>
        <sz val="10"/>
        <color indexed="16"/>
        <rFont val="Times New Roman"/>
        <family val="1"/>
      </rPr>
      <t>ij</t>
    </r>
    <r>
      <rPr>
        <i/>
        <sz val="10"/>
        <color indexed="16"/>
        <rFont val="Times New Roman"/>
        <family val="1"/>
      </rPr>
      <t>p</t>
    </r>
    <r>
      <rPr>
        <i/>
        <vertAlign val="subscript"/>
        <sz val="10"/>
        <color indexed="16"/>
        <rFont val="Times New Roman"/>
        <family val="1"/>
      </rPr>
      <t>ik</t>
    </r>
  </si>
  <si>
    <r>
      <t>/√(∑ p</t>
    </r>
    <r>
      <rPr>
        <i/>
        <vertAlign val="subscript"/>
        <sz val="10"/>
        <color indexed="16"/>
        <rFont val="Times New Roman"/>
        <family val="1"/>
      </rPr>
      <t>ij</t>
    </r>
    <r>
      <rPr>
        <i/>
        <vertAlign val="superscript"/>
        <sz val="10"/>
        <color indexed="16"/>
        <rFont val="Times New Roman"/>
        <family val="1"/>
      </rPr>
      <t>2</t>
    </r>
    <r>
      <rPr>
        <i/>
        <sz val="10"/>
        <color indexed="16"/>
        <rFont val="Times New Roman"/>
        <family val="1"/>
      </rPr>
      <t xml:space="preserve"> ∑p</t>
    </r>
    <r>
      <rPr>
        <i/>
        <vertAlign val="subscript"/>
        <sz val="10"/>
        <color indexed="16"/>
        <rFont val="Times New Roman"/>
        <family val="1"/>
      </rPr>
      <t>ik</t>
    </r>
    <r>
      <rPr>
        <i/>
        <vertAlign val="superscript"/>
        <sz val="10"/>
        <color indexed="16"/>
        <rFont val="Times New Roman"/>
        <family val="1"/>
      </rPr>
      <t>2</t>
    </r>
    <r>
      <rPr>
        <i/>
        <sz val="10"/>
        <color indexed="16"/>
        <rFont val="Times New Roman"/>
        <family val="1"/>
      </rPr>
      <t>)</t>
    </r>
  </si>
  <si>
    <t>L*S</t>
  </si>
  <si>
    <t>L*B</t>
  </si>
  <si>
    <t>L*W</t>
  </si>
  <si>
    <t>S*B</t>
  </si>
  <si>
    <t>S*W</t>
  </si>
  <si>
    <t>B*W</t>
  </si>
  <si>
    <t>Wet</t>
  </si>
  <si>
    <t>Dry</t>
  </si>
  <si>
    <t>Species/season</t>
  </si>
  <si>
    <t>Leopard &amp; Spotted</t>
  </si>
  <si>
    <t>Leopard &amp; Brown</t>
  </si>
  <si>
    <t>Leopard &amp; Wild dog</t>
  </si>
  <si>
    <t xml:space="preserve">Spotted &amp; Brown </t>
  </si>
  <si>
    <t>Spotted &amp; Wild dog</t>
  </si>
  <si>
    <t>Brown &amp; Wild dog</t>
  </si>
  <si>
    <t>Oij (Overlap)</t>
  </si>
  <si>
    <t>wilddog</t>
  </si>
  <si>
    <t>Niche breadth - Levin's index</t>
  </si>
  <si>
    <t>B =</t>
  </si>
  <si>
    <r>
      <t>1</t>
    </r>
    <r>
      <rPr>
        <i/>
        <sz val="10"/>
        <color indexed="12"/>
        <rFont val="Times New Roman"/>
        <family val="1"/>
      </rPr>
      <t>/∑p</t>
    </r>
    <r>
      <rPr>
        <i/>
        <vertAlign val="subscript"/>
        <sz val="10"/>
        <color indexed="12"/>
        <rFont val="Times New Roman"/>
        <family val="1"/>
      </rPr>
      <t>i</t>
    </r>
    <r>
      <rPr>
        <i/>
        <vertAlign val="superscript"/>
        <sz val="10"/>
        <color indexed="12"/>
        <rFont val="Times New Roman"/>
        <family val="1"/>
      </rPr>
      <t>2</t>
    </r>
  </si>
  <si>
    <t xml:space="preserve">Wild dog </t>
  </si>
  <si>
    <t xml:space="preserve">Proportion of </t>
  </si>
  <si>
    <t>proportion squared</t>
  </si>
  <si>
    <t>Niche breadth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</si>
</sst>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00"/>
  </numFmts>
  <fonts count="2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1"/>
      <color indexed="12"/>
      <name val="Times New Roman"/>
      <family val="1"/>
    </font>
    <font>
      <b/>
      <i/>
      <sz val="10"/>
      <color indexed="12"/>
      <name val="Times New Roman"/>
      <family val="1"/>
    </font>
    <font>
      <sz val="10"/>
      <color indexed="12"/>
      <name val="Times New Roman"/>
      <family val="1"/>
    </font>
    <font>
      <i/>
      <sz val="10"/>
      <color indexed="12"/>
      <name val="Times New Roman"/>
      <family val="1"/>
    </font>
    <font>
      <i/>
      <vertAlign val="subscript"/>
      <sz val="10"/>
      <color indexed="12"/>
      <name val="Times New Roman"/>
      <family val="1"/>
    </font>
    <font>
      <i/>
      <vertAlign val="superscript"/>
      <sz val="10"/>
      <color indexed="12"/>
      <name val="Times New Roman"/>
      <family val="1"/>
    </font>
    <font>
      <b/>
      <sz val="11"/>
      <color indexed="16"/>
      <name val="Times New Roman"/>
      <family val="1"/>
    </font>
    <font>
      <b/>
      <i/>
      <sz val="10"/>
      <color indexed="16"/>
      <name val="Times New Roman"/>
      <family val="1"/>
    </font>
    <font>
      <b/>
      <i/>
      <vertAlign val="subscript"/>
      <sz val="10"/>
      <color indexed="16"/>
      <name val="Times New Roman"/>
      <family val="1"/>
    </font>
    <font>
      <sz val="10"/>
      <color indexed="16"/>
      <name val="Times New Roman"/>
      <family val="1"/>
    </font>
    <font>
      <i/>
      <sz val="10"/>
      <color indexed="16"/>
      <name val="Times New Roman"/>
      <family val="1"/>
    </font>
    <font>
      <i/>
      <vertAlign val="subscript"/>
      <sz val="10"/>
      <color indexed="16"/>
      <name val="Times New Roman"/>
      <family val="1"/>
    </font>
    <font>
      <i/>
      <vertAlign val="superscript"/>
      <sz val="10"/>
      <color indexed="16"/>
      <name val="Times New Roman"/>
      <family val="1"/>
    </font>
    <font>
      <sz val="10"/>
      <color indexed="16"/>
      <name val="Arial"/>
      <family val="2"/>
    </font>
    <font>
      <sz val="10"/>
      <color theme="1"/>
      <name val="Times New Roman"/>
      <family val="1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2" fillId="7" borderId="0" applyNumberFormat="0" applyBorder="0" applyAlignment="0" applyProtection="0"/>
    <xf numFmtId="0" fontId="23" fillId="8" borderId="0" applyNumberFormat="0" applyBorder="0" applyAlignment="0" applyProtection="0"/>
    <xf numFmtId="0" fontId="24" fillId="9" borderId="0" applyNumberFormat="0" applyBorder="0" applyAlignment="0" applyProtection="0"/>
    <xf numFmtId="0" fontId="25" fillId="10" borderId="0" applyNumberFormat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 vertical="top"/>
    </xf>
    <xf numFmtId="17" fontId="0" fillId="0" borderId="0" xfId="0" applyNumberFormat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/>
    <xf numFmtId="14" fontId="0" fillId="2" borderId="0" xfId="0" applyNumberFormat="1" applyFill="1" applyAlignment="1">
      <alignment horizontal="left"/>
    </xf>
    <xf numFmtId="0" fontId="0" fillId="3" borderId="0" xfId="0" applyFill="1"/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0" fontId="0" fillId="0" borderId="0" xfId="0" applyNumberFormat="1"/>
    <xf numFmtId="2" fontId="0" fillId="0" borderId="0" xfId="0" applyNumberFormat="1"/>
    <xf numFmtId="0" fontId="3" fillId="4" borderId="0" xfId="1"/>
    <xf numFmtId="0" fontId="3" fillId="5" borderId="0" xfId="2"/>
    <xf numFmtId="0" fontId="3" fillId="6" borderId="0" xfId="3" applyAlignment="1">
      <alignment horizontal="left"/>
    </xf>
    <xf numFmtId="0" fontId="3" fillId="6" borderId="0" xfId="3"/>
    <xf numFmtId="0" fontId="9" fillId="0" borderId="0" xfId="0" applyFont="1" applyAlignment="1">
      <alignment horizontal="center"/>
    </xf>
    <xf numFmtId="0" fontId="10" fillId="0" borderId="0" xfId="0" applyFont="1"/>
    <xf numFmtId="0" fontId="15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8" fillId="0" borderId="0" xfId="0" applyFont="1"/>
    <xf numFmtId="0" fontId="21" fillId="0" borderId="0" xfId="0" applyFont="1"/>
    <xf numFmtId="0" fontId="22" fillId="0" borderId="0" xfId="0" applyFont="1"/>
    <xf numFmtId="0" fontId="2" fillId="7" borderId="0" xfId="4"/>
    <xf numFmtId="10" fontId="3" fillId="6" borderId="0" xfId="3" applyNumberFormat="1"/>
    <xf numFmtId="0" fontId="1" fillId="6" borderId="0" xfId="3" applyFont="1"/>
    <xf numFmtId="165" fontId="0" fillId="0" borderId="0" xfId="0" applyNumberFormat="1"/>
    <xf numFmtId="0" fontId="0" fillId="0" borderId="1" xfId="0" applyBorder="1"/>
    <xf numFmtId="0" fontId="26" fillId="0" borderId="1" xfId="0" applyFont="1" applyBorder="1"/>
    <xf numFmtId="0" fontId="27" fillId="0" borderId="1" xfId="0" applyFont="1" applyBorder="1"/>
    <xf numFmtId="0" fontId="28" fillId="0" borderId="1" xfId="0" applyFont="1" applyBorder="1"/>
    <xf numFmtId="0" fontId="4" fillId="0" borderId="1" xfId="0" applyFont="1" applyBorder="1"/>
    <xf numFmtId="0" fontId="23" fillId="8" borderId="1" xfId="5" applyBorder="1"/>
    <xf numFmtId="0" fontId="25" fillId="10" borderId="1" xfId="7" applyBorder="1"/>
    <xf numFmtId="0" fontId="24" fillId="9" borderId="1" xfId="6" applyBorder="1"/>
    <xf numFmtId="0" fontId="24" fillId="9" borderId="2" xfId="6" applyBorder="1"/>
    <xf numFmtId="0" fontId="24" fillId="9" borderId="0" xfId="6"/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" fillId="4" borderId="0" xfId="1" applyFont="1"/>
  </cellXfs>
  <cellStyles count="8">
    <cellStyle name="20% - Accent3" xfId="4" builtinId="38"/>
    <cellStyle name="20% - Accent4" xfId="1" builtinId="42"/>
    <cellStyle name="20% - Accent5" xfId="2" builtinId="46"/>
    <cellStyle name="20% - Accent6" xfId="3" builtinId="50"/>
    <cellStyle name="Bad" xfId="6" builtinId="27"/>
    <cellStyle name="Good" xfId="5" builtinId="26"/>
    <cellStyle name="Neutral" xfId="7" builtinId="28"/>
    <cellStyle name="Normal" xfId="0" builtinId="0"/>
  </cellStyles>
  <dxfs count="0"/>
  <tableStyles count="0" defaultTableStyle="TableStyleMedium2" defaultPivotStyle="PivotStyleLight16"/>
  <colors>
    <mruColors>
      <color rgb="FFC6EFBE"/>
      <color rgb="FFC2EDF7"/>
      <color rgb="FFFFF7A8"/>
      <color rgb="FFE2EFDB"/>
      <color rgb="FFDDEBF7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Overview!$W$28</c:f>
              <c:strCache>
                <c:ptCount val="1"/>
                <c:pt idx="0">
                  <c:v>both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Overview!$V$29:$V$40</c:f>
              <c:strCache>
                <c:ptCount val="12"/>
                <c:pt idx="0">
                  <c:v>Aardvark</c:v>
                </c:pt>
                <c:pt idx="1">
                  <c:v>Bat eared fox</c:v>
                </c:pt>
                <c:pt idx="2">
                  <c:v>Bushbuck</c:v>
                </c:pt>
                <c:pt idx="3">
                  <c:v>Donkey</c:v>
                </c:pt>
                <c:pt idx="4">
                  <c:v>Duiker</c:v>
                </c:pt>
                <c:pt idx="5">
                  <c:v>Impala</c:v>
                </c:pt>
                <c:pt idx="6">
                  <c:v>Kudu</c:v>
                </c:pt>
                <c:pt idx="7">
                  <c:v>Rock Hyrax</c:v>
                </c:pt>
                <c:pt idx="8">
                  <c:v>Springhare</c:v>
                </c:pt>
                <c:pt idx="9">
                  <c:v>Wildebeest</c:v>
                </c:pt>
                <c:pt idx="10">
                  <c:v>Waterbuck</c:v>
                </c:pt>
                <c:pt idx="11">
                  <c:v>Zebra</c:v>
                </c:pt>
              </c:strCache>
            </c:strRef>
          </c:cat>
          <c:val>
            <c:numRef>
              <c:f>Overview!$W$29:$W$40</c:f>
              <c:numCache>
                <c:formatCode>General</c:formatCode>
                <c:ptCount val="12"/>
                <c:pt idx="0">
                  <c:v>0.86698922366395414</c:v>
                </c:pt>
                <c:pt idx="1">
                  <c:v>0.97035421837667324</c:v>
                </c:pt>
                <c:pt idx="2">
                  <c:v>1</c:v>
                </c:pt>
                <c:pt idx="3">
                  <c:v>1</c:v>
                </c:pt>
                <c:pt idx="4">
                  <c:v>0.50696209328131159</c:v>
                </c:pt>
                <c:pt idx="5">
                  <c:v>-3.4870013029720176E-2</c:v>
                </c:pt>
                <c:pt idx="6">
                  <c:v>0.12530100473303993</c:v>
                </c:pt>
                <c:pt idx="7">
                  <c:v>0.96012921089063219</c:v>
                </c:pt>
                <c:pt idx="8">
                  <c:v>0.32577066901297802</c:v>
                </c:pt>
                <c:pt idx="9">
                  <c:v>-0.35968183742083876</c:v>
                </c:pt>
                <c:pt idx="10">
                  <c:v>0.89776042367936815</c:v>
                </c:pt>
                <c:pt idx="11">
                  <c:v>-0.39805279910129193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2-9E48-986D-5BCD03A4A950}"/>
            </c:ext>
          </c:extLst>
        </c:ser>
        <c:ser>
          <c:idx val="1"/>
          <c:order val="1"/>
          <c:tx>
            <c:strRef>
              <c:f>Overview!$X$28</c:f>
              <c:strCache>
                <c:ptCount val="1"/>
                <c:pt idx="0">
                  <c:v>wet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Overview!$V$29:$V$40</c:f>
              <c:strCache>
                <c:ptCount val="12"/>
                <c:pt idx="0">
                  <c:v>Aardvark</c:v>
                </c:pt>
                <c:pt idx="1">
                  <c:v>Bat eared fox</c:v>
                </c:pt>
                <c:pt idx="2">
                  <c:v>Bushbuck</c:v>
                </c:pt>
                <c:pt idx="3">
                  <c:v>Donkey</c:v>
                </c:pt>
                <c:pt idx="4">
                  <c:v>Duiker</c:v>
                </c:pt>
                <c:pt idx="5">
                  <c:v>Impala</c:v>
                </c:pt>
                <c:pt idx="6">
                  <c:v>Kudu</c:v>
                </c:pt>
                <c:pt idx="7">
                  <c:v>Rock Hyrax</c:v>
                </c:pt>
                <c:pt idx="8">
                  <c:v>Springhare</c:v>
                </c:pt>
                <c:pt idx="9">
                  <c:v>Wildebeest</c:v>
                </c:pt>
                <c:pt idx="10">
                  <c:v>Waterbuck</c:v>
                </c:pt>
                <c:pt idx="11">
                  <c:v>Zebra</c:v>
                </c:pt>
              </c:strCache>
            </c:strRef>
          </c:cat>
          <c:val>
            <c:numRef>
              <c:f>Overview!$X$29:$X$40</c:f>
              <c:numCache>
                <c:formatCode>General</c:formatCode>
                <c:ptCount val="12"/>
                <c:pt idx="0">
                  <c:v>-1</c:v>
                </c:pt>
                <c:pt idx="1">
                  <c:v>0.98069209961757287</c:v>
                </c:pt>
                <c:pt idx="4">
                  <c:v>0.65020382565067414</c:v>
                </c:pt>
                <c:pt idx="5">
                  <c:v>-0.13371414144601879</c:v>
                </c:pt>
                <c:pt idx="6">
                  <c:v>-1.7876123296936924E-2</c:v>
                </c:pt>
                <c:pt idx="7">
                  <c:v>-1</c:v>
                </c:pt>
                <c:pt idx="8">
                  <c:v>0.72049588124949016</c:v>
                </c:pt>
                <c:pt idx="9">
                  <c:v>0.20629475837997224</c:v>
                </c:pt>
                <c:pt idx="10">
                  <c:v>0.89920948616600804</c:v>
                </c:pt>
                <c:pt idx="11">
                  <c:v>-0.32337156687361884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22-9E48-986D-5BCD03A4A950}"/>
            </c:ext>
          </c:extLst>
        </c:ser>
        <c:ser>
          <c:idx val="2"/>
          <c:order val="2"/>
          <c:tx>
            <c:strRef>
              <c:f>Overview!$Y$28</c:f>
              <c:strCache>
                <c:ptCount val="1"/>
                <c:pt idx="0">
                  <c:v>dry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Overview!$V$29:$V$40</c:f>
              <c:strCache>
                <c:ptCount val="12"/>
                <c:pt idx="0">
                  <c:v>Aardvark</c:v>
                </c:pt>
                <c:pt idx="1">
                  <c:v>Bat eared fox</c:v>
                </c:pt>
                <c:pt idx="2">
                  <c:v>Bushbuck</c:v>
                </c:pt>
                <c:pt idx="3">
                  <c:v>Donkey</c:v>
                </c:pt>
                <c:pt idx="4">
                  <c:v>Duiker</c:v>
                </c:pt>
                <c:pt idx="5">
                  <c:v>Impala</c:v>
                </c:pt>
                <c:pt idx="6">
                  <c:v>Kudu</c:v>
                </c:pt>
                <c:pt idx="7">
                  <c:v>Rock Hyrax</c:v>
                </c:pt>
                <c:pt idx="8">
                  <c:v>Springhare</c:v>
                </c:pt>
                <c:pt idx="9">
                  <c:v>Wildebeest</c:v>
                </c:pt>
                <c:pt idx="10">
                  <c:v>Waterbuck</c:v>
                </c:pt>
                <c:pt idx="11">
                  <c:v>Zebra</c:v>
                </c:pt>
              </c:strCache>
            </c:strRef>
          </c:cat>
          <c:val>
            <c:numRef>
              <c:f>Overview!$Y$29:$Y$40</c:f>
              <c:numCache>
                <c:formatCode>0.00</c:formatCode>
                <c:ptCount val="12"/>
                <c:pt idx="0">
                  <c:v>0.90931582025100099</c:v>
                </c:pt>
                <c:pt idx="1">
                  <c:v>0.9601236904047632</c:v>
                </c:pt>
                <c:pt idx="2">
                  <c:v>1</c:v>
                </c:pt>
                <c:pt idx="3">
                  <c:v>1</c:v>
                </c:pt>
                <c:pt idx="4">
                  <c:v>0.38660167314406163</c:v>
                </c:pt>
                <c:pt idx="5">
                  <c:v>1.3304622010305339E-2</c:v>
                </c:pt>
                <c:pt idx="6">
                  <c:v>0.18277734678044996</c:v>
                </c:pt>
                <c:pt idx="7">
                  <c:v>0.97324166124686429</c:v>
                </c:pt>
                <c:pt idx="8">
                  <c:v>-1</c:v>
                </c:pt>
                <c:pt idx="9">
                  <c:v>-1</c:v>
                </c:pt>
                <c:pt idx="10">
                  <c:v>0.89703672132618506</c:v>
                </c:pt>
                <c:pt idx="11">
                  <c:v>-0.43543997049888489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22-9E48-986D-5BCD03A4A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1678751647"/>
        <c:axId val="1678874399"/>
      </c:barChart>
      <c:catAx>
        <c:axId val="1678751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874399"/>
        <c:crosses val="autoZero"/>
        <c:auto val="1"/>
        <c:lblAlgn val="ctr"/>
        <c:lblOffset val="100"/>
        <c:noMultiLvlLbl val="0"/>
      </c:catAx>
      <c:valAx>
        <c:axId val="16788743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751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Pianka's Niche Overlap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148409080443893E-2"/>
          <c:y val="7.6409227683049169E-2"/>
          <c:w val="0.85131417783303398"/>
          <c:h val="0.877054628452285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'Levin + Pianka'!$AA$7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'Levin + Pianka'!$Z$8:$Z$13</c:f>
              <c:strCache>
                <c:ptCount val="6"/>
                <c:pt idx="0">
                  <c:v>Leopard &amp; Spotted</c:v>
                </c:pt>
                <c:pt idx="1">
                  <c:v>Leopard &amp; Brown</c:v>
                </c:pt>
                <c:pt idx="2">
                  <c:v>Leopard &amp; Wild dog</c:v>
                </c:pt>
                <c:pt idx="3">
                  <c:v>Spotted &amp; Brown </c:v>
                </c:pt>
                <c:pt idx="4">
                  <c:v>Spotted &amp; Wild dog</c:v>
                </c:pt>
                <c:pt idx="5">
                  <c:v>Brown &amp; Wild dog</c:v>
                </c:pt>
              </c:strCache>
            </c:strRef>
          </c:cat>
          <c:val>
            <c:numRef>
              <c:f>'Levin + Pianka'!$AA$8:$AA$13</c:f>
              <c:numCache>
                <c:formatCode>General</c:formatCode>
                <c:ptCount val="6"/>
                <c:pt idx="0">
                  <c:v>0.91713002930064691</c:v>
                </c:pt>
                <c:pt idx="1">
                  <c:v>0.97227057871493749</c:v>
                </c:pt>
                <c:pt idx="2">
                  <c:v>0.89955888257513128</c:v>
                </c:pt>
                <c:pt idx="3">
                  <c:v>0.97341422557552471</c:v>
                </c:pt>
                <c:pt idx="4">
                  <c:v>0.90701715396036009</c:v>
                </c:pt>
                <c:pt idx="5">
                  <c:v>0.92004859431750663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79-224F-A111-71B265FC96E0}"/>
            </c:ext>
          </c:extLst>
        </c:ser>
        <c:ser>
          <c:idx val="1"/>
          <c:order val="1"/>
          <c:tx>
            <c:strRef>
              <c:f>'Levin + Pianka'!$AB$7</c:f>
              <c:strCache>
                <c:ptCount val="1"/>
                <c:pt idx="0">
                  <c:v>wet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'Levin + Pianka'!$Z$8:$Z$13</c:f>
              <c:strCache>
                <c:ptCount val="6"/>
                <c:pt idx="0">
                  <c:v>Leopard &amp; Spotted</c:v>
                </c:pt>
                <c:pt idx="1">
                  <c:v>Leopard &amp; Brown</c:v>
                </c:pt>
                <c:pt idx="2">
                  <c:v>Leopard &amp; Wild dog</c:v>
                </c:pt>
                <c:pt idx="3">
                  <c:v>Spotted &amp; Brown </c:v>
                </c:pt>
                <c:pt idx="4">
                  <c:v>Spotted &amp; Wild dog</c:v>
                </c:pt>
                <c:pt idx="5">
                  <c:v>Brown &amp; Wild dog</c:v>
                </c:pt>
              </c:strCache>
            </c:strRef>
          </c:cat>
          <c:val>
            <c:numRef>
              <c:f>'Levin + Pianka'!$AB$8:$AB$13</c:f>
              <c:numCache>
                <c:formatCode>General</c:formatCode>
                <c:ptCount val="6"/>
                <c:pt idx="0">
                  <c:v>0.89928016140956246</c:v>
                </c:pt>
                <c:pt idx="1">
                  <c:v>0.91691973783719083</c:v>
                </c:pt>
                <c:pt idx="2">
                  <c:v>0.89778271648200403</c:v>
                </c:pt>
                <c:pt idx="3">
                  <c:v>0.94039699306158497</c:v>
                </c:pt>
                <c:pt idx="4">
                  <c:v>0.76855068301216423</c:v>
                </c:pt>
                <c:pt idx="5">
                  <c:v>0.88844474796417905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79-224F-A111-71B265FC96E0}"/>
            </c:ext>
          </c:extLst>
        </c:ser>
        <c:ser>
          <c:idx val="2"/>
          <c:order val="2"/>
          <c:tx>
            <c:strRef>
              <c:f>'Levin + Pianka'!$AC$7</c:f>
              <c:strCache>
                <c:ptCount val="1"/>
                <c:pt idx="0">
                  <c:v>dry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'Levin + Pianka'!$Z$8:$Z$13</c:f>
              <c:strCache>
                <c:ptCount val="6"/>
                <c:pt idx="0">
                  <c:v>Leopard &amp; Spotted</c:v>
                </c:pt>
                <c:pt idx="1">
                  <c:v>Leopard &amp; Brown</c:v>
                </c:pt>
                <c:pt idx="2">
                  <c:v>Leopard &amp; Wild dog</c:v>
                </c:pt>
                <c:pt idx="3">
                  <c:v>Spotted &amp; Brown </c:v>
                </c:pt>
                <c:pt idx="4">
                  <c:v>Spotted &amp; Wild dog</c:v>
                </c:pt>
                <c:pt idx="5">
                  <c:v>Brown &amp; Wild dog</c:v>
                </c:pt>
              </c:strCache>
            </c:strRef>
          </c:cat>
          <c:val>
            <c:numRef>
              <c:f>'Levin + Pianka'!$AC$8:$AC$13</c:f>
              <c:numCache>
                <c:formatCode>General</c:formatCode>
                <c:ptCount val="6"/>
                <c:pt idx="0">
                  <c:v>0.8975769357800788</c:v>
                </c:pt>
                <c:pt idx="1">
                  <c:v>0.9712527525048813</c:v>
                </c:pt>
                <c:pt idx="2">
                  <c:v>0.79630069326529795</c:v>
                </c:pt>
                <c:pt idx="3">
                  <c:v>0.94570460518896104</c:v>
                </c:pt>
                <c:pt idx="4">
                  <c:v>0.95120276826195505</c:v>
                </c:pt>
                <c:pt idx="5">
                  <c:v>0.85474110164399231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79-224F-A111-71B265FC9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3406543"/>
        <c:axId val="2020887279"/>
      </c:barChart>
      <c:catAx>
        <c:axId val="195340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0887279"/>
        <c:crosses val="autoZero"/>
        <c:auto val="0"/>
        <c:lblAlgn val="ctr"/>
        <c:lblOffset val="100"/>
        <c:noMultiLvlLbl val="0"/>
      </c:catAx>
      <c:valAx>
        <c:axId val="202088727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40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Levin's Niche</a:t>
            </a:r>
            <a:r>
              <a:rPr lang="en-GB" baseline="0"/>
              <a:t> breadth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'Levin + Pianka'!$U$36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'Levin + Pianka'!$T$37:$T$40</c:f>
              <c:strCache>
                <c:ptCount val="4"/>
                <c:pt idx="0">
                  <c:v>Leopard</c:v>
                </c:pt>
                <c:pt idx="1">
                  <c:v>Spotted Hyena</c:v>
                </c:pt>
                <c:pt idx="2">
                  <c:v>Brown Hyena</c:v>
                </c:pt>
                <c:pt idx="3">
                  <c:v>Wild dog </c:v>
                </c:pt>
              </c:strCache>
            </c:strRef>
          </c:cat>
          <c:val>
            <c:numRef>
              <c:f>'Levin + Pianka'!$U$37:$U$40</c:f>
              <c:numCache>
                <c:formatCode>General</c:formatCode>
                <c:ptCount val="4"/>
                <c:pt idx="0">
                  <c:v>3.5789120214909342</c:v>
                </c:pt>
                <c:pt idx="1">
                  <c:v>5.761024182076814</c:v>
                </c:pt>
                <c:pt idx="2">
                  <c:v>5.0852250099561926</c:v>
                </c:pt>
                <c:pt idx="3">
                  <c:v>3.7632027257240215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A4-F94E-9B23-294AF6F3EBB7}"/>
            </c:ext>
          </c:extLst>
        </c:ser>
        <c:ser>
          <c:idx val="1"/>
          <c:order val="1"/>
          <c:tx>
            <c:strRef>
              <c:f>'Levin + Pianka'!$V$36</c:f>
              <c:strCache>
                <c:ptCount val="1"/>
                <c:pt idx="0">
                  <c:v>wet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'Levin + Pianka'!$T$37:$T$40</c:f>
              <c:strCache>
                <c:ptCount val="4"/>
                <c:pt idx="0">
                  <c:v>Leopard</c:v>
                </c:pt>
                <c:pt idx="1">
                  <c:v>Spotted Hyena</c:v>
                </c:pt>
                <c:pt idx="2">
                  <c:v>Brown Hyena</c:v>
                </c:pt>
                <c:pt idx="3">
                  <c:v>Wild dog </c:v>
                </c:pt>
              </c:strCache>
            </c:strRef>
          </c:cat>
          <c:val>
            <c:numRef>
              <c:f>'Levin + Pianka'!$V$37:$V$40</c:f>
              <c:numCache>
                <c:formatCode>General</c:formatCode>
                <c:ptCount val="4"/>
                <c:pt idx="0">
                  <c:v>3.8918918918918921</c:v>
                </c:pt>
                <c:pt idx="1">
                  <c:v>5.7272727272727275</c:v>
                </c:pt>
                <c:pt idx="2">
                  <c:v>5.8255319148936158</c:v>
                </c:pt>
                <c:pt idx="3">
                  <c:v>3.1558441558441563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A4-F94E-9B23-294AF6F3EBB7}"/>
            </c:ext>
          </c:extLst>
        </c:ser>
        <c:ser>
          <c:idx val="2"/>
          <c:order val="2"/>
          <c:tx>
            <c:strRef>
              <c:f>'Levin + Pianka'!$W$36</c:f>
              <c:strCache>
                <c:ptCount val="1"/>
                <c:pt idx="0">
                  <c:v>dry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'Levin + Pianka'!$T$37:$T$40</c:f>
              <c:strCache>
                <c:ptCount val="4"/>
                <c:pt idx="0">
                  <c:v>Leopard</c:v>
                </c:pt>
                <c:pt idx="1">
                  <c:v>Spotted Hyena</c:v>
                </c:pt>
                <c:pt idx="2">
                  <c:v>Brown Hyena</c:v>
                </c:pt>
                <c:pt idx="3">
                  <c:v>Wild dog </c:v>
                </c:pt>
              </c:strCache>
            </c:strRef>
          </c:cat>
          <c:val>
            <c:numRef>
              <c:f>'Levin + Pianka'!$W$37:$W$40</c:f>
              <c:numCache>
                <c:formatCode>General</c:formatCode>
                <c:ptCount val="4"/>
                <c:pt idx="0">
                  <c:v>3.3580419580419587</c:v>
                </c:pt>
                <c:pt idx="1">
                  <c:v>5.1428571428571423</c:v>
                </c:pt>
                <c:pt idx="2">
                  <c:v>4.643086816720257</c:v>
                </c:pt>
                <c:pt idx="3">
                  <c:v>4.4444444444444446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A4-F94E-9B23-294AF6F3E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61647711"/>
        <c:axId val="1652219359"/>
      </c:barChart>
      <c:catAx>
        <c:axId val="2061647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2219359"/>
        <c:crosses val="autoZero"/>
        <c:auto val="1"/>
        <c:lblAlgn val="ctr"/>
        <c:lblOffset val="100"/>
        <c:noMultiLvlLbl val="0"/>
      </c:catAx>
      <c:valAx>
        <c:axId val="165221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1647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41</xdr:row>
      <xdr:rowOff>101600</xdr:rowOff>
    </xdr:from>
    <xdr:to>
      <xdr:col>20</xdr:col>
      <xdr:colOff>16933</xdr:colOff>
      <xdr:row>41</xdr:row>
      <xdr:rowOff>118533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5F0B227-D001-2E45-AE6E-0AB1DDD7E47F}"/>
            </a:ext>
          </a:extLst>
        </xdr:cNvPr>
        <xdr:cNvCxnSpPr/>
      </xdr:nvCxnSpPr>
      <xdr:spPr>
        <a:xfrm>
          <a:off x="12700" y="7552267"/>
          <a:ext cx="15565966" cy="16933"/>
        </a:xfrm>
        <a:prstGeom prst="line">
          <a:avLst/>
        </a:prstGeom>
        <a:ln w="254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25400</xdr:colOff>
      <xdr:row>57</xdr:row>
      <xdr:rowOff>101600</xdr:rowOff>
    </xdr:from>
    <xdr:to>
      <xdr:col>20</xdr:col>
      <xdr:colOff>33867</xdr:colOff>
      <xdr:row>57</xdr:row>
      <xdr:rowOff>114300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4739ED3E-FFD6-E24B-9F2E-7EF7E8A7A8D4}"/>
            </a:ext>
          </a:extLst>
        </xdr:cNvPr>
        <xdr:cNvCxnSpPr/>
      </xdr:nvCxnSpPr>
      <xdr:spPr>
        <a:xfrm flipV="1">
          <a:off x="25400" y="10532533"/>
          <a:ext cx="15570200" cy="12700"/>
        </a:xfrm>
        <a:prstGeom prst="line">
          <a:avLst/>
        </a:prstGeom>
        <a:ln w="254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12700</xdr:colOff>
      <xdr:row>72</xdr:row>
      <xdr:rowOff>101600</xdr:rowOff>
    </xdr:from>
    <xdr:to>
      <xdr:col>20</xdr:col>
      <xdr:colOff>67734</xdr:colOff>
      <xdr:row>72</xdr:row>
      <xdr:rowOff>114300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CC6EB5C5-0586-6448-9FA6-15E918E40589}"/>
            </a:ext>
          </a:extLst>
        </xdr:cNvPr>
        <xdr:cNvCxnSpPr/>
      </xdr:nvCxnSpPr>
      <xdr:spPr>
        <a:xfrm flipV="1">
          <a:off x="12700" y="13326533"/>
          <a:ext cx="15616767" cy="12700"/>
        </a:xfrm>
        <a:prstGeom prst="line">
          <a:avLst/>
        </a:prstGeom>
        <a:ln w="254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12700</xdr:colOff>
      <xdr:row>42</xdr:row>
      <xdr:rowOff>6350</xdr:rowOff>
    </xdr:from>
    <xdr:to>
      <xdr:col>28</xdr:col>
      <xdr:colOff>254000</xdr:colOff>
      <xdr:row>66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DB76AD2-9570-AB48-9DDC-5046D48388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457200</xdr:colOff>
      <xdr:row>13</xdr:row>
      <xdr:rowOff>184150</xdr:rowOff>
    </xdr:from>
    <xdr:to>
      <xdr:col>30</xdr:col>
      <xdr:colOff>660400</xdr:colOff>
      <xdr:row>37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AF86AB-3A22-AF42-B6BD-1D978A1D39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603250</xdr:colOff>
      <xdr:row>42</xdr:row>
      <xdr:rowOff>69850</xdr:rowOff>
    </xdr:from>
    <xdr:to>
      <xdr:col>24</xdr:col>
      <xdr:colOff>635000</xdr:colOff>
      <xdr:row>63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E0D7D9-AABD-A946-9C61-6E746736D1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D475C-0CAC-40BE-B5F0-FA448EEAD0CB}">
  <dimension ref="A1:AB229"/>
  <sheetViews>
    <sheetView topLeftCell="A152" zoomScale="93" workbookViewId="0">
      <selection activeCell="I72" sqref="I72"/>
    </sheetView>
  </sheetViews>
  <sheetFormatPr defaultColWidth="8.85546875" defaultRowHeight="15"/>
  <cols>
    <col min="1" max="1" width="16.7109375" customWidth="1"/>
    <col min="3" max="3" width="16.140625" customWidth="1"/>
    <col min="4" max="4" width="14.140625" style="4" customWidth="1"/>
    <col min="5" max="5" width="9.42578125" style="4" customWidth="1"/>
    <col min="6" max="6" width="10.85546875" style="4" customWidth="1"/>
    <col min="7" max="7" width="7" style="4" customWidth="1"/>
    <col min="8" max="8" width="14.42578125" customWidth="1"/>
    <col min="9" max="9" width="12.85546875" customWidth="1"/>
    <col min="10" max="10" width="10.7109375" customWidth="1"/>
    <col min="11" max="11" width="10.85546875" customWidth="1"/>
    <col min="13" max="13" width="10.28515625" customWidth="1"/>
    <col min="14" max="14" width="5.42578125" customWidth="1"/>
    <col min="15" max="15" width="9.7109375" customWidth="1"/>
    <col min="16" max="16" width="11" style="4" customWidth="1"/>
    <col min="17" max="17" width="23.42578125" customWidth="1"/>
  </cols>
  <sheetData>
    <row r="1" spans="1:28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2" t="s">
        <v>15</v>
      </c>
      <c r="Q1" s="2" t="s">
        <v>16</v>
      </c>
      <c r="Y1" t="s">
        <v>17</v>
      </c>
      <c r="Z1">
        <v>1</v>
      </c>
      <c r="AA1">
        <f>COUNTIF(H2:K229, "*aardvark*")</f>
        <v>1</v>
      </c>
      <c r="AB1" s="1" t="s">
        <v>18</v>
      </c>
    </row>
    <row r="2" spans="1:28">
      <c r="A2" s="4">
        <v>7</v>
      </c>
      <c r="B2" t="s">
        <v>19</v>
      </c>
      <c r="C2" s="4" t="s">
        <v>20</v>
      </c>
      <c r="D2" s="5">
        <v>43355</v>
      </c>
      <c r="E2" s="4">
        <v>-22.371300000000002</v>
      </c>
      <c r="F2" s="4">
        <v>28.968209999999999</v>
      </c>
      <c r="G2" s="4" t="s">
        <v>21</v>
      </c>
      <c r="H2" t="s">
        <v>22</v>
      </c>
      <c r="L2" s="4">
        <v>242</v>
      </c>
      <c r="P2" s="4" t="s">
        <v>23</v>
      </c>
      <c r="Y2" t="s">
        <v>24</v>
      </c>
      <c r="Z2">
        <v>1</v>
      </c>
      <c r="AA2">
        <f>COUNTIF(H2:K229, "*baboon*")</f>
        <v>1</v>
      </c>
    </row>
    <row r="3" spans="1:28">
      <c r="A3" s="4">
        <v>9</v>
      </c>
      <c r="B3" s="4" t="s">
        <v>25</v>
      </c>
      <c r="C3" s="4" t="s">
        <v>20</v>
      </c>
      <c r="D3" s="5">
        <v>43355</v>
      </c>
      <c r="E3" s="4">
        <v>-22.367619999999999</v>
      </c>
      <c r="F3" s="10">
        <v>28.967400000000001</v>
      </c>
      <c r="G3" s="4" t="s">
        <v>21</v>
      </c>
      <c r="H3" t="s">
        <v>22</v>
      </c>
      <c r="I3" t="s">
        <v>26</v>
      </c>
      <c r="L3" s="4">
        <v>242</v>
      </c>
      <c r="M3" s="4">
        <v>47</v>
      </c>
      <c r="N3" s="4"/>
      <c r="O3" s="4"/>
      <c r="P3" s="4" t="s">
        <v>23</v>
      </c>
      <c r="Q3" s="4"/>
      <c r="Y3" t="s">
        <v>27</v>
      </c>
      <c r="Z3">
        <v>2</v>
      </c>
      <c r="AA3">
        <f>COUNTIF(H2:K229, "*bat*")</f>
        <v>2</v>
      </c>
    </row>
    <row r="4" spans="1:28">
      <c r="A4" s="4">
        <v>12</v>
      </c>
      <c r="B4" t="s">
        <v>28</v>
      </c>
      <c r="C4" s="4" t="s">
        <v>20</v>
      </c>
      <c r="D4" s="5">
        <v>43357</v>
      </c>
      <c r="E4" s="4">
        <v>-22.359120000000001</v>
      </c>
      <c r="F4" s="4">
        <v>28.939859999999999</v>
      </c>
      <c r="G4" s="4" t="s">
        <v>21</v>
      </c>
      <c r="H4" t="s">
        <v>29</v>
      </c>
      <c r="I4" s="4" t="s">
        <v>26</v>
      </c>
      <c r="J4" s="4"/>
      <c r="K4" s="4"/>
      <c r="L4" s="4">
        <v>210</v>
      </c>
      <c r="M4" s="4">
        <v>47</v>
      </c>
      <c r="N4" s="4"/>
      <c r="O4" s="4"/>
      <c r="P4" s="4" t="s">
        <v>23</v>
      </c>
      <c r="Y4" t="s">
        <v>30</v>
      </c>
      <c r="Z4">
        <v>12</v>
      </c>
      <c r="AA4">
        <f>COUNTIF(H2:K229, "*bushbuck*")</f>
        <v>12</v>
      </c>
    </row>
    <row r="5" spans="1:28">
      <c r="A5" s="4">
        <v>16</v>
      </c>
      <c r="B5" t="s">
        <v>31</v>
      </c>
      <c r="C5" s="4" t="s">
        <v>20</v>
      </c>
      <c r="D5" s="5">
        <v>43368</v>
      </c>
      <c r="E5" s="4">
        <v>-22.365320000000001</v>
      </c>
      <c r="F5" s="4">
        <v>28.907150000000001</v>
      </c>
      <c r="G5" s="4" t="s">
        <v>21</v>
      </c>
      <c r="H5" t="s">
        <v>22</v>
      </c>
      <c r="I5" t="s">
        <v>26</v>
      </c>
      <c r="L5" s="4">
        <v>242</v>
      </c>
      <c r="M5" s="4">
        <v>47</v>
      </c>
      <c r="N5" s="4"/>
      <c r="O5" s="4"/>
      <c r="P5" s="4" t="s">
        <v>23</v>
      </c>
      <c r="Y5" t="s">
        <v>32</v>
      </c>
      <c r="Z5">
        <v>1</v>
      </c>
      <c r="AA5">
        <f>COUNTIF(H2:K229, "*cow*")</f>
        <v>1</v>
      </c>
    </row>
    <row r="6" spans="1:28">
      <c r="A6" s="4">
        <v>19</v>
      </c>
      <c r="B6" t="s">
        <v>33</v>
      </c>
      <c r="C6" s="4" t="s">
        <v>20</v>
      </c>
      <c r="D6" s="5">
        <v>43404</v>
      </c>
      <c r="E6" s="4">
        <v>-22.33775</v>
      </c>
      <c r="F6" s="10">
        <v>28.934999999999999</v>
      </c>
      <c r="G6" s="4" t="s">
        <v>21</v>
      </c>
      <c r="H6" t="s">
        <v>26</v>
      </c>
      <c r="L6" s="4">
        <v>47</v>
      </c>
      <c r="P6" s="4" t="s">
        <v>23</v>
      </c>
      <c r="Q6" s="4" t="s">
        <v>34</v>
      </c>
      <c r="Y6" t="s">
        <v>35</v>
      </c>
      <c r="Z6">
        <v>1</v>
      </c>
      <c r="AA6">
        <f>COUNTIF(H2:K229, "*dog*")</f>
        <v>1</v>
      </c>
    </row>
    <row r="7" spans="1:28">
      <c r="A7" s="4">
        <v>20</v>
      </c>
      <c r="B7" s="1" t="s">
        <v>36</v>
      </c>
      <c r="C7" t="s">
        <v>20</v>
      </c>
      <c r="D7" s="5">
        <v>43409</v>
      </c>
      <c r="E7" s="4">
        <v>-22.36524</v>
      </c>
      <c r="F7" s="4">
        <v>28.967120000000001</v>
      </c>
      <c r="G7" s="4" t="s">
        <v>21</v>
      </c>
      <c r="H7" t="s">
        <v>37</v>
      </c>
      <c r="I7" t="s">
        <v>26</v>
      </c>
      <c r="L7" s="4">
        <v>214</v>
      </c>
      <c r="M7" s="4">
        <v>47</v>
      </c>
      <c r="N7" s="4"/>
      <c r="O7" s="4"/>
      <c r="P7" s="4" t="s">
        <v>23</v>
      </c>
      <c r="Q7" s="2"/>
      <c r="Y7" t="s">
        <v>38</v>
      </c>
      <c r="Z7">
        <v>10</v>
      </c>
      <c r="AA7">
        <f>COUNTIF(H2:K229, "*donkey*")</f>
        <v>10</v>
      </c>
    </row>
    <row r="8" spans="1:28">
      <c r="A8" s="4">
        <v>24</v>
      </c>
      <c r="B8" t="s">
        <v>39</v>
      </c>
      <c r="C8" s="4" t="s">
        <v>20</v>
      </c>
      <c r="D8" s="5">
        <v>43499</v>
      </c>
      <c r="E8" s="4">
        <v>-22.373169999999998</v>
      </c>
      <c r="F8" s="4">
        <v>28.967040000000001</v>
      </c>
      <c r="G8" s="4" t="s">
        <v>40</v>
      </c>
      <c r="H8" t="s">
        <v>26</v>
      </c>
      <c r="L8" s="4">
        <v>47</v>
      </c>
      <c r="P8" s="4" t="s">
        <v>23</v>
      </c>
      <c r="Q8" s="4" t="s">
        <v>41</v>
      </c>
      <c r="Y8" t="s">
        <v>42</v>
      </c>
      <c r="Z8">
        <v>6</v>
      </c>
      <c r="AA8">
        <f>COUNTIF(H2:K229, "*duiker*")</f>
        <v>6</v>
      </c>
    </row>
    <row r="9" spans="1:28">
      <c r="A9" s="4">
        <v>26</v>
      </c>
      <c r="B9" t="s">
        <v>43</v>
      </c>
      <c r="C9" s="4" t="s">
        <v>20</v>
      </c>
      <c r="D9" s="5">
        <v>43508</v>
      </c>
      <c r="E9" s="4">
        <v>-22.38776</v>
      </c>
      <c r="F9" s="4">
        <v>28.941939999999999</v>
      </c>
      <c r="G9" s="4" t="s">
        <v>40</v>
      </c>
      <c r="H9" t="s">
        <v>44</v>
      </c>
      <c r="I9" t="s">
        <v>45</v>
      </c>
      <c r="L9" s="4">
        <v>215</v>
      </c>
      <c r="M9" s="4">
        <v>42</v>
      </c>
      <c r="N9" s="4"/>
      <c r="O9" s="4"/>
      <c r="P9" s="4" t="s">
        <v>23</v>
      </c>
      <c r="Q9" s="4" t="s">
        <v>46</v>
      </c>
      <c r="Y9" t="s">
        <v>47</v>
      </c>
      <c r="Z9">
        <v>1</v>
      </c>
      <c r="AA9">
        <f>COUNTIF(H2:K229, "*eland*")</f>
        <v>2</v>
      </c>
      <c r="AB9">
        <v>1</v>
      </c>
    </row>
    <row r="10" spans="1:28">
      <c r="A10" s="4">
        <v>29</v>
      </c>
      <c r="B10" t="s">
        <v>48</v>
      </c>
      <c r="C10" s="4" t="s">
        <v>20</v>
      </c>
      <c r="D10" s="12">
        <v>43497</v>
      </c>
      <c r="E10" s="4">
        <v>-22.38317</v>
      </c>
      <c r="F10" s="4">
        <v>28.968530000000001</v>
      </c>
      <c r="G10" s="4" t="s">
        <v>40</v>
      </c>
      <c r="H10" t="s">
        <v>26</v>
      </c>
      <c r="I10" t="s">
        <v>49</v>
      </c>
      <c r="L10" s="4">
        <v>47</v>
      </c>
      <c r="M10" s="4">
        <v>242</v>
      </c>
      <c r="N10" s="4"/>
      <c r="O10" s="4"/>
      <c r="P10" s="4" t="s">
        <v>23</v>
      </c>
      <c r="Y10" t="s">
        <v>50</v>
      </c>
      <c r="Z10">
        <v>1</v>
      </c>
      <c r="AA10">
        <f>COUNTIF(H2:K229, "*goat*")</f>
        <v>1</v>
      </c>
    </row>
    <row r="11" spans="1:28">
      <c r="A11" s="4">
        <v>32</v>
      </c>
      <c r="B11" t="s">
        <v>51</v>
      </c>
      <c r="C11" s="4" t="s">
        <v>20</v>
      </c>
      <c r="D11" s="5">
        <v>43581</v>
      </c>
      <c r="E11" s="4">
        <v>-23.36262</v>
      </c>
      <c r="F11" s="4">
        <v>28.96733</v>
      </c>
      <c r="G11" s="4" t="s">
        <v>40</v>
      </c>
      <c r="H11" t="s">
        <v>52</v>
      </c>
      <c r="I11" t="s">
        <v>26</v>
      </c>
      <c r="L11" s="4">
        <v>17.2</v>
      </c>
      <c r="M11" s="4">
        <v>47</v>
      </c>
      <c r="N11" s="4"/>
      <c r="O11" s="4"/>
      <c r="P11" s="4" t="s">
        <v>23</v>
      </c>
      <c r="Y11" t="s">
        <v>53</v>
      </c>
      <c r="Z11">
        <v>1</v>
      </c>
      <c r="AA11">
        <f>COUNTIF(H2:K229, "*elephant*")</f>
        <v>1</v>
      </c>
    </row>
    <row r="12" spans="1:28">
      <c r="A12" s="4">
        <v>3</v>
      </c>
      <c r="B12" t="s">
        <v>54</v>
      </c>
      <c r="C12" s="4" t="s">
        <v>20</v>
      </c>
      <c r="D12" s="5">
        <v>43617</v>
      </c>
      <c r="E12" s="8" t="s">
        <v>55</v>
      </c>
      <c r="F12" s="4">
        <v>28.467120000000001</v>
      </c>
      <c r="G12" s="4" t="s">
        <v>21</v>
      </c>
      <c r="H12" s="4" t="s">
        <v>44</v>
      </c>
      <c r="I12" s="4" t="s">
        <v>56</v>
      </c>
      <c r="J12" s="4"/>
      <c r="K12" s="4"/>
      <c r="L12" s="7">
        <v>215</v>
      </c>
      <c r="M12" s="7">
        <v>3.6</v>
      </c>
      <c r="N12" s="7"/>
      <c r="O12" s="7"/>
      <c r="P12" s="4" t="s">
        <v>23</v>
      </c>
      <c r="Y12" t="s">
        <v>57</v>
      </c>
      <c r="Z12">
        <v>121</v>
      </c>
      <c r="AA12">
        <f>COUNTIF(H2:K229, "*impala*")</f>
        <v>126</v>
      </c>
      <c r="AB12">
        <v>5</v>
      </c>
    </row>
    <row r="13" spans="1:28">
      <c r="A13" s="4">
        <v>35</v>
      </c>
      <c r="B13" s="1" t="s">
        <v>58</v>
      </c>
      <c r="C13" t="s">
        <v>20</v>
      </c>
      <c r="D13" s="5">
        <v>43617</v>
      </c>
      <c r="E13" s="4">
        <v>-22.379549999999998</v>
      </c>
      <c r="F13" s="4">
        <v>28.96686</v>
      </c>
      <c r="G13" s="4" t="s">
        <v>21</v>
      </c>
      <c r="H13" t="s">
        <v>22</v>
      </c>
      <c r="L13" s="4">
        <v>242</v>
      </c>
      <c r="M13" s="4"/>
      <c r="N13" s="4"/>
      <c r="O13" s="4"/>
      <c r="P13" s="4" t="s">
        <v>23</v>
      </c>
      <c r="Q13" s="4" t="s">
        <v>59</v>
      </c>
      <c r="Y13" t="s">
        <v>60</v>
      </c>
      <c r="Z13">
        <v>1</v>
      </c>
      <c r="AA13">
        <f>COUNTIF(H2:K229, "*klipspringer*")</f>
        <v>1</v>
      </c>
    </row>
    <row r="14" spans="1:28">
      <c r="A14" s="4">
        <v>36</v>
      </c>
      <c r="B14" t="s">
        <v>61</v>
      </c>
      <c r="C14" s="4" t="s">
        <v>20</v>
      </c>
      <c r="D14" s="5">
        <v>43681</v>
      </c>
      <c r="E14" s="4">
        <v>-22.3307</v>
      </c>
      <c r="F14" s="4">
        <v>28.929600000000001</v>
      </c>
      <c r="G14" s="4" t="s">
        <v>21</v>
      </c>
      <c r="H14" t="s">
        <v>26</v>
      </c>
      <c r="L14" s="4">
        <v>47</v>
      </c>
      <c r="P14" s="4" t="s">
        <v>23</v>
      </c>
      <c r="Y14" t="s">
        <v>62</v>
      </c>
      <c r="Z14">
        <v>37</v>
      </c>
      <c r="AA14">
        <f>COUNTIF(H2:K229, "*kudu*")</f>
        <v>37</v>
      </c>
    </row>
    <row r="15" spans="1:28">
      <c r="A15" s="4">
        <v>37</v>
      </c>
      <c r="B15" t="s">
        <v>63</v>
      </c>
      <c r="C15" s="4" t="s">
        <v>20</v>
      </c>
      <c r="D15" s="5">
        <v>43681</v>
      </c>
      <c r="E15" s="4">
        <v>-22.3292</v>
      </c>
      <c r="F15" s="4">
        <v>28.928100000000001</v>
      </c>
      <c r="G15" s="4" t="s">
        <v>21</v>
      </c>
      <c r="H15" t="s">
        <v>26</v>
      </c>
      <c r="I15" t="s">
        <v>52</v>
      </c>
      <c r="L15" s="4">
        <v>47</v>
      </c>
      <c r="M15" s="4">
        <v>17.2</v>
      </c>
      <c r="N15" s="4"/>
      <c r="O15" s="4"/>
      <c r="P15" s="4" t="s">
        <v>23</v>
      </c>
      <c r="Q15" s="4" t="s">
        <v>64</v>
      </c>
      <c r="Y15" t="s">
        <v>65</v>
      </c>
      <c r="Z15">
        <v>1</v>
      </c>
      <c r="AA15">
        <f>COUNTIF(H2:K229, "*sheep*")</f>
        <v>1</v>
      </c>
    </row>
    <row r="16" spans="1:28">
      <c r="A16" s="4">
        <v>38</v>
      </c>
      <c r="B16" t="s">
        <v>66</v>
      </c>
      <c r="C16" s="4" t="s">
        <v>20</v>
      </c>
      <c r="D16" s="5">
        <v>43682</v>
      </c>
      <c r="E16" s="4">
        <v>-22.214020000000001</v>
      </c>
      <c r="F16" s="4">
        <v>28.537649999999999</v>
      </c>
      <c r="G16" s="4" t="s">
        <v>21</v>
      </c>
      <c r="H16" t="s">
        <v>26</v>
      </c>
      <c r="I16" t="s">
        <v>22</v>
      </c>
      <c r="L16" s="4">
        <v>47</v>
      </c>
      <c r="M16" s="4">
        <v>242</v>
      </c>
      <c r="N16" s="4"/>
      <c r="O16" s="4"/>
      <c r="P16" s="4" t="s">
        <v>23</v>
      </c>
      <c r="Q16" s="13" t="s">
        <v>67</v>
      </c>
      <c r="Y16" t="s">
        <v>68</v>
      </c>
      <c r="Z16">
        <v>5</v>
      </c>
      <c r="AA16">
        <f>COUNTIF(H2:K229, "*rock hyrax*")</f>
        <v>5</v>
      </c>
    </row>
    <row r="17" spans="1:28">
      <c r="A17" s="4">
        <v>39</v>
      </c>
      <c r="B17" t="s">
        <v>69</v>
      </c>
      <c r="C17" s="4" t="s">
        <v>20</v>
      </c>
      <c r="D17" s="5">
        <v>43692</v>
      </c>
      <c r="E17" s="4">
        <v>-22.35427</v>
      </c>
      <c r="F17" s="4">
        <v>28.93347</v>
      </c>
      <c r="G17" s="4" t="s">
        <v>21</v>
      </c>
      <c r="H17" t="s">
        <v>26</v>
      </c>
      <c r="I17" t="s">
        <v>22</v>
      </c>
      <c r="L17" s="4">
        <v>47</v>
      </c>
      <c r="M17" s="4">
        <v>242</v>
      </c>
      <c r="N17" s="4"/>
      <c r="O17" s="4"/>
      <c r="P17" s="4" t="s">
        <v>23</v>
      </c>
      <c r="Y17" t="s">
        <v>70</v>
      </c>
      <c r="Z17">
        <v>3</v>
      </c>
      <c r="AA17">
        <f>COUNTIF(H2:K229, "*springhare*")</f>
        <v>3</v>
      </c>
    </row>
    <row r="18" spans="1:28">
      <c r="A18" s="4">
        <v>40</v>
      </c>
      <c r="B18" s="1" t="s">
        <v>71</v>
      </c>
      <c r="C18" s="4" t="s">
        <v>20</v>
      </c>
      <c r="D18" s="5">
        <v>43692</v>
      </c>
      <c r="E18" s="4">
        <v>-22.399650000000001</v>
      </c>
      <c r="F18" s="4">
        <v>28.92051</v>
      </c>
      <c r="G18" s="4" t="s">
        <v>21</v>
      </c>
      <c r="H18" t="s">
        <v>72</v>
      </c>
      <c r="L18" s="4">
        <v>280</v>
      </c>
      <c r="M18" s="4"/>
      <c r="N18" s="4"/>
      <c r="O18" s="4"/>
      <c r="P18" s="4" t="s">
        <v>23</v>
      </c>
      <c r="Q18" s="4"/>
      <c r="Y18" t="s">
        <v>73</v>
      </c>
      <c r="Z18">
        <v>21</v>
      </c>
      <c r="AA18">
        <f>COUNTIF(H2:K229, "*wildebeest*")</f>
        <v>23</v>
      </c>
      <c r="AB18">
        <v>2</v>
      </c>
    </row>
    <row r="19" spans="1:28">
      <c r="A19" s="4">
        <v>41</v>
      </c>
      <c r="B19" t="s">
        <v>74</v>
      </c>
      <c r="C19" s="4" t="s">
        <v>20</v>
      </c>
      <c r="D19" s="5">
        <v>43705</v>
      </c>
      <c r="E19" s="4">
        <v>-22.361560000000001</v>
      </c>
      <c r="F19" s="4">
        <v>28.966629999999999</v>
      </c>
      <c r="G19" s="4" t="s">
        <v>21</v>
      </c>
      <c r="H19" t="s">
        <v>22</v>
      </c>
      <c r="L19" s="4">
        <v>242</v>
      </c>
      <c r="P19" s="4" t="s">
        <v>23</v>
      </c>
      <c r="Y19" t="s">
        <v>75</v>
      </c>
      <c r="Z19">
        <v>1</v>
      </c>
      <c r="AA19">
        <f>COUNTIF(H2:K229, "*warthog*")</f>
        <v>1</v>
      </c>
    </row>
    <row r="20" spans="1:28">
      <c r="A20" s="4">
        <v>42</v>
      </c>
      <c r="B20" t="s">
        <v>76</v>
      </c>
      <c r="C20" s="4" t="s">
        <v>20</v>
      </c>
      <c r="D20" s="5">
        <v>43708</v>
      </c>
      <c r="E20" s="4">
        <v>-22.358930000000001</v>
      </c>
      <c r="F20" s="4">
        <v>28.939830000000001</v>
      </c>
      <c r="G20" s="4" t="s">
        <v>21</v>
      </c>
      <c r="H20" t="s">
        <v>44</v>
      </c>
      <c r="I20" t="s">
        <v>26</v>
      </c>
      <c r="L20" s="4">
        <v>215</v>
      </c>
      <c r="M20" s="4">
        <v>47</v>
      </c>
      <c r="N20" s="4"/>
      <c r="O20" s="4"/>
      <c r="P20" s="4" t="s">
        <v>23</v>
      </c>
      <c r="Q20" s="4" t="s">
        <v>77</v>
      </c>
      <c r="Y20" t="s">
        <v>78</v>
      </c>
      <c r="Z20">
        <v>37</v>
      </c>
      <c r="AA20">
        <f>COUNTIF(H2:K229, "*waterbuck*")</f>
        <v>37</v>
      </c>
    </row>
    <row r="21" spans="1:28">
      <c r="A21" s="4">
        <v>70</v>
      </c>
      <c r="B21" s="1" t="s">
        <v>79</v>
      </c>
      <c r="C21" t="s">
        <v>20</v>
      </c>
      <c r="D21" s="5">
        <v>43714</v>
      </c>
      <c r="E21" s="4">
        <v>-22.299700000000001</v>
      </c>
      <c r="F21" s="4">
        <v>28.8749</v>
      </c>
      <c r="G21" s="4" t="s">
        <v>21</v>
      </c>
      <c r="H21" t="s">
        <v>22</v>
      </c>
      <c r="L21" s="4">
        <v>242</v>
      </c>
      <c r="P21" s="4" t="s">
        <v>23</v>
      </c>
      <c r="Y21" t="s">
        <v>80</v>
      </c>
      <c r="Z21">
        <v>59</v>
      </c>
      <c r="AA21">
        <f>COUNTIF(H2:K229, "*zebra*")</f>
        <v>63</v>
      </c>
      <c r="AB21">
        <v>4</v>
      </c>
    </row>
    <row r="22" spans="1:28">
      <c r="A22" s="4">
        <v>69</v>
      </c>
      <c r="B22" t="s">
        <v>81</v>
      </c>
      <c r="C22" t="s">
        <v>20</v>
      </c>
      <c r="D22" s="5">
        <v>43718</v>
      </c>
      <c r="E22" s="4">
        <v>-22.3675</v>
      </c>
      <c r="F22" s="4">
        <v>28.967400000000001</v>
      </c>
      <c r="G22" s="4" t="s">
        <v>21</v>
      </c>
      <c r="H22" t="s">
        <v>26</v>
      </c>
      <c r="I22" t="s">
        <v>72</v>
      </c>
      <c r="L22" s="4">
        <v>47</v>
      </c>
      <c r="M22" s="4">
        <v>280</v>
      </c>
      <c r="N22" s="4"/>
      <c r="O22" s="4"/>
      <c r="P22" s="4" t="s">
        <v>23</v>
      </c>
      <c r="Q22" s="4"/>
      <c r="Y22" t="s">
        <v>82</v>
      </c>
      <c r="Z22">
        <v>323</v>
      </c>
      <c r="AA22">
        <f>SUM(AA1:AA21)</f>
        <v>335</v>
      </c>
      <c r="AB22">
        <f>SUM(AB9:AB21)</f>
        <v>12</v>
      </c>
    </row>
    <row r="23" spans="1:28">
      <c r="A23" s="4">
        <v>61</v>
      </c>
      <c r="B23" t="s">
        <v>83</v>
      </c>
      <c r="C23" t="s">
        <v>20</v>
      </c>
      <c r="D23" s="5">
        <v>43732</v>
      </c>
      <c r="E23" s="4">
        <v>-22.354800000000001</v>
      </c>
      <c r="F23" s="4">
        <v>28.950399999999998</v>
      </c>
      <c r="G23" s="4" t="s">
        <v>21</v>
      </c>
      <c r="H23" t="s">
        <v>26</v>
      </c>
      <c r="I23" t="s">
        <v>29</v>
      </c>
      <c r="L23" s="4">
        <v>47</v>
      </c>
      <c r="M23" s="4">
        <v>210</v>
      </c>
      <c r="N23" s="4"/>
      <c r="O23" s="4"/>
      <c r="P23" s="4" t="s">
        <v>23</v>
      </c>
      <c r="Q23" s="4" t="s">
        <v>84</v>
      </c>
    </row>
    <row r="24" spans="1:28">
      <c r="A24" s="4">
        <v>74</v>
      </c>
      <c r="B24" t="s">
        <v>85</v>
      </c>
      <c r="C24" t="s">
        <v>20</v>
      </c>
      <c r="D24" s="5">
        <v>43749</v>
      </c>
      <c r="E24" s="4">
        <v>-22.380700000000001</v>
      </c>
      <c r="F24" s="4">
        <v>28.965399999999999</v>
      </c>
      <c r="G24" s="4" t="s">
        <v>21</v>
      </c>
      <c r="H24" s="4" t="s">
        <v>22</v>
      </c>
      <c r="L24" s="4">
        <v>242</v>
      </c>
      <c r="M24" s="4"/>
      <c r="N24" s="4"/>
      <c r="O24" s="4"/>
      <c r="P24" s="4" t="s">
        <v>23</v>
      </c>
      <c r="Q24" s="4" t="s">
        <v>86</v>
      </c>
    </row>
    <row r="25" spans="1:28">
      <c r="A25" s="4">
        <v>126</v>
      </c>
      <c r="B25" t="s">
        <v>87</v>
      </c>
      <c r="C25" t="s">
        <v>20</v>
      </c>
      <c r="D25" s="5">
        <v>43741</v>
      </c>
      <c r="E25" s="4">
        <v>-22.323899999999998</v>
      </c>
      <c r="F25" s="4">
        <v>28.886900000000001</v>
      </c>
      <c r="G25" s="4" t="s">
        <v>88</v>
      </c>
      <c r="H25" t="s">
        <v>26</v>
      </c>
      <c r="L25" s="4">
        <v>47</v>
      </c>
      <c r="M25" s="4"/>
      <c r="N25" s="4"/>
      <c r="P25" s="4" t="s">
        <v>23</v>
      </c>
      <c r="Q25" t="s">
        <v>89</v>
      </c>
    </row>
    <row r="26" spans="1:28">
      <c r="A26" s="4">
        <v>137</v>
      </c>
      <c r="B26" t="s">
        <v>90</v>
      </c>
      <c r="C26" t="s">
        <v>20</v>
      </c>
      <c r="D26" s="5">
        <v>43777</v>
      </c>
      <c r="E26" s="4">
        <v>-22.351179999999999</v>
      </c>
      <c r="F26" s="4">
        <v>28.914380000000001</v>
      </c>
      <c r="G26" s="4" t="s">
        <v>88</v>
      </c>
      <c r="H26" t="s">
        <v>26</v>
      </c>
      <c r="I26" t="s">
        <v>29</v>
      </c>
      <c r="L26" s="4">
        <v>47</v>
      </c>
      <c r="M26" s="4">
        <v>210</v>
      </c>
      <c r="N26" s="4"/>
      <c r="P26" s="4" t="s">
        <v>91</v>
      </c>
    </row>
    <row r="27" spans="1:28">
      <c r="A27" s="4">
        <v>138</v>
      </c>
      <c r="B27" t="s">
        <v>92</v>
      </c>
      <c r="C27" t="s">
        <v>20</v>
      </c>
      <c r="D27" s="5">
        <v>43778</v>
      </c>
      <c r="E27" s="4">
        <v>-22.365359999999999</v>
      </c>
      <c r="F27" s="4">
        <v>28.967140000000001</v>
      </c>
      <c r="G27" s="4" t="s">
        <v>88</v>
      </c>
      <c r="H27" t="s">
        <v>26</v>
      </c>
      <c r="I27" t="s">
        <v>49</v>
      </c>
      <c r="L27" s="4">
        <v>47</v>
      </c>
      <c r="M27" s="4">
        <v>242</v>
      </c>
      <c r="N27" s="4"/>
      <c r="P27" s="4" t="s">
        <v>91</v>
      </c>
    </row>
    <row r="28" spans="1:28">
      <c r="A28" s="4">
        <v>139</v>
      </c>
      <c r="B28" t="s">
        <v>93</v>
      </c>
      <c r="C28" t="s">
        <v>20</v>
      </c>
      <c r="D28" s="5">
        <v>43777</v>
      </c>
      <c r="E28" s="4">
        <v>-22.36655</v>
      </c>
      <c r="F28" s="4">
        <v>28.95872</v>
      </c>
      <c r="G28" s="4" t="s">
        <v>88</v>
      </c>
      <c r="H28" t="s">
        <v>26</v>
      </c>
      <c r="I28" t="s">
        <v>45</v>
      </c>
      <c r="L28" s="4">
        <v>47</v>
      </c>
      <c r="M28" s="4">
        <v>42</v>
      </c>
      <c r="N28" s="4"/>
      <c r="P28" s="4" t="s">
        <v>91</v>
      </c>
      <c r="Q28" t="s">
        <v>94</v>
      </c>
    </row>
    <row r="29" spans="1:28">
      <c r="A29" s="4">
        <v>140</v>
      </c>
      <c r="B29" t="s">
        <v>95</v>
      </c>
      <c r="C29" t="s">
        <v>20</v>
      </c>
      <c r="D29" s="5">
        <v>43777</v>
      </c>
      <c r="E29" s="4">
        <v>-22.372</v>
      </c>
      <c r="F29" s="4">
        <v>28.968669999999999</v>
      </c>
      <c r="G29" s="4" t="s">
        <v>88</v>
      </c>
      <c r="H29" t="s">
        <v>96</v>
      </c>
      <c r="L29" s="4">
        <v>13</v>
      </c>
      <c r="M29" s="4"/>
      <c r="N29" s="4"/>
      <c r="P29" s="4" t="s">
        <v>91</v>
      </c>
      <c r="Q29" t="s">
        <v>97</v>
      </c>
    </row>
    <row r="30" spans="1:28">
      <c r="A30" s="4">
        <v>142</v>
      </c>
      <c r="B30" t="s">
        <v>98</v>
      </c>
      <c r="C30" t="s">
        <v>20</v>
      </c>
      <c r="D30" s="5">
        <v>43778</v>
      </c>
      <c r="E30" s="4">
        <v>-22.351179999999999</v>
      </c>
      <c r="F30" s="4">
        <v>28.914380000000001</v>
      </c>
      <c r="G30" s="4" t="s">
        <v>88</v>
      </c>
      <c r="H30" t="s">
        <v>37</v>
      </c>
      <c r="L30" s="4">
        <v>214</v>
      </c>
      <c r="M30" s="4"/>
      <c r="N30" s="4"/>
      <c r="P30" s="4" t="s">
        <v>91</v>
      </c>
    </row>
    <row r="31" spans="1:28">
      <c r="A31" s="4">
        <v>143</v>
      </c>
      <c r="B31" t="s">
        <v>99</v>
      </c>
      <c r="C31" t="s">
        <v>20</v>
      </c>
      <c r="D31" s="5">
        <v>43777</v>
      </c>
      <c r="E31" s="4">
        <v>-22.367619999999999</v>
      </c>
      <c r="F31" s="4">
        <v>28.948090000000001</v>
      </c>
      <c r="G31" s="4" t="s">
        <v>88</v>
      </c>
      <c r="H31" t="s">
        <v>26</v>
      </c>
      <c r="I31" t="s">
        <v>37</v>
      </c>
      <c r="L31" s="4">
        <v>47</v>
      </c>
      <c r="M31" s="4">
        <v>214</v>
      </c>
      <c r="N31" s="4"/>
      <c r="P31" s="4" t="s">
        <v>91</v>
      </c>
      <c r="Q31" t="s">
        <v>100</v>
      </c>
    </row>
    <row r="32" spans="1:28">
      <c r="A32" s="4">
        <v>144</v>
      </c>
      <c r="B32" t="s">
        <v>101</v>
      </c>
      <c r="C32" t="s">
        <v>20</v>
      </c>
      <c r="D32" s="5">
        <v>43777</v>
      </c>
      <c r="E32" s="4">
        <v>-22.367609999999999</v>
      </c>
      <c r="F32" s="4">
        <v>28.948090000000001</v>
      </c>
      <c r="G32" s="4" t="s">
        <v>88</v>
      </c>
      <c r="H32" t="s">
        <v>22</v>
      </c>
      <c r="L32" s="4">
        <v>242</v>
      </c>
      <c r="M32" s="4"/>
      <c r="N32" s="4"/>
      <c r="P32" s="4" t="s">
        <v>91</v>
      </c>
    </row>
    <row r="33" spans="1:17">
      <c r="A33" s="4">
        <v>145</v>
      </c>
      <c r="B33" t="s">
        <v>102</v>
      </c>
      <c r="C33" t="s">
        <v>20</v>
      </c>
      <c r="D33" s="5">
        <v>43778</v>
      </c>
      <c r="E33" s="4">
        <v>-22.365359999999999</v>
      </c>
      <c r="F33" s="4">
        <v>28.967140000000001</v>
      </c>
      <c r="G33" s="4" t="s">
        <v>88</v>
      </c>
      <c r="H33" t="s">
        <v>26</v>
      </c>
      <c r="L33" s="4">
        <v>47</v>
      </c>
      <c r="M33" s="4"/>
      <c r="N33" s="4"/>
      <c r="P33" s="4" t="s">
        <v>91</v>
      </c>
    </row>
    <row r="34" spans="1:17">
      <c r="A34" s="4">
        <v>146</v>
      </c>
      <c r="B34" t="s">
        <v>103</v>
      </c>
      <c r="C34" t="s">
        <v>20</v>
      </c>
      <c r="D34" s="5">
        <v>43778</v>
      </c>
      <c r="E34" s="4">
        <v>-22.367599999999999</v>
      </c>
      <c r="F34" s="4">
        <v>28.967410000000001</v>
      </c>
      <c r="G34" s="4" t="s">
        <v>88</v>
      </c>
      <c r="H34" t="s">
        <v>29</v>
      </c>
      <c r="L34" s="4">
        <v>210</v>
      </c>
      <c r="M34" s="4"/>
      <c r="N34" s="4"/>
      <c r="P34" s="4" t="s">
        <v>91</v>
      </c>
      <c r="Q34" t="s">
        <v>104</v>
      </c>
    </row>
    <row r="35" spans="1:17">
      <c r="A35" s="4">
        <v>147</v>
      </c>
      <c r="B35" t="s">
        <v>105</v>
      </c>
      <c r="C35" t="s">
        <v>20</v>
      </c>
      <c r="D35" s="5">
        <v>43778</v>
      </c>
      <c r="E35" s="4">
        <v>-22.351179999999999</v>
      </c>
      <c r="F35" s="4">
        <v>28.914380000000001</v>
      </c>
      <c r="G35" s="4" t="s">
        <v>88</v>
      </c>
      <c r="H35" t="s">
        <v>22</v>
      </c>
      <c r="L35" s="4">
        <v>242</v>
      </c>
      <c r="M35" s="4"/>
      <c r="N35" s="4"/>
      <c r="P35" s="4" t="s">
        <v>91</v>
      </c>
      <c r="Q35" t="s">
        <v>106</v>
      </c>
    </row>
    <row r="36" spans="1:17">
      <c r="A36" s="4">
        <v>148</v>
      </c>
      <c r="B36" t="s">
        <v>107</v>
      </c>
      <c r="C36" t="s">
        <v>20</v>
      </c>
      <c r="D36" s="5">
        <v>43777</v>
      </c>
      <c r="E36" s="4">
        <v>-22.37283</v>
      </c>
      <c r="F36" s="4">
        <v>28.96941</v>
      </c>
      <c r="G36" s="4" t="s">
        <v>88</v>
      </c>
      <c r="H36" t="s">
        <v>26</v>
      </c>
      <c r="I36" t="s">
        <v>44</v>
      </c>
      <c r="L36" s="4">
        <v>47</v>
      </c>
      <c r="M36" s="4">
        <v>215</v>
      </c>
      <c r="N36" s="4"/>
      <c r="P36" s="4" t="s">
        <v>91</v>
      </c>
      <c r="Q36" t="s">
        <v>108</v>
      </c>
    </row>
    <row r="37" spans="1:17">
      <c r="A37" s="4">
        <v>149</v>
      </c>
      <c r="B37" t="s">
        <v>109</v>
      </c>
      <c r="C37" t="s">
        <v>20</v>
      </c>
      <c r="D37" s="5">
        <v>43778</v>
      </c>
      <c r="E37" s="4">
        <v>-22.981999999999999</v>
      </c>
      <c r="F37" s="4">
        <v>28.90851</v>
      </c>
      <c r="G37" s="4" t="s">
        <v>88</v>
      </c>
      <c r="H37" t="s">
        <v>26</v>
      </c>
      <c r="L37" s="4">
        <v>47</v>
      </c>
      <c r="M37" s="4"/>
      <c r="N37" s="4"/>
      <c r="P37" s="4" t="s">
        <v>91</v>
      </c>
      <c r="Q37" t="s">
        <v>110</v>
      </c>
    </row>
    <row r="38" spans="1:17">
      <c r="A38" s="4">
        <v>151</v>
      </c>
      <c r="B38" t="s">
        <v>111</v>
      </c>
      <c r="C38" t="s">
        <v>20</v>
      </c>
      <c r="D38" s="5">
        <v>43777</v>
      </c>
      <c r="E38" s="4">
        <v>-22.367619999999999</v>
      </c>
      <c r="F38" s="4">
        <v>28.948090000000001</v>
      </c>
      <c r="G38" s="4" t="s">
        <v>88</v>
      </c>
      <c r="H38" t="s">
        <v>112</v>
      </c>
      <c r="L38" s="4">
        <v>85</v>
      </c>
      <c r="M38" s="4"/>
      <c r="N38" s="4"/>
      <c r="P38" s="4" t="s">
        <v>91</v>
      </c>
      <c r="Q38" t="s">
        <v>65</v>
      </c>
    </row>
    <row r="39" spans="1:17">
      <c r="A39" s="4">
        <v>153</v>
      </c>
      <c r="B39" t="s">
        <v>113</v>
      </c>
      <c r="C39" t="s">
        <v>20</v>
      </c>
      <c r="D39" s="5">
        <v>43778</v>
      </c>
      <c r="E39" s="4">
        <v>-22.358499999999999</v>
      </c>
      <c r="F39" s="4">
        <v>28.96519</v>
      </c>
      <c r="G39" s="4" t="s">
        <v>88</v>
      </c>
      <c r="H39" t="s">
        <v>44</v>
      </c>
      <c r="L39" s="4">
        <v>215</v>
      </c>
      <c r="M39" s="4"/>
      <c r="N39" s="4"/>
      <c r="P39" s="4" t="s">
        <v>91</v>
      </c>
      <c r="Q39" t="s">
        <v>114</v>
      </c>
    </row>
    <row r="40" spans="1:17">
      <c r="A40" s="4">
        <v>154</v>
      </c>
      <c r="B40" t="s">
        <v>115</v>
      </c>
      <c r="C40" t="s">
        <v>20</v>
      </c>
      <c r="D40" s="5">
        <v>43782</v>
      </c>
      <c r="E40" s="4">
        <v>-22.355899999999998</v>
      </c>
      <c r="F40" s="4">
        <v>28.945499999999999</v>
      </c>
      <c r="G40" s="4" t="s">
        <v>88</v>
      </c>
      <c r="H40" t="s">
        <v>37</v>
      </c>
      <c r="L40" s="4">
        <v>214</v>
      </c>
      <c r="M40" s="4"/>
      <c r="N40" s="4"/>
      <c r="P40" s="4" t="s">
        <v>91</v>
      </c>
    </row>
    <row r="41" spans="1:17">
      <c r="A41" s="4">
        <v>155</v>
      </c>
      <c r="B41" t="s">
        <v>116</v>
      </c>
      <c r="C41" t="s">
        <v>20</v>
      </c>
      <c r="D41" s="5">
        <v>43782</v>
      </c>
      <c r="E41" s="4">
        <v>-22.355899999999998</v>
      </c>
      <c r="F41" s="4">
        <v>28.945499999999999</v>
      </c>
      <c r="G41" s="4" t="s">
        <v>88</v>
      </c>
      <c r="H41" t="s">
        <v>37</v>
      </c>
      <c r="I41" t="s">
        <v>117</v>
      </c>
      <c r="L41" s="4">
        <v>214</v>
      </c>
      <c r="M41" s="4">
        <v>47</v>
      </c>
      <c r="N41" s="4"/>
      <c r="P41" s="4" t="s">
        <v>91</v>
      </c>
      <c r="Q41" t="s">
        <v>118</v>
      </c>
    </row>
    <row r="42" spans="1:17">
      <c r="A42" s="4">
        <v>156</v>
      </c>
      <c r="B42" t="s">
        <v>119</v>
      </c>
      <c r="C42" t="s">
        <v>20</v>
      </c>
      <c r="D42" s="5">
        <v>43778</v>
      </c>
      <c r="E42" s="4">
        <v>-22.340389999999999</v>
      </c>
      <c r="F42" s="4">
        <v>28.91808</v>
      </c>
      <c r="G42" s="4" t="s">
        <v>88</v>
      </c>
      <c r="H42" t="s">
        <v>37</v>
      </c>
      <c r="L42" s="4">
        <v>214</v>
      </c>
      <c r="M42" s="4"/>
      <c r="N42" s="4"/>
      <c r="P42" s="4" t="s">
        <v>91</v>
      </c>
    </row>
    <row r="43" spans="1:17">
      <c r="A43" s="4">
        <v>160</v>
      </c>
      <c r="B43" t="s">
        <v>120</v>
      </c>
      <c r="C43" t="s">
        <v>20</v>
      </c>
      <c r="D43" s="5">
        <v>43828</v>
      </c>
      <c r="E43" s="4">
        <v>-22.402149999999999</v>
      </c>
      <c r="F43" s="4">
        <v>28.948149999999998</v>
      </c>
      <c r="G43" s="4" t="s">
        <v>40</v>
      </c>
      <c r="H43" t="s">
        <v>26</v>
      </c>
      <c r="I43" t="s">
        <v>49</v>
      </c>
      <c r="L43" s="4">
        <v>47</v>
      </c>
      <c r="M43" s="4">
        <v>242</v>
      </c>
      <c r="N43" s="4"/>
      <c r="P43" s="4" t="s">
        <v>91</v>
      </c>
      <c r="Q43" t="s">
        <v>114</v>
      </c>
    </row>
    <row r="44" spans="1:17">
      <c r="A44" s="4">
        <v>169</v>
      </c>
      <c r="B44" t="s">
        <v>121</v>
      </c>
      <c r="C44" t="s">
        <v>20</v>
      </c>
      <c r="D44" s="5">
        <v>43897</v>
      </c>
      <c r="G44" s="4" t="s">
        <v>40</v>
      </c>
      <c r="H44" t="s">
        <v>26</v>
      </c>
      <c r="I44" t="s">
        <v>45</v>
      </c>
      <c r="L44" s="4">
        <v>47</v>
      </c>
      <c r="M44" s="4">
        <v>42</v>
      </c>
      <c r="N44" s="4"/>
      <c r="P44" s="4" t="s">
        <v>122</v>
      </c>
    </row>
    <row r="45" spans="1:17">
      <c r="A45" s="4">
        <v>170</v>
      </c>
      <c r="B45" t="s">
        <v>123</v>
      </c>
      <c r="C45" t="s">
        <v>20</v>
      </c>
      <c r="D45" s="5">
        <v>43881</v>
      </c>
      <c r="G45" s="4" t="s">
        <v>40</v>
      </c>
      <c r="H45" t="s">
        <v>37</v>
      </c>
      <c r="I45" t="s">
        <v>29</v>
      </c>
      <c r="L45" s="4">
        <v>214</v>
      </c>
      <c r="M45" s="4"/>
      <c r="N45" s="4"/>
      <c r="P45" s="4" t="s">
        <v>122</v>
      </c>
    </row>
    <row r="46" spans="1:17">
      <c r="A46" s="4">
        <v>171</v>
      </c>
      <c r="B46" t="s">
        <v>124</v>
      </c>
      <c r="C46" t="s">
        <v>20</v>
      </c>
      <c r="D46" s="5">
        <v>43881</v>
      </c>
      <c r="G46" s="4" t="s">
        <v>40</v>
      </c>
      <c r="H46" t="s">
        <v>22</v>
      </c>
      <c r="L46" s="4">
        <v>242</v>
      </c>
      <c r="M46" s="4"/>
      <c r="N46" s="4"/>
      <c r="P46" s="4" t="s">
        <v>122</v>
      </c>
    </row>
    <row r="47" spans="1:17">
      <c r="A47" s="4">
        <v>173</v>
      </c>
      <c r="B47" t="s">
        <v>125</v>
      </c>
      <c r="C47" t="s">
        <v>20</v>
      </c>
      <c r="D47" s="5">
        <v>43881</v>
      </c>
      <c r="G47" s="4" t="s">
        <v>40</v>
      </c>
      <c r="H47" t="s">
        <v>26</v>
      </c>
      <c r="I47" t="s">
        <v>29</v>
      </c>
      <c r="L47" s="4">
        <v>47</v>
      </c>
      <c r="M47" s="4">
        <v>210</v>
      </c>
      <c r="N47" s="4"/>
      <c r="P47" s="4" t="s">
        <v>122</v>
      </c>
    </row>
    <row r="48" spans="1:17">
      <c r="A48" s="4">
        <v>175</v>
      </c>
      <c r="B48" t="s">
        <v>126</v>
      </c>
      <c r="C48" t="s">
        <v>20</v>
      </c>
      <c r="D48" s="5">
        <v>43897</v>
      </c>
      <c r="G48" s="4" t="s">
        <v>40</v>
      </c>
      <c r="H48" t="s">
        <v>44</v>
      </c>
      <c r="L48" s="4">
        <v>215</v>
      </c>
      <c r="M48" s="4"/>
      <c r="N48" s="4"/>
      <c r="P48" s="4" t="s">
        <v>122</v>
      </c>
    </row>
    <row r="49" spans="1:16">
      <c r="A49" s="4">
        <v>176</v>
      </c>
      <c r="B49" t="s">
        <v>127</v>
      </c>
      <c r="C49" t="s">
        <v>20</v>
      </c>
      <c r="D49" s="5">
        <v>43887</v>
      </c>
      <c r="G49" s="4" t="s">
        <v>40</v>
      </c>
      <c r="H49" t="s">
        <v>22</v>
      </c>
      <c r="L49" s="4">
        <v>242</v>
      </c>
      <c r="M49" s="4"/>
      <c r="N49" s="4"/>
      <c r="P49" s="4" t="s">
        <v>122</v>
      </c>
    </row>
    <row r="50" spans="1:16">
      <c r="A50" s="4">
        <v>180</v>
      </c>
      <c r="B50" t="s">
        <v>128</v>
      </c>
      <c r="C50" t="s">
        <v>20</v>
      </c>
      <c r="D50" s="5">
        <v>43897</v>
      </c>
      <c r="G50" s="4" t="s">
        <v>40</v>
      </c>
      <c r="H50" t="s">
        <v>26</v>
      </c>
      <c r="I50" t="s">
        <v>22</v>
      </c>
      <c r="L50" s="4">
        <v>47</v>
      </c>
      <c r="M50" s="4">
        <v>242</v>
      </c>
      <c r="N50" s="4"/>
      <c r="P50" s="4" t="s">
        <v>122</v>
      </c>
    </row>
    <row r="51" spans="1:16">
      <c r="A51" s="4">
        <v>181</v>
      </c>
      <c r="B51" t="s">
        <v>129</v>
      </c>
      <c r="C51" t="s">
        <v>20</v>
      </c>
      <c r="D51" s="5">
        <v>43897</v>
      </c>
      <c r="G51" s="4" t="s">
        <v>40</v>
      </c>
      <c r="H51" t="s">
        <v>45</v>
      </c>
      <c r="I51" t="s">
        <v>22</v>
      </c>
      <c r="L51" s="4">
        <v>42</v>
      </c>
      <c r="M51" s="4">
        <v>242</v>
      </c>
      <c r="N51" s="4"/>
      <c r="P51" s="4" t="s">
        <v>122</v>
      </c>
    </row>
    <row r="52" spans="1:16">
      <c r="A52" s="4">
        <v>193</v>
      </c>
      <c r="B52" t="s">
        <v>130</v>
      </c>
      <c r="C52" t="s">
        <v>20</v>
      </c>
      <c r="D52" s="4">
        <v>2020</v>
      </c>
      <c r="G52" s="4" t="s">
        <v>88</v>
      </c>
      <c r="H52" t="s">
        <v>26</v>
      </c>
      <c r="L52" s="4">
        <v>47</v>
      </c>
      <c r="M52" s="4"/>
      <c r="N52" s="4"/>
      <c r="P52" s="4" t="s">
        <v>122</v>
      </c>
    </row>
    <row r="53" spans="1:16">
      <c r="A53" s="4">
        <v>194</v>
      </c>
      <c r="B53" t="s">
        <v>131</v>
      </c>
      <c r="C53" t="s">
        <v>20</v>
      </c>
      <c r="D53" s="4">
        <v>2020</v>
      </c>
      <c r="G53" s="4" t="s">
        <v>88</v>
      </c>
      <c r="H53" t="s">
        <v>44</v>
      </c>
      <c r="L53" s="4">
        <v>215</v>
      </c>
      <c r="M53" s="4"/>
      <c r="N53" s="4"/>
      <c r="P53" s="4" t="s">
        <v>122</v>
      </c>
    </row>
    <row r="54" spans="1:16">
      <c r="A54" s="4">
        <v>195</v>
      </c>
      <c r="B54" t="s">
        <v>132</v>
      </c>
      <c r="C54" t="s">
        <v>20</v>
      </c>
      <c r="D54" s="4">
        <v>2020</v>
      </c>
      <c r="G54" s="4" t="s">
        <v>88</v>
      </c>
      <c r="H54" t="s">
        <v>26</v>
      </c>
      <c r="I54" t="s">
        <v>22</v>
      </c>
      <c r="L54" s="4">
        <v>47</v>
      </c>
      <c r="M54" s="4">
        <v>242</v>
      </c>
      <c r="N54" s="4"/>
      <c r="P54" s="4" t="s">
        <v>122</v>
      </c>
    </row>
    <row r="55" spans="1:16">
      <c r="A55" s="4">
        <v>196</v>
      </c>
      <c r="B55" t="s">
        <v>133</v>
      </c>
      <c r="C55" t="s">
        <v>20</v>
      </c>
      <c r="D55" s="4">
        <v>2020</v>
      </c>
      <c r="G55" s="4" t="s">
        <v>88</v>
      </c>
      <c r="H55" t="s">
        <v>29</v>
      </c>
      <c r="I55" t="s">
        <v>26</v>
      </c>
      <c r="L55" s="4">
        <v>210</v>
      </c>
      <c r="M55" s="4">
        <v>47</v>
      </c>
      <c r="N55" s="4"/>
      <c r="P55" s="4" t="s">
        <v>122</v>
      </c>
    </row>
    <row r="56" spans="1:16">
      <c r="A56" s="4">
        <v>197</v>
      </c>
      <c r="B56" t="s">
        <v>134</v>
      </c>
      <c r="C56" t="s">
        <v>20</v>
      </c>
      <c r="D56" s="4">
        <v>2020</v>
      </c>
      <c r="G56" s="4" t="s">
        <v>88</v>
      </c>
      <c r="H56" t="s">
        <v>44</v>
      </c>
      <c r="L56" s="4">
        <v>215</v>
      </c>
      <c r="M56" s="4"/>
      <c r="N56" s="4"/>
      <c r="P56" s="4" t="s">
        <v>122</v>
      </c>
    </row>
    <row r="57" spans="1:16">
      <c r="A57" s="4">
        <v>198</v>
      </c>
      <c r="B57" t="s">
        <v>135</v>
      </c>
      <c r="C57" t="s">
        <v>20</v>
      </c>
      <c r="D57" s="4">
        <v>2020</v>
      </c>
      <c r="G57" s="4" t="s">
        <v>21</v>
      </c>
      <c r="H57" t="s">
        <v>26</v>
      </c>
      <c r="I57" t="s">
        <v>29</v>
      </c>
      <c r="L57" s="4">
        <v>47</v>
      </c>
      <c r="M57" s="4">
        <v>210</v>
      </c>
      <c r="N57" s="4"/>
      <c r="P57" s="4" t="s">
        <v>122</v>
      </c>
    </row>
    <row r="58" spans="1:16">
      <c r="A58" s="4">
        <v>199</v>
      </c>
      <c r="B58" t="s">
        <v>136</v>
      </c>
      <c r="C58" t="s">
        <v>20</v>
      </c>
      <c r="D58" s="4">
        <v>2020</v>
      </c>
      <c r="G58" s="4" t="s">
        <v>88</v>
      </c>
      <c r="H58" t="s">
        <v>44</v>
      </c>
      <c r="I58" t="s">
        <v>56</v>
      </c>
      <c r="L58" s="4">
        <v>215</v>
      </c>
      <c r="M58" s="4">
        <v>3.6</v>
      </c>
      <c r="N58" s="4"/>
      <c r="P58" s="4" t="s">
        <v>122</v>
      </c>
    </row>
    <row r="59" spans="1:16">
      <c r="A59" s="4">
        <v>200</v>
      </c>
      <c r="B59" t="s">
        <v>137</v>
      </c>
      <c r="C59" t="s">
        <v>20</v>
      </c>
      <c r="D59" s="4">
        <v>2020</v>
      </c>
      <c r="G59" s="4" t="s">
        <v>88</v>
      </c>
      <c r="H59" t="s">
        <v>44</v>
      </c>
      <c r="I59" t="s">
        <v>138</v>
      </c>
      <c r="L59" s="4">
        <v>215</v>
      </c>
      <c r="M59" s="4">
        <v>3</v>
      </c>
      <c r="N59" s="4"/>
      <c r="P59" s="4" t="s">
        <v>122</v>
      </c>
    </row>
    <row r="60" spans="1:16">
      <c r="A60" s="4">
        <v>203</v>
      </c>
      <c r="B60" t="s">
        <v>139</v>
      </c>
      <c r="C60" t="s">
        <v>20</v>
      </c>
      <c r="D60" s="4">
        <v>2020</v>
      </c>
      <c r="G60" s="4" t="s">
        <v>88</v>
      </c>
      <c r="H60" t="s">
        <v>44</v>
      </c>
      <c r="L60" s="4">
        <v>215</v>
      </c>
      <c r="M60" s="4"/>
      <c r="N60" s="4"/>
      <c r="P60" s="4" t="s">
        <v>122</v>
      </c>
    </row>
    <row r="61" spans="1:16">
      <c r="A61" s="4">
        <v>204</v>
      </c>
      <c r="B61" t="s">
        <v>140</v>
      </c>
      <c r="C61" t="s">
        <v>20</v>
      </c>
      <c r="D61" s="4">
        <v>2020</v>
      </c>
      <c r="G61" s="4" t="s">
        <v>40</v>
      </c>
      <c r="H61" t="s">
        <v>44</v>
      </c>
      <c r="L61" s="4">
        <v>215</v>
      </c>
      <c r="M61" s="4"/>
      <c r="N61" s="4"/>
      <c r="P61" s="4" t="s">
        <v>122</v>
      </c>
    </row>
    <row r="62" spans="1:16">
      <c r="A62" s="4">
        <v>205</v>
      </c>
      <c r="B62" t="s">
        <v>141</v>
      </c>
      <c r="C62" t="s">
        <v>20</v>
      </c>
      <c r="D62" s="4">
        <v>2020</v>
      </c>
      <c r="G62" s="4" t="s">
        <v>142</v>
      </c>
      <c r="H62" t="s">
        <v>22</v>
      </c>
      <c r="L62" s="4">
        <v>242</v>
      </c>
      <c r="M62" s="4"/>
      <c r="N62" s="4"/>
      <c r="P62" s="4" t="s">
        <v>122</v>
      </c>
    </row>
    <row r="63" spans="1:16">
      <c r="A63" s="4">
        <v>206</v>
      </c>
      <c r="B63" t="s">
        <v>143</v>
      </c>
      <c r="C63" t="s">
        <v>20</v>
      </c>
      <c r="D63" s="4">
        <v>2020</v>
      </c>
      <c r="G63" s="4" t="s">
        <v>40</v>
      </c>
      <c r="H63" t="s">
        <v>26</v>
      </c>
      <c r="I63" t="s">
        <v>44</v>
      </c>
      <c r="L63" s="4">
        <v>47</v>
      </c>
      <c r="M63" s="4">
        <v>215</v>
      </c>
      <c r="N63" s="4"/>
      <c r="P63" s="4" t="s">
        <v>122</v>
      </c>
    </row>
    <row r="64" spans="1:16">
      <c r="A64" s="4">
        <v>207</v>
      </c>
      <c r="B64" t="s">
        <v>144</v>
      </c>
      <c r="C64" t="s">
        <v>20</v>
      </c>
      <c r="D64" s="4">
        <v>2020</v>
      </c>
      <c r="G64" s="4" t="s">
        <v>40</v>
      </c>
      <c r="H64" t="s">
        <v>26</v>
      </c>
      <c r="I64" t="s">
        <v>44</v>
      </c>
      <c r="L64" s="4">
        <v>47</v>
      </c>
      <c r="M64" s="4">
        <v>215</v>
      </c>
      <c r="N64" s="4"/>
      <c r="P64" s="4" t="s">
        <v>122</v>
      </c>
    </row>
    <row r="65" spans="1:16">
      <c r="A65" s="4">
        <v>211</v>
      </c>
      <c r="B65" t="s">
        <v>145</v>
      </c>
      <c r="C65" t="s">
        <v>20</v>
      </c>
      <c r="D65" s="4">
        <v>2020</v>
      </c>
      <c r="G65" s="4" t="s">
        <v>88</v>
      </c>
      <c r="H65" t="s">
        <v>26</v>
      </c>
      <c r="I65" t="s">
        <v>72</v>
      </c>
      <c r="L65" s="4">
        <v>47</v>
      </c>
      <c r="M65" s="4">
        <v>280</v>
      </c>
      <c r="N65" s="4"/>
      <c r="P65" s="4" t="s">
        <v>122</v>
      </c>
    </row>
    <row r="66" spans="1:16">
      <c r="A66" s="4">
        <v>212</v>
      </c>
      <c r="B66" t="s">
        <v>146</v>
      </c>
      <c r="C66" t="s">
        <v>20</v>
      </c>
      <c r="D66" s="4">
        <v>2020</v>
      </c>
      <c r="G66" s="4" t="s">
        <v>88</v>
      </c>
      <c r="H66" t="s">
        <v>26</v>
      </c>
      <c r="L66" s="4">
        <v>47</v>
      </c>
      <c r="M66" s="4"/>
      <c r="N66" s="4"/>
      <c r="P66" s="4" t="s">
        <v>122</v>
      </c>
    </row>
    <row r="67" spans="1:16">
      <c r="A67" s="4">
        <v>213</v>
      </c>
      <c r="B67" t="s">
        <v>147</v>
      </c>
      <c r="C67" t="s">
        <v>20</v>
      </c>
      <c r="D67" s="4">
        <v>2020</v>
      </c>
      <c r="G67" s="4" t="s">
        <v>88</v>
      </c>
      <c r="H67" t="s">
        <v>22</v>
      </c>
      <c r="I67" t="s">
        <v>72</v>
      </c>
      <c r="L67" s="4">
        <v>242</v>
      </c>
      <c r="M67" s="4">
        <v>280</v>
      </c>
      <c r="N67" s="4"/>
      <c r="P67" s="4" t="s">
        <v>122</v>
      </c>
    </row>
    <row r="68" spans="1:16">
      <c r="A68" s="4">
        <v>214</v>
      </c>
      <c r="B68" t="s">
        <v>148</v>
      </c>
      <c r="C68" t="s">
        <v>20</v>
      </c>
      <c r="D68" s="4">
        <v>2020</v>
      </c>
      <c r="G68" s="4" t="s">
        <v>88</v>
      </c>
      <c r="H68" t="s">
        <v>26</v>
      </c>
      <c r="L68" s="4">
        <v>47</v>
      </c>
      <c r="M68" s="4"/>
      <c r="N68" s="4"/>
      <c r="P68" s="4" t="s">
        <v>122</v>
      </c>
    </row>
    <row r="69" spans="1:16">
      <c r="A69" s="4">
        <v>215</v>
      </c>
      <c r="B69" t="s">
        <v>149</v>
      </c>
      <c r="C69" t="s">
        <v>20</v>
      </c>
      <c r="D69" s="4">
        <v>2020</v>
      </c>
      <c r="G69" s="4" t="s">
        <v>88</v>
      </c>
      <c r="H69" t="s">
        <v>26</v>
      </c>
      <c r="L69" s="4">
        <v>47</v>
      </c>
      <c r="M69" s="4"/>
      <c r="N69" s="4"/>
      <c r="P69" s="4" t="s">
        <v>122</v>
      </c>
    </row>
    <row r="70" spans="1:16">
      <c r="A70" s="4">
        <v>216</v>
      </c>
      <c r="B70" t="s">
        <v>150</v>
      </c>
      <c r="C70" t="s">
        <v>20</v>
      </c>
      <c r="D70" s="4">
        <v>2020</v>
      </c>
      <c r="G70" s="4" t="s">
        <v>88</v>
      </c>
      <c r="H70" t="s">
        <v>22</v>
      </c>
      <c r="L70" s="4">
        <v>242</v>
      </c>
      <c r="M70" s="4"/>
      <c r="N70" s="4"/>
      <c r="P70" s="4" t="s">
        <v>122</v>
      </c>
    </row>
    <row r="71" spans="1:16">
      <c r="A71" s="4">
        <v>217</v>
      </c>
      <c r="B71" t="s">
        <v>151</v>
      </c>
      <c r="C71" t="s">
        <v>20</v>
      </c>
      <c r="D71" s="4">
        <v>2020</v>
      </c>
      <c r="G71" s="4" t="s">
        <v>40</v>
      </c>
      <c r="H71" t="s">
        <v>37</v>
      </c>
      <c r="I71" t="s">
        <v>29</v>
      </c>
      <c r="L71" s="4">
        <v>214</v>
      </c>
      <c r="M71" s="4"/>
      <c r="N71" s="4"/>
      <c r="P71" s="4" t="s">
        <v>122</v>
      </c>
    </row>
    <row r="72" spans="1:16">
      <c r="A72" s="4">
        <v>218</v>
      </c>
      <c r="B72" t="s">
        <v>152</v>
      </c>
      <c r="C72" t="s">
        <v>20</v>
      </c>
      <c r="D72" s="4">
        <v>2020</v>
      </c>
      <c r="G72" s="4" t="s">
        <v>40</v>
      </c>
      <c r="H72" t="s">
        <v>26</v>
      </c>
      <c r="I72" t="s">
        <v>153</v>
      </c>
      <c r="L72" s="4">
        <v>47</v>
      </c>
      <c r="M72" s="4"/>
      <c r="N72" s="4"/>
      <c r="P72" s="4" t="s">
        <v>122</v>
      </c>
    </row>
    <row r="73" spans="1:16">
      <c r="A73" s="4">
        <v>219</v>
      </c>
      <c r="B73" t="s">
        <v>154</v>
      </c>
      <c r="C73" t="s">
        <v>20</v>
      </c>
      <c r="D73" s="4">
        <v>2020</v>
      </c>
      <c r="G73" s="4" t="s">
        <v>40</v>
      </c>
      <c r="H73" t="s">
        <v>56</v>
      </c>
      <c r="I73" t="s">
        <v>117</v>
      </c>
      <c r="L73" s="4">
        <v>3.6</v>
      </c>
      <c r="M73" s="4">
        <v>47</v>
      </c>
      <c r="N73" s="4"/>
      <c r="P73" s="4" t="s">
        <v>122</v>
      </c>
    </row>
    <row r="74" spans="1:16">
      <c r="A74" s="4">
        <v>220</v>
      </c>
      <c r="B74" t="s">
        <v>155</v>
      </c>
      <c r="C74" t="s">
        <v>20</v>
      </c>
      <c r="D74" s="4">
        <v>2020</v>
      </c>
      <c r="G74" s="4" t="s">
        <v>40</v>
      </c>
      <c r="H74" t="s">
        <v>45</v>
      </c>
      <c r="L74" s="4">
        <v>42</v>
      </c>
      <c r="M74" s="4"/>
      <c r="N74" s="4"/>
      <c r="P74" s="4" t="s">
        <v>122</v>
      </c>
    </row>
    <row r="75" spans="1:16">
      <c r="A75" s="4">
        <v>221</v>
      </c>
      <c r="B75" t="s">
        <v>156</v>
      </c>
      <c r="C75" t="s">
        <v>20</v>
      </c>
      <c r="D75" s="4">
        <v>2020</v>
      </c>
      <c r="G75" s="4" t="s">
        <v>142</v>
      </c>
      <c r="H75" t="s">
        <v>72</v>
      </c>
      <c r="I75" t="s">
        <v>29</v>
      </c>
      <c r="L75" s="4">
        <v>280</v>
      </c>
      <c r="M75" s="4">
        <v>210</v>
      </c>
      <c r="N75" s="4"/>
      <c r="P75" s="4" t="s">
        <v>122</v>
      </c>
    </row>
    <row r="76" spans="1:16">
      <c r="A76" s="4">
        <v>76</v>
      </c>
      <c r="B76" t="s">
        <v>157</v>
      </c>
      <c r="C76" s="4" t="s">
        <v>158</v>
      </c>
      <c r="D76" s="4">
        <v>2018</v>
      </c>
      <c r="E76" s="4">
        <v>-22.34196</v>
      </c>
      <c r="F76" s="4">
        <v>28.900729999999999</v>
      </c>
      <c r="G76" s="4" t="s">
        <v>40</v>
      </c>
      <c r="H76" t="s">
        <v>159</v>
      </c>
      <c r="L76" s="4">
        <v>4</v>
      </c>
      <c r="M76" s="4"/>
      <c r="N76" s="4"/>
      <c r="O76" s="4"/>
      <c r="P76" s="4" t="s">
        <v>160</v>
      </c>
    </row>
    <row r="77" spans="1:16">
      <c r="A77" s="4">
        <v>77</v>
      </c>
      <c r="B77" t="s">
        <v>161</v>
      </c>
      <c r="C77" s="4" t="s">
        <v>158</v>
      </c>
      <c r="D77" s="5">
        <v>43208</v>
      </c>
      <c r="E77" s="4">
        <v>-22.335730000000002</v>
      </c>
      <c r="F77" s="4">
        <v>28.905529999999999</v>
      </c>
      <c r="G77" s="4" t="s">
        <v>40</v>
      </c>
      <c r="H77" t="s">
        <v>26</v>
      </c>
      <c r="I77" t="s">
        <v>44</v>
      </c>
      <c r="L77" s="4">
        <v>47</v>
      </c>
      <c r="M77" s="4">
        <v>215</v>
      </c>
      <c r="N77" s="4"/>
      <c r="O77" s="4"/>
      <c r="P77" s="4" t="s">
        <v>160</v>
      </c>
    </row>
    <row r="78" spans="1:16">
      <c r="A78" s="4">
        <v>78</v>
      </c>
      <c r="B78" t="s">
        <v>162</v>
      </c>
      <c r="C78" s="4" t="s">
        <v>158</v>
      </c>
      <c r="D78" s="5">
        <v>43211</v>
      </c>
      <c r="E78" s="4">
        <v>-22.36636</v>
      </c>
      <c r="F78" s="4">
        <v>28.953289999999999</v>
      </c>
      <c r="G78" s="4" t="s">
        <v>40</v>
      </c>
      <c r="H78" t="s">
        <v>26</v>
      </c>
      <c r="L78" s="4">
        <v>47</v>
      </c>
      <c r="M78" s="4"/>
      <c r="N78" s="4"/>
      <c r="O78" s="4"/>
      <c r="P78" s="4" t="s">
        <v>160</v>
      </c>
    </row>
    <row r="79" spans="1:16">
      <c r="A79" s="4">
        <v>79</v>
      </c>
      <c r="B79" t="s">
        <v>163</v>
      </c>
      <c r="C79" s="4" t="s">
        <v>158</v>
      </c>
      <c r="D79" s="5">
        <v>43224</v>
      </c>
      <c r="E79" s="4">
        <v>-22.350100000000001</v>
      </c>
      <c r="F79" s="4">
        <v>28.91189</v>
      </c>
      <c r="G79" s="4" t="s">
        <v>88</v>
      </c>
      <c r="H79" t="s">
        <v>44</v>
      </c>
      <c r="I79" t="s">
        <v>117</v>
      </c>
      <c r="L79" s="4">
        <v>215</v>
      </c>
      <c r="M79" s="4">
        <v>47</v>
      </c>
      <c r="N79" s="4"/>
      <c r="O79" s="4"/>
      <c r="P79" s="4" t="s">
        <v>160</v>
      </c>
    </row>
    <row r="80" spans="1:16">
      <c r="A80" s="4">
        <v>80</v>
      </c>
      <c r="B80" t="s">
        <v>164</v>
      </c>
      <c r="C80" s="4" t="s">
        <v>158</v>
      </c>
      <c r="D80" s="5">
        <v>43240</v>
      </c>
      <c r="E80" s="4">
        <v>-22.376529999999999</v>
      </c>
      <c r="F80" s="4">
        <v>28.948139999999999</v>
      </c>
      <c r="G80" s="4" t="s">
        <v>88</v>
      </c>
      <c r="H80" t="s">
        <v>26</v>
      </c>
      <c r="I80" t="s">
        <v>52</v>
      </c>
      <c r="L80" s="4">
        <v>47</v>
      </c>
      <c r="M80" s="4">
        <v>17.2</v>
      </c>
      <c r="N80" s="4"/>
      <c r="O80" s="4"/>
      <c r="P80" s="4" t="s">
        <v>160</v>
      </c>
    </row>
    <row r="81" spans="1:17">
      <c r="A81" s="4">
        <v>81</v>
      </c>
      <c r="B81" t="s">
        <v>165</v>
      </c>
      <c r="C81" s="4" t="s">
        <v>158</v>
      </c>
      <c r="D81" s="5">
        <v>43265</v>
      </c>
      <c r="E81" s="4">
        <v>-22.353280000000002</v>
      </c>
      <c r="F81" s="4">
        <v>28.89284</v>
      </c>
      <c r="G81" s="4" t="s">
        <v>88</v>
      </c>
      <c r="H81" t="s">
        <v>22</v>
      </c>
      <c r="L81" s="4">
        <v>242</v>
      </c>
      <c r="M81" s="4"/>
      <c r="N81" s="4"/>
      <c r="O81" s="4"/>
      <c r="P81" s="4" t="s">
        <v>160</v>
      </c>
    </row>
    <row r="82" spans="1:17">
      <c r="A82" s="4">
        <v>82</v>
      </c>
      <c r="B82" t="s">
        <v>166</v>
      </c>
      <c r="C82" s="4" t="s">
        <v>158</v>
      </c>
      <c r="D82" s="4">
        <v>2018</v>
      </c>
      <c r="G82" s="4" t="s">
        <v>88</v>
      </c>
      <c r="H82" t="s">
        <v>44</v>
      </c>
      <c r="L82" s="4">
        <v>215</v>
      </c>
      <c r="M82" s="4"/>
      <c r="N82" s="4"/>
      <c r="O82" s="4"/>
      <c r="P82" s="4" t="s">
        <v>160</v>
      </c>
    </row>
    <row r="83" spans="1:17">
      <c r="A83" s="4">
        <v>83</v>
      </c>
      <c r="B83" t="s">
        <v>167</v>
      </c>
      <c r="C83" s="4" t="s">
        <v>158</v>
      </c>
      <c r="D83" s="5">
        <v>43326</v>
      </c>
      <c r="E83" s="4">
        <v>-22.366610000000001</v>
      </c>
      <c r="F83" s="4">
        <v>28.951129999999999</v>
      </c>
      <c r="G83" s="4" t="s">
        <v>88</v>
      </c>
      <c r="H83" t="s">
        <v>72</v>
      </c>
      <c r="L83" s="4">
        <v>280</v>
      </c>
      <c r="M83" s="4"/>
      <c r="N83" s="4"/>
      <c r="O83" s="4"/>
      <c r="P83" s="4" t="s">
        <v>160</v>
      </c>
    </row>
    <row r="84" spans="1:17">
      <c r="A84" s="4">
        <v>84</v>
      </c>
      <c r="B84" t="s">
        <v>168</v>
      </c>
      <c r="C84" s="4" t="s">
        <v>158</v>
      </c>
      <c r="D84" s="9">
        <v>2018</v>
      </c>
      <c r="G84" s="4" t="s">
        <v>40</v>
      </c>
      <c r="H84" t="s">
        <v>26</v>
      </c>
      <c r="L84" s="4">
        <v>47</v>
      </c>
      <c r="M84" s="4"/>
      <c r="N84" s="4"/>
      <c r="O84" s="4"/>
      <c r="P84" s="4" t="s">
        <v>160</v>
      </c>
    </row>
    <row r="85" spans="1:17">
      <c r="A85" s="4">
        <v>85</v>
      </c>
      <c r="B85" t="s">
        <v>169</v>
      </c>
      <c r="C85" s="4" t="s">
        <v>158</v>
      </c>
      <c r="D85" s="5">
        <v>43517</v>
      </c>
      <c r="E85" s="4">
        <v>-22.382899999999999</v>
      </c>
      <c r="F85" s="4">
        <v>28.9634</v>
      </c>
      <c r="G85" s="4" t="s">
        <v>40</v>
      </c>
      <c r="H85" t="s">
        <v>44</v>
      </c>
      <c r="L85" s="4">
        <v>215</v>
      </c>
      <c r="M85" s="4"/>
      <c r="N85" s="4"/>
      <c r="O85" s="4"/>
      <c r="P85" s="4" t="s">
        <v>160</v>
      </c>
    </row>
    <row r="86" spans="1:17">
      <c r="A86" s="4">
        <v>6</v>
      </c>
      <c r="B86" t="s">
        <v>170</v>
      </c>
      <c r="C86" s="4" t="s">
        <v>158</v>
      </c>
      <c r="D86" s="5">
        <v>43257</v>
      </c>
      <c r="E86" s="4">
        <v>-22.341660000000001</v>
      </c>
      <c r="F86" s="6">
        <v>28.902899999999999</v>
      </c>
      <c r="G86" s="4" t="s">
        <v>21</v>
      </c>
      <c r="H86" t="s">
        <v>26</v>
      </c>
      <c r="L86" s="4">
        <v>47</v>
      </c>
      <c r="P86" s="4" t="s">
        <v>23</v>
      </c>
    </row>
    <row r="87" spans="1:17">
      <c r="A87" s="4">
        <v>8</v>
      </c>
      <c r="B87" s="4" t="s">
        <v>171</v>
      </c>
      <c r="C87" s="4" t="s">
        <v>158</v>
      </c>
      <c r="D87" s="5">
        <v>43303</v>
      </c>
      <c r="E87" s="4">
        <v>-22.382639999999999</v>
      </c>
      <c r="F87" s="6">
        <v>28.93722</v>
      </c>
      <c r="G87" s="4" t="s">
        <v>21</v>
      </c>
      <c r="H87" t="s">
        <v>26</v>
      </c>
      <c r="L87" s="4">
        <v>47</v>
      </c>
      <c r="P87" s="4" t="s">
        <v>23</v>
      </c>
    </row>
    <row r="88" spans="1:17">
      <c r="A88" s="4">
        <v>11</v>
      </c>
      <c r="B88" t="s">
        <v>172</v>
      </c>
      <c r="C88" s="4" t="s">
        <v>158</v>
      </c>
      <c r="D88" s="5">
        <v>43303</v>
      </c>
      <c r="E88" s="4">
        <v>-22.363130000000002</v>
      </c>
      <c r="F88" s="10">
        <v>28.944700000000001</v>
      </c>
      <c r="G88" s="4" t="s">
        <v>21</v>
      </c>
      <c r="H88" t="s">
        <v>26</v>
      </c>
      <c r="L88" s="4">
        <v>47</v>
      </c>
      <c r="P88" s="4" t="s">
        <v>23</v>
      </c>
    </row>
    <row r="89" spans="1:17">
      <c r="A89" s="4">
        <v>15</v>
      </c>
      <c r="B89" t="s">
        <v>173</v>
      </c>
      <c r="C89" t="s">
        <v>158</v>
      </c>
      <c r="D89" s="5">
        <v>43312</v>
      </c>
      <c r="E89" s="4">
        <v>-22.435279999999999</v>
      </c>
      <c r="F89" s="4">
        <v>28.936309999999999</v>
      </c>
      <c r="G89" s="4" t="s">
        <v>21</v>
      </c>
      <c r="H89" t="s">
        <v>26</v>
      </c>
      <c r="I89" t="s">
        <v>22</v>
      </c>
      <c r="L89" s="4">
        <v>47</v>
      </c>
      <c r="M89" s="4"/>
      <c r="N89" s="4"/>
      <c r="O89" s="4"/>
      <c r="P89" s="4" t="s">
        <v>23</v>
      </c>
      <c r="Q89" s="4" t="s">
        <v>174</v>
      </c>
    </row>
    <row r="90" spans="1:17">
      <c r="A90" s="4">
        <v>17</v>
      </c>
      <c r="B90" s="4" t="s">
        <v>175</v>
      </c>
      <c r="C90" s="4" t="s">
        <v>158</v>
      </c>
      <c r="D90" s="5">
        <v>43339</v>
      </c>
      <c r="E90" s="4">
        <v>-22.365130000000001</v>
      </c>
      <c r="F90" s="4">
        <v>28.957660000000001</v>
      </c>
      <c r="G90" s="4" t="s">
        <v>21</v>
      </c>
      <c r="H90" t="s">
        <v>22</v>
      </c>
      <c r="I90" t="s">
        <v>26</v>
      </c>
      <c r="L90" s="4">
        <v>242</v>
      </c>
      <c r="M90" s="4">
        <v>47</v>
      </c>
      <c r="N90" s="4"/>
      <c r="O90" s="4"/>
      <c r="P90" s="4" t="s">
        <v>23</v>
      </c>
      <c r="Q90" s="4" t="s">
        <v>176</v>
      </c>
    </row>
    <row r="91" spans="1:17">
      <c r="A91" s="4">
        <v>23</v>
      </c>
      <c r="B91" t="s">
        <v>177</v>
      </c>
      <c r="C91" s="4" t="s">
        <v>158</v>
      </c>
      <c r="D91" s="12">
        <v>43497</v>
      </c>
      <c r="E91" s="4">
        <v>-22.3674</v>
      </c>
      <c r="F91" s="4">
        <v>28.963799999999999</v>
      </c>
      <c r="G91" s="4" t="s">
        <v>40</v>
      </c>
      <c r="H91" t="s">
        <v>26</v>
      </c>
      <c r="I91" t="s">
        <v>52</v>
      </c>
      <c r="L91" s="4">
        <v>47</v>
      </c>
      <c r="M91" s="4">
        <v>17.2</v>
      </c>
      <c r="N91" s="4"/>
      <c r="O91" s="4"/>
      <c r="P91" s="4" t="s">
        <v>23</v>
      </c>
      <c r="Q91" s="4"/>
    </row>
    <row r="92" spans="1:17">
      <c r="A92" s="4">
        <v>27</v>
      </c>
      <c r="B92" t="s">
        <v>178</v>
      </c>
      <c r="C92" s="4" t="s">
        <v>158</v>
      </c>
      <c r="D92" s="5">
        <v>43507</v>
      </c>
      <c r="E92" s="4">
        <v>-22.362829999999999</v>
      </c>
      <c r="F92" s="4">
        <v>28.936350000000001</v>
      </c>
      <c r="G92" s="4" t="s">
        <v>40</v>
      </c>
      <c r="H92" t="s">
        <v>26</v>
      </c>
      <c r="L92" s="4">
        <v>47</v>
      </c>
      <c r="P92" s="4" t="s">
        <v>23</v>
      </c>
    </row>
    <row r="93" spans="1:17">
      <c r="A93" s="4">
        <v>1</v>
      </c>
      <c r="B93" s="4" t="s">
        <v>179</v>
      </c>
      <c r="C93" s="4" t="s">
        <v>158</v>
      </c>
      <c r="D93" s="5">
        <v>43561</v>
      </c>
      <c r="E93" s="6">
        <v>-22.339040000000001</v>
      </c>
      <c r="F93" s="4">
        <v>28.90438</v>
      </c>
      <c r="G93" s="4" t="s">
        <v>40</v>
      </c>
      <c r="H93" s="4" t="s">
        <v>26</v>
      </c>
      <c r="I93" s="4" t="s">
        <v>138</v>
      </c>
      <c r="J93" s="4"/>
      <c r="K93" s="4"/>
      <c r="L93" s="7">
        <v>47</v>
      </c>
      <c r="M93" s="7">
        <v>3</v>
      </c>
      <c r="N93" s="7"/>
      <c r="O93" s="7"/>
      <c r="P93" s="4" t="s">
        <v>23</v>
      </c>
    </row>
    <row r="94" spans="1:17">
      <c r="A94" s="4">
        <v>30</v>
      </c>
      <c r="B94" t="s">
        <v>180</v>
      </c>
      <c r="C94" t="s">
        <v>158</v>
      </c>
      <c r="D94" s="5">
        <v>43561</v>
      </c>
      <c r="E94" s="4">
        <v>-22.339040000000001</v>
      </c>
      <c r="F94" s="4">
        <v>28.40438</v>
      </c>
      <c r="G94" s="4" t="s">
        <v>40</v>
      </c>
      <c r="H94" t="s">
        <v>29</v>
      </c>
      <c r="L94" s="4">
        <v>210</v>
      </c>
      <c r="M94" s="4"/>
      <c r="N94" s="4"/>
      <c r="O94" s="4"/>
      <c r="P94" s="4" t="s">
        <v>23</v>
      </c>
      <c r="Q94" s="4" t="s">
        <v>181</v>
      </c>
    </row>
    <row r="95" spans="1:17">
      <c r="A95" s="4">
        <v>43</v>
      </c>
      <c r="B95" t="s">
        <v>182</v>
      </c>
      <c r="C95" s="4" t="s">
        <v>158</v>
      </c>
      <c r="D95" s="5">
        <v>43577</v>
      </c>
      <c r="E95" s="4">
        <v>-22.3432</v>
      </c>
      <c r="F95" s="4">
        <v>28.9023</v>
      </c>
      <c r="G95" s="4" t="s">
        <v>40</v>
      </c>
      <c r="H95" t="s">
        <v>26</v>
      </c>
      <c r="L95" s="4">
        <v>47</v>
      </c>
      <c r="P95" s="4" t="s">
        <v>23</v>
      </c>
    </row>
    <row r="96" spans="1:17">
      <c r="A96" s="4">
        <v>44</v>
      </c>
      <c r="B96" s="4" t="s">
        <v>183</v>
      </c>
      <c r="C96" s="4" t="s">
        <v>158</v>
      </c>
      <c r="D96" s="5">
        <v>43600</v>
      </c>
      <c r="E96" s="4">
        <v>-22.39575</v>
      </c>
      <c r="F96" s="4">
        <v>28.960270000000001</v>
      </c>
      <c r="G96" s="4" t="s">
        <v>21</v>
      </c>
      <c r="H96" t="s">
        <v>26</v>
      </c>
      <c r="I96" t="s">
        <v>22</v>
      </c>
      <c r="L96" s="4">
        <v>47</v>
      </c>
      <c r="M96" s="4">
        <v>242</v>
      </c>
      <c r="N96" s="4"/>
      <c r="O96" s="4"/>
      <c r="P96" s="4" t="s">
        <v>23</v>
      </c>
    </row>
    <row r="97" spans="1:17">
      <c r="A97" s="4">
        <v>45</v>
      </c>
      <c r="B97" t="s">
        <v>184</v>
      </c>
      <c r="C97" s="4" t="s">
        <v>158</v>
      </c>
      <c r="D97" s="5">
        <v>43617</v>
      </c>
      <c r="E97" s="4">
        <v>-22.3657</v>
      </c>
      <c r="F97" s="4">
        <v>28.926600000000001</v>
      </c>
      <c r="G97" s="4" t="s">
        <v>21</v>
      </c>
      <c r="H97" t="s">
        <v>26</v>
      </c>
      <c r="L97" s="4">
        <v>47</v>
      </c>
      <c r="P97" s="4" t="s">
        <v>23</v>
      </c>
    </row>
    <row r="98" spans="1:17">
      <c r="A98" s="4">
        <v>46</v>
      </c>
      <c r="B98" t="s">
        <v>185</v>
      </c>
      <c r="C98" t="s">
        <v>158</v>
      </c>
      <c r="D98" s="5">
        <v>43624</v>
      </c>
      <c r="E98" s="4">
        <v>-22.3871</v>
      </c>
      <c r="F98" s="4">
        <v>28.940899999999999</v>
      </c>
      <c r="G98" s="4" t="s">
        <v>21</v>
      </c>
      <c r="H98" t="s">
        <v>26</v>
      </c>
      <c r="I98" t="s">
        <v>22</v>
      </c>
      <c r="L98" s="4">
        <v>47</v>
      </c>
      <c r="M98" s="4">
        <v>242</v>
      </c>
      <c r="N98" s="4"/>
      <c r="O98" s="4"/>
      <c r="P98" s="4" t="s">
        <v>23</v>
      </c>
      <c r="Q98" s="4" t="s">
        <v>186</v>
      </c>
    </row>
    <row r="99" spans="1:17">
      <c r="A99" s="4">
        <v>47</v>
      </c>
      <c r="B99" s="4" t="s">
        <v>187</v>
      </c>
      <c r="C99" s="4" t="s">
        <v>158</v>
      </c>
      <c r="D99" s="5">
        <v>43628</v>
      </c>
      <c r="E99" s="4">
        <v>-22.34224</v>
      </c>
      <c r="F99" s="4">
        <v>28.883949999999999</v>
      </c>
      <c r="G99" s="4" t="s">
        <v>21</v>
      </c>
      <c r="H99" t="s">
        <v>188</v>
      </c>
      <c r="L99" s="4">
        <v>42</v>
      </c>
      <c r="M99" s="4"/>
      <c r="N99" s="4"/>
      <c r="O99" s="4"/>
      <c r="P99" s="4" t="s">
        <v>23</v>
      </c>
      <c r="Q99" s="4" t="s">
        <v>189</v>
      </c>
    </row>
    <row r="100" spans="1:17">
      <c r="A100" s="4">
        <v>48</v>
      </c>
      <c r="B100" t="s">
        <v>190</v>
      </c>
      <c r="C100" s="4" t="s">
        <v>158</v>
      </c>
      <c r="D100" s="5">
        <v>43673</v>
      </c>
      <c r="E100" s="4">
        <v>-22.370100000000001</v>
      </c>
      <c r="F100" s="4">
        <v>28.967199999999998</v>
      </c>
      <c r="G100" s="4" t="s">
        <v>21</v>
      </c>
      <c r="H100" t="s">
        <v>26</v>
      </c>
      <c r="L100" s="4">
        <v>47</v>
      </c>
      <c r="P100" s="4" t="s">
        <v>23</v>
      </c>
    </row>
    <row r="101" spans="1:17">
      <c r="A101" s="4">
        <v>49</v>
      </c>
      <c r="B101" t="s">
        <v>191</v>
      </c>
      <c r="C101" s="4" t="s">
        <v>158</v>
      </c>
      <c r="D101" s="5">
        <v>43681</v>
      </c>
      <c r="E101" s="4">
        <v>-22.3292</v>
      </c>
      <c r="F101" s="4">
        <v>28.928100000000001</v>
      </c>
      <c r="G101" s="4" t="s">
        <v>21</v>
      </c>
      <c r="H101" t="s">
        <v>72</v>
      </c>
      <c r="L101" s="4">
        <v>280</v>
      </c>
      <c r="M101" s="4"/>
      <c r="N101" s="4"/>
      <c r="O101" s="4"/>
      <c r="P101" s="4" t="s">
        <v>23</v>
      </c>
      <c r="Q101" s="4" t="s">
        <v>192</v>
      </c>
    </row>
    <row r="102" spans="1:17">
      <c r="A102" s="4">
        <v>50</v>
      </c>
      <c r="B102" s="4" t="s">
        <v>193</v>
      </c>
      <c r="C102" t="s">
        <v>158</v>
      </c>
      <c r="D102" s="5">
        <v>43682</v>
      </c>
      <c r="E102" s="4">
        <v>-22.219270000000002</v>
      </c>
      <c r="F102" s="4">
        <v>28.543050000000001</v>
      </c>
      <c r="G102" s="4" t="s">
        <v>21</v>
      </c>
      <c r="H102" t="s">
        <v>26</v>
      </c>
      <c r="L102" s="4">
        <v>47</v>
      </c>
      <c r="M102" s="4"/>
      <c r="N102" s="4"/>
      <c r="O102" s="4"/>
      <c r="P102" s="4" t="s">
        <v>23</v>
      </c>
      <c r="Q102" s="4" t="s">
        <v>194</v>
      </c>
    </row>
    <row r="103" spans="1:17">
      <c r="A103" s="4">
        <v>51</v>
      </c>
      <c r="B103" t="s">
        <v>195</v>
      </c>
      <c r="C103" t="s">
        <v>158</v>
      </c>
      <c r="D103" s="5">
        <v>43683</v>
      </c>
      <c r="E103" s="4">
        <v>-22.340450000000001</v>
      </c>
      <c r="F103" s="4">
        <v>28.902450000000002</v>
      </c>
      <c r="G103" s="4" t="s">
        <v>21</v>
      </c>
      <c r="H103" t="s">
        <v>29</v>
      </c>
      <c r="L103" s="4">
        <v>210</v>
      </c>
      <c r="M103" s="4"/>
      <c r="N103" s="4"/>
      <c r="O103" s="4"/>
      <c r="P103" s="4" t="s">
        <v>23</v>
      </c>
      <c r="Q103" s="4"/>
    </row>
    <row r="104" spans="1:17">
      <c r="A104" s="4">
        <v>52</v>
      </c>
      <c r="B104" t="s">
        <v>196</v>
      </c>
      <c r="C104" t="s">
        <v>158</v>
      </c>
      <c r="D104" s="5">
        <v>43683</v>
      </c>
      <c r="E104" s="4">
        <v>-22.21106</v>
      </c>
      <c r="F104" s="4">
        <v>28.549009999999999</v>
      </c>
      <c r="G104" s="4" t="s">
        <v>21</v>
      </c>
      <c r="H104" t="s">
        <v>29</v>
      </c>
      <c r="L104" s="4">
        <v>210</v>
      </c>
      <c r="M104" s="4"/>
      <c r="N104" s="4"/>
      <c r="O104" s="4"/>
      <c r="P104" s="4" t="s">
        <v>23</v>
      </c>
      <c r="Q104" s="4" t="s">
        <v>197</v>
      </c>
    </row>
    <row r="105" spans="1:17">
      <c r="A105" s="4">
        <v>53</v>
      </c>
      <c r="B105" s="4" t="s">
        <v>198</v>
      </c>
      <c r="C105" t="s">
        <v>158</v>
      </c>
      <c r="D105" s="5">
        <v>43683</v>
      </c>
      <c r="E105" s="4">
        <v>-22.348310000000001</v>
      </c>
      <c r="F105" s="4">
        <v>28.905670000000001</v>
      </c>
      <c r="G105" s="4" t="s">
        <v>21</v>
      </c>
      <c r="H105" t="s">
        <v>26</v>
      </c>
      <c r="I105" t="s">
        <v>22</v>
      </c>
      <c r="L105" s="4">
        <v>47</v>
      </c>
      <c r="M105" s="4">
        <v>242</v>
      </c>
      <c r="N105" s="4"/>
      <c r="O105" s="4"/>
      <c r="P105" s="4" t="s">
        <v>23</v>
      </c>
      <c r="Q105" s="4"/>
    </row>
    <row r="106" spans="1:17">
      <c r="A106" s="4">
        <v>54</v>
      </c>
      <c r="B106" t="s">
        <v>199</v>
      </c>
      <c r="C106" t="s">
        <v>158</v>
      </c>
      <c r="D106" s="5">
        <v>43697</v>
      </c>
      <c r="E106" s="4">
        <v>-22.349589999999999</v>
      </c>
      <c r="F106" s="4">
        <v>28.910219999999999</v>
      </c>
      <c r="G106" s="4" t="s">
        <v>21</v>
      </c>
      <c r="H106" t="s">
        <v>22</v>
      </c>
      <c r="I106" t="s">
        <v>56</v>
      </c>
      <c r="L106" s="4">
        <v>242</v>
      </c>
      <c r="M106" s="4">
        <v>3.6</v>
      </c>
      <c r="N106" s="4"/>
      <c r="O106" s="4"/>
      <c r="P106" s="4" t="s">
        <v>23</v>
      </c>
      <c r="Q106" s="4" t="s">
        <v>200</v>
      </c>
    </row>
    <row r="107" spans="1:17">
      <c r="A107" s="4">
        <v>55</v>
      </c>
      <c r="B107" t="s">
        <v>201</v>
      </c>
      <c r="C107" t="s">
        <v>158</v>
      </c>
      <c r="D107" s="5">
        <v>43698</v>
      </c>
      <c r="E107" s="4">
        <v>-22.332730000000002</v>
      </c>
      <c r="F107" s="4">
        <v>28.86138</v>
      </c>
      <c r="G107" s="4" t="s">
        <v>21</v>
      </c>
      <c r="H107" t="s">
        <v>26</v>
      </c>
      <c r="L107" s="4">
        <v>47</v>
      </c>
      <c r="M107" s="4"/>
      <c r="N107" s="4"/>
      <c r="O107" s="4"/>
      <c r="P107" s="4" t="s">
        <v>23</v>
      </c>
      <c r="Q107" s="4"/>
    </row>
    <row r="108" spans="1:17">
      <c r="A108" s="4">
        <v>18</v>
      </c>
      <c r="B108" s="4" t="s">
        <v>202</v>
      </c>
      <c r="C108" s="4" t="s">
        <v>158</v>
      </c>
      <c r="D108" s="5">
        <v>43700</v>
      </c>
      <c r="E108" s="4">
        <v>-22.335730000000002</v>
      </c>
      <c r="F108" s="4">
        <v>28.877649999999999</v>
      </c>
      <c r="G108" s="4" t="s">
        <v>21</v>
      </c>
      <c r="H108" t="s">
        <v>26</v>
      </c>
      <c r="L108" s="4">
        <v>47</v>
      </c>
      <c r="P108" s="4" t="s">
        <v>23</v>
      </c>
    </row>
    <row r="109" spans="1:17">
      <c r="A109" s="4">
        <v>56</v>
      </c>
      <c r="B109" t="s">
        <v>203</v>
      </c>
      <c r="C109" t="s">
        <v>158</v>
      </c>
      <c r="D109" s="5">
        <v>43710</v>
      </c>
      <c r="E109" s="4">
        <v>-22.299430000000001</v>
      </c>
      <c r="F109" s="4">
        <v>28.874189999999999</v>
      </c>
      <c r="G109" s="4" t="s">
        <v>21</v>
      </c>
      <c r="H109" t="s">
        <v>22</v>
      </c>
      <c r="L109" s="4">
        <v>242</v>
      </c>
      <c r="M109" s="4"/>
      <c r="N109" s="4"/>
      <c r="O109" s="4"/>
      <c r="P109" s="4" t="s">
        <v>23</v>
      </c>
      <c r="Q109" s="4"/>
    </row>
    <row r="110" spans="1:17">
      <c r="A110" s="13">
        <v>75</v>
      </c>
      <c r="B110" t="s">
        <v>204</v>
      </c>
      <c r="C110" s="14" t="s">
        <v>158</v>
      </c>
      <c r="D110" s="15">
        <v>43714</v>
      </c>
      <c r="E110" s="13">
        <v>-22.299700000000001</v>
      </c>
      <c r="F110" s="13">
        <v>28.8749</v>
      </c>
      <c r="G110" s="13" t="s">
        <v>21</v>
      </c>
      <c r="H110" s="14" t="s">
        <v>29</v>
      </c>
      <c r="I110" s="13" t="s">
        <v>205</v>
      </c>
      <c r="J110" s="13"/>
      <c r="K110" s="13"/>
      <c r="L110" s="13">
        <v>210</v>
      </c>
      <c r="M110" s="13">
        <v>3</v>
      </c>
      <c r="N110" s="13"/>
      <c r="O110" s="13"/>
      <c r="P110" s="4" t="s">
        <v>23</v>
      </c>
      <c r="Q110" s="13" t="s">
        <v>206</v>
      </c>
    </row>
    <row r="111" spans="1:17">
      <c r="A111" s="4">
        <v>62</v>
      </c>
      <c r="B111" s="4" t="s">
        <v>207</v>
      </c>
      <c r="C111" t="s">
        <v>158</v>
      </c>
      <c r="D111" s="5">
        <v>43716</v>
      </c>
      <c r="E111" s="4">
        <v>-22.34151</v>
      </c>
      <c r="F111" s="4">
        <v>28.88233</v>
      </c>
      <c r="G111" s="4" t="s">
        <v>21</v>
      </c>
      <c r="H111" t="s">
        <v>22</v>
      </c>
      <c r="L111" s="4">
        <v>242</v>
      </c>
      <c r="M111" s="4"/>
      <c r="N111" s="4"/>
      <c r="O111" s="4"/>
      <c r="P111" s="4" t="s">
        <v>23</v>
      </c>
      <c r="Q111" s="4"/>
    </row>
    <row r="112" spans="1:17">
      <c r="A112" s="4">
        <v>63</v>
      </c>
      <c r="B112" t="s">
        <v>208</v>
      </c>
      <c r="C112" t="s">
        <v>158</v>
      </c>
      <c r="D112" s="5">
        <v>43725</v>
      </c>
      <c r="E112" s="4">
        <v>-22.396339999999999</v>
      </c>
      <c r="F112" s="4">
        <v>28.91967</v>
      </c>
      <c r="G112" s="4" t="s">
        <v>21</v>
      </c>
      <c r="H112" t="s">
        <v>22</v>
      </c>
      <c r="I112" t="s">
        <v>26</v>
      </c>
      <c r="L112" s="4">
        <v>242</v>
      </c>
      <c r="M112" s="4">
        <v>47</v>
      </c>
      <c r="N112" s="4"/>
      <c r="O112" s="4"/>
      <c r="P112" s="4" t="s">
        <v>23</v>
      </c>
      <c r="Q112" s="4"/>
    </row>
    <row r="113" spans="1:17">
      <c r="A113" s="4">
        <v>66</v>
      </c>
      <c r="B113" t="s">
        <v>209</v>
      </c>
      <c r="C113" t="s">
        <v>158</v>
      </c>
      <c r="D113" s="5">
        <v>43732</v>
      </c>
      <c r="E113" s="4">
        <v>-22.3445</v>
      </c>
      <c r="F113" s="4">
        <v>28.945</v>
      </c>
      <c r="G113" s="4" t="s">
        <v>21</v>
      </c>
      <c r="H113" t="s">
        <v>44</v>
      </c>
      <c r="L113" s="4">
        <v>215</v>
      </c>
      <c r="M113" s="4"/>
      <c r="N113" s="4"/>
      <c r="O113" s="4"/>
      <c r="P113" s="4" t="s">
        <v>23</v>
      </c>
      <c r="Q113" s="4"/>
    </row>
    <row r="114" spans="1:17">
      <c r="A114" s="13">
        <v>72</v>
      </c>
      <c r="B114" s="4" t="s">
        <v>210</v>
      </c>
      <c r="C114" s="14" t="s">
        <v>158</v>
      </c>
      <c r="D114" s="15">
        <v>43733</v>
      </c>
      <c r="E114" s="13">
        <v>-22.352799999999998</v>
      </c>
      <c r="F114" s="13">
        <v>28.918099999999999</v>
      </c>
      <c r="G114" s="13" t="s">
        <v>21</v>
      </c>
      <c r="H114" s="14" t="s">
        <v>211</v>
      </c>
      <c r="I114" s="14" t="s">
        <v>26</v>
      </c>
      <c r="J114" s="14"/>
      <c r="K114" s="14"/>
      <c r="L114" s="13">
        <v>4</v>
      </c>
      <c r="M114" s="13">
        <v>47</v>
      </c>
      <c r="N114" s="13"/>
      <c r="O114" s="13"/>
      <c r="P114" s="4" t="s">
        <v>23</v>
      </c>
      <c r="Q114" s="13" t="s">
        <v>212</v>
      </c>
    </row>
    <row r="115" spans="1:17">
      <c r="A115" s="4">
        <v>125</v>
      </c>
      <c r="B115" t="s">
        <v>213</v>
      </c>
      <c r="C115" t="s">
        <v>158</v>
      </c>
      <c r="D115" s="5">
        <v>43740</v>
      </c>
      <c r="E115" s="4">
        <v>-22.323899999999998</v>
      </c>
      <c r="F115" s="4">
        <v>28.886900000000001</v>
      </c>
      <c r="G115" s="4" t="s">
        <v>88</v>
      </c>
      <c r="H115" t="s">
        <v>26</v>
      </c>
      <c r="L115" s="4">
        <v>47</v>
      </c>
      <c r="M115" s="4"/>
      <c r="N115" s="4"/>
      <c r="P115" s="4" t="s">
        <v>23</v>
      </c>
      <c r="Q115" t="s">
        <v>89</v>
      </c>
    </row>
    <row r="116" spans="1:17">
      <c r="A116" s="4">
        <v>127</v>
      </c>
      <c r="B116" t="s">
        <v>214</v>
      </c>
      <c r="C116" t="s">
        <v>158</v>
      </c>
      <c r="D116" s="5">
        <v>43742</v>
      </c>
      <c r="E116" s="4">
        <v>-22.3367</v>
      </c>
      <c r="F116" s="4">
        <v>28.896100000000001</v>
      </c>
      <c r="G116" s="4" t="s">
        <v>88</v>
      </c>
      <c r="H116" t="s">
        <v>26</v>
      </c>
      <c r="L116" s="4">
        <v>47</v>
      </c>
      <c r="M116" s="4"/>
      <c r="N116" s="4"/>
      <c r="P116" s="4" t="s">
        <v>23</v>
      </c>
      <c r="Q116" t="s">
        <v>89</v>
      </c>
    </row>
    <row r="117" spans="1:17">
      <c r="A117" s="4">
        <v>128</v>
      </c>
      <c r="B117" t="s">
        <v>215</v>
      </c>
      <c r="C117" t="s">
        <v>158</v>
      </c>
      <c r="D117" s="5">
        <v>43743</v>
      </c>
      <c r="E117" s="4">
        <v>-22.3856</v>
      </c>
      <c r="F117" s="4">
        <v>28.939800000000002</v>
      </c>
      <c r="G117" s="4" t="s">
        <v>88</v>
      </c>
      <c r="H117" t="s">
        <v>26</v>
      </c>
      <c r="L117" s="4">
        <v>47</v>
      </c>
      <c r="M117" s="4"/>
      <c r="N117" s="4"/>
      <c r="P117" s="4" t="s">
        <v>23</v>
      </c>
      <c r="Q117" t="s">
        <v>89</v>
      </c>
    </row>
    <row r="118" spans="1:17">
      <c r="A118" s="4">
        <v>129</v>
      </c>
      <c r="B118" t="s">
        <v>216</v>
      </c>
      <c r="C118" t="s">
        <v>158</v>
      </c>
      <c r="D118" s="5">
        <v>43744</v>
      </c>
      <c r="E118" s="4">
        <v>-22.391100000000002</v>
      </c>
      <c r="F118" s="4">
        <v>28.954999999999998</v>
      </c>
      <c r="G118" s="4" t="s">
        <v>88</v>
      </c>
      <c r="H118" t="s">
        <v>26</v>
      </c>
      <c r="L118" s="4">
        <v>47</v>
      </c>
      <c r="M118" s="4"/>
      <c r="N118" s="4"/>
      <c r="P118" s="4" t="s">
        <v>23</v>
      </c>
      <c r="Q118" t="s">
        <v>89</v>
      </c>
    </row>
    <row r="119" spans="1:17">
      <c r="A119" s="4">
        <v>131</v>
      </c>
      <c r="B119" t="s">
        <v>217</v>
      </c>
      <c r="C119" t="s">
        <v>158</v>
      </c>
      <c r="D119" s="5">
        <v>43746</v>
      </c>
      <c r="E119" s="4">
        <v>-22.381599999999999</v>
      </c>
      <c r="F119" s="4">
        <v>28.965299999999999</v>
      </c>
      <c r="G119" s="4" t="s">
        <v>88</v>
      </c>
      <c r="H119" t="s">
        <v>218</v>
      </c>
      <c r="L119" s="4">
        <v>52.5</v>
      </c>
      <c r="M119" s="4"/>
      <c r="N119" s="4"/>
      <c r="P119" s="4" t="s">
        <v>23</v>
      </c>
      <c r="Q119" t="s">
        <v>89</v>
      </c>
    </row>
    <row r="120" spans="1:17">
      <c r="A120" s="4">
        <v>136</v>
      </c>
      <c r="B120" t="s">
        <v>219</v>
      </c>
      <c r="C120" t="s">
        <v>158</v>
      </c>
      <c r="D120" s="5">
        <v>43777</v>
      </c>
      <c r="E120" s="4">
        <v>-22.3674</v>
      </c>
      <c r="F120" s="4">
        <v>28.926390000000001</v>
      </c>
      <c r="G120" s="4" t="s">
        <v>88</v>
      </c>
      <c r="H120" t="s">
        <v>44</v>
      </c>
      <c r="L120" s="4">
        <v>215</v>
      </c>
      <c r="M120" s="4"/>
      <c r="N120" s="4"/>
      <c r="P120" s="4" t="s">
        <v>91</v>
      </c>
    </row>
    <row r="121" spans="1:17">
      <c r="A121" s="4">
        <v>141</v>
      </c>
      <c r="B121" t="s">
        <v>220</v>
      </c>
      <c r="C121" t="s">
        <v>158</v>
      </c>
      <c r="D121" s="5">
        <v>43777</v>
      </c>
      <c r="E121" s="4">
        <v>-22.35284</v>
      </c>
      <c r="F121" s="4">
        <v>28.919180000000001</v>
      </c>
      <c r="G121" s="4" t="s">
        <v>88</v>
      </c>
      <c r="H121" t="s">
        <v>26</v>
      </c>
      <c r="L121" s="4">
        <v>47</v>
      </c>
      <c r="M121" s="4"/>
      <c r="N121" s="4"/>
      <c r="P121" s="4" t="s">
        <v>91</v>
      </c>
      <c r="Q121" t="s">
        <v>108</v>
      </c>
    </row>
    <row r="122" spans="1:17">
      <c r="A122" s="4">
        <v>152</v>
      </c>
      <c r="B122" t="s">
        <v>221</v>
      </c>
      <c r="C122" t="s">
        <v>158</v>
      </c>
      <c r="D122" s="5">
        <v>43778</v>
      </c>
      <c r="E122" s="4">
        <v>-22.32959</v>
      </c>
      <c r="F122" s="4">
        <v>28.918949999999999</v>
      </c>
      <c r="G122" s="4" t="s">
        <v>88</v>
      </c>
      <c r="H122" t="s">
        <v>26</v>
      </c>
      <c r="L122" s="4">
        <v>47</v>
      </c>
      <c r="M122" s="4"/>
      <c r="N122" s="4"/>
      <c r="P122" s="4" t="s">
        <v>91</v>
      </c>
    </row>
    <row r="123" spans="1:17">
      <c r="A123" s="4">
        <v>157</v>
      </c>
      <c r="B123" t="s">
        <v>222</v>
      </c>
      <c r="C123" t="s">
        <v>158</v>
      </c>
      <c r="D123" s="5">
        <v>43787</v>
      </c>
      <c r="E123" s="4">
        <v>-22.335100000000001</v>
      </c>
      <c r="F123" s="4">
        <v>28.9011</v>
      </c>
      <c r="G123" s="4" t="s">
        <v>88</v>
      </c>
      <c r="H123" t="s">
        <v>26</v>
      </c>
      <c r="L123" s="4">
        <v>47</v>
      </c>
      <c r="M123" s="4"/>
      <c r="N123" s="4"/>
      <c r="P123" s="4" t="s">
        <v>91</v>
      </c>
    </row>
    <row r="124" spans="1:17">
      <c r="A124" s="4">
        <v>161</v>
      </c>
      <c r="B124" s="16" t="s">
        <v>223</v>
      </c>
      <c r="C124" s="16" t="s">
        <v>158</v>
      </c>
      <c r="D124" s="17">
        <v>43830</v>
      </c>
      <c r="E124" s="18">
        <v>-22.3734</v>
      </c>
      <c r="F124" s="18">
        <v>28.953700000000001</v>
      </c>
      <c r="G124" s="4" t="s">
        <v>40</v>
      </c>
      <c r="H124" s="16" t="s">
        <v>22</v>
      </c>
      <c r="I124" s="16"/>
      <c r="J124" s="16"/>
      <c r="K124" s="16"/>
      <c r="L124" s="4">
        <v>242</v>
      </c>
      <c r="M124" s="4"/>
      <c r="N124" s="4"/>
      <c r="O124" s="16"/>
      <c r="P124" s="4" t="s">
        <v>91</v>
      </c>
      <c r="Q124" s="16" t="s">
        <v>224</v>
      </c>
    </row>
    <row r="125" spans="1:17">
      <c r="A125" s="4">
        <v>166</v>
      </c>
      <c r="B125" t="s">
        <v>225</v>
      </c>
      <c r="C125" t="s">
        <v>158</v>
      </c>
      <c r="D125" s="5">
        <v>43849</v>
      </c>
      <c r="G125" s="4" t="s">
        <v>40</v>
      </c>
      <c r="H125" t="s">
        <v>22</v>
      </c>
      <c r="L125" s="4">
        <v>242</v>
      </c>
      <c r="M125" s="4"/>
      <c r="N125" s="4"/>
      <c r="P125" s="4" t="s">
        <v>91</v>
      </c>
    </row>
    <row r="126" spans="1:17">
      <c r="A126" s="4">
        <v>168</v>
      </c>
      <c r="B126" t="s">
        <v>226</v>
      </c>
      <c r="C126" t="s">
        <v>158</v>
      </c>
      <c r="D126" s="5">
        <v>43897</v>
      </c>
      <c r="G126" s="4" t="s">
        <v>40</v>
      </c>
      <c r="H126" t="s">
        <v>22</v>
      </c>
      <c r="L126" s="4">
        <v>242</v>
      </c>
      <c r="M126" s="4"/>
      <c r="N126" s="4"/>
      <c r="P126" s="4" t="s">
        <v>122</v>
      </c>
    </row>
    <row r="127" spans="1:17">
      <c r="A127" s="4">
        <v>172</v>
      </c>
      <c r="B127" t="s">
        <v>227</v>
      </c>
      <c r="C127" t="s">
        <v>158</v>
      </c>
      <c r="D127" s="5">
        <v>43902</v>
      </c>
      <c r="G127" s="4" t="s">
        <v>40</v>
      </c>
      <c r="H127" t="s">
        <v>26</v>
      </c>
      <c r="L127" s="4">
        <v>47</v>
      </c>
      <c r="M127" s="4"/>
      <c r="N127" s="4"/>
      <c r="P127" s="4" t="s">
        <v>122</v>
      </c>
    </row>
    <row r="128" spans="1:17">
      <c r="A128" s="4">
        <v>174</v>
      </c>
      <c r="B128" t="s">
        <v>228</v>
      </c>
      <c r="C128" t="s">
        <v>158</v>
      </c>
      <c r="D128" s="5">
        <v>43896</v>
      </c>
      <c r="G128" s="4" t="s">
        <v>40</v>
      </c>
      <c r="H128" t="s">
        <v>26</v>
      </c>
      <c r="I128" t="s">
        <v>22</v>
      </c>
      <c r="L128" s="4">
        <v>47</v>
      </c>
      <c r="M128" s="4">
        <v>242</v>
      </c>
      <c r="N128" s="4"/>
      <c r="P128" s="4" t="s">
        <v>122</v>
      </c>
    </row>
    <row r="129" spans="1:17">
      <c r="A129" s="4">
        <v>177</v>
      </c>
      <c r="B129" t="s">
        <v>229</v>
      </c>
      <c r="C129" t="s">
        <v>158</v>
      </c>
      <c r="D129" s="5">
        <v>43906</v>
      </c>
      <c r="G129" s="4" t="s">
        <v>40</v>
      </c>
      <c r="H129" t="s">
        <v>22</v>
      </c>
      <c r="L129" s="4">
        <v>242</v>
      </c>
      <c r="M129" s="4"/>
      <c r="N129" s="4"/>
      <c r="P129" s="4" t="s">
        <v>122</v>
      </c>
    </row>
    <row r="130" spans="1:17">
      <c r="A130" s="4">
        <v>178</v>
      </c>
      <c r="B130" t="s">
        <v>230</v>
      </c>
      <c r="C130" t="s">
        <v>158</v>
      </c>
      <c r="D130" s="5">
        <v>43896</v>
      </c>
      <c r="G130" s="4" t="s">
        <v>40</v>
      </c>
      <c r="H130" t="s">
        <v>22</v>
      </c>
      <c r="I130" t="s">
        <v>117</v>
      </c>
      <c r="L130" s="4">
        <v>242</v>
      </c>
      <c r="M130" s="4">
        <v>47</v>
      </c>
      <c r="N130" s="4"/>
      <c r="P130" s="4" t="s">
        <v>122</v>
      </c>
    </row>
    <row r="131" spans="1:17">
      <c r="A131" s="4">
        <v>182</v>
      </c>
      <c r="B131" t="s">
        <v>231</v>
      </c>
      <c r="C131" t="s">
        <v>158</v>
      </c>
      <c r="D131" s="5">
        <v>43903</v>
      </c>
      <c r="G131" s="4" t="s">
        <v>142</v>
      </c>
      <c r="H131" t="s">
        <v>37</v>
      </c>
      <c r="L131" s="4">
        <v>214</v>
      </c>
      <c r="M131" s="4"/>
      <c r="N131" s="4"/>
      <c r="P131" s="4" t="s">
        <v>122</v>
      </c>
    </row>
    <row r="132" spans="1:17">
      <c r="A132" s="4">
        <v>201</v>
      </c>
      <c r="B132" t="s">
        <v>232</v>
      </c>
      <c r="C132" t="s">
        <v>158</v>
      </c>
      <c r="D132" s="4">
        <v>2020</v>
      </c>
      <c r="G132" s="4" t="s">
        <v>40</v>
      </c>
      <c r="H132" t="s">
        <v>37</v>
      </c>
      <c r="L132" s="4">
        <v>214</v>
      </c>
      <c r="M132" s="4"/>
      <c r="N132" s="4"/>
      <c r="P132" s="4" t="s">
        <v>122</v>
      </c>
    </row>
    <row r="133" spans="1:17">
      <c r="A133" s="4">
        <v>202</v>
      </c>
      <c r="B133" t="s">
        <v>233</v>
      </c>
      <c r="C133" t="s">
        <v>158</v>
      </c>
      <c r="D133" s="4">
        <v>2020</v>
      </c>
      <c r="G133" s="4" t="s">
        <v>88</v>
      </c>
      <c r="H133" t="s">
        <v>72</v>
      </c>
      <c r="L133" s="4">
        <v>280</v>
      </c>
      <c r="M133" s="4"/>
      <c r="N133" s="4"/>
      <c r="P133" s="4" t="s">
        <v>122</v>
      </c>
    </row>
    <row r="134" spans="1:17">
      <c r="A134" s="4">
        <v>57</v>
      </c>
      <c r="B134" t="s">
        <v>234</v>
      </c>
      <c r="C134" t="s">
        <v>235</v>
      </c>
      <c r="D134" s="5">
        <v>43356</v>
      </c>
      <c r="E134" s="4">
        <v>-22.387260000000001</v>
      </c>
      <c r="F134" s="4">
        <v>28.95843</v>
      </c>
      <c r="G134" s="4" t="s">
        <v>21</v>
      </c>
      <c r="H134" t="s">
        <v>26</v>
      </c>
      <c r="L134" s="4">
        <v>47</v>
      </c>
      <c r="M134" s="4"/>
      <c r="N134" s="4"/>
      <c r="O134" s="4"/>
      <c r="P134" s="4" t="s">
        <v>23</v>
      </c>
      <c r="Q134" s="4" t="s">
        <v>236</v>
      </c>
    </row>
    <row r="135" spans="1:17">
      <c r="A135" s="4">
        <v>58</v>
      </c>
      <c r="B135" t="s">
        <v>237</v>
      </c>
      <c r="C135" t="s">
        <v>235</v>
      </c>
      <c r="D135" s="5">
        <v>43382</v>
      </c>
      <c r="E135" s="4">
        <v>-22.344010000000001</v>
      </c>
      <c r="F135" s="4">
        <v>28.942260000000001</v>
      </c>
      <c r="G135" s="4" t="s">
        <v>21</v>
      </c>
      <c r="H135" t="s">
        <v>26</v>
      </c>
      <c r="L135" s="4">
        <v>47</v>
      </c>
      <c r="M135" s="4"/>
      <c r="N135" s="4"/>
      <c r="O135" s="4"/>
      <c r="P135" s="4" t="s">
        <v>23</v>
      </c>
      <c r="Q135" s="4"/>
    </row>
    <row r="136" spans="1:17">
      <c r="A136" s="4">
        <v>59</v>
      </c>
      <c r="B136" t="s">
        <v>238</v>
      </c>
      <c r="C136" t="s">
        <v>235</v>
      </c>
      <c r="D136" s="5">
        <v>43687</v>
      </c>
      <c r="E136" s="4">
        <v>-22.35427</v>
      </c>
      <c r="F136" s="4">
        <v>28.93347</v>
      </c>
      <c r="G136" s="4" t="s">
        <v>21</v>
      </c>
      <c r="H136" t="s">
        <v>26</v>
      </c>
      <c r="I136" t="s">
        <v>37</v>
      </c>
      <c r="L136" s="4">
        <v>47</v>
      </c>
      <c r="M136" s="4">
        <v>214</v>
      </c>
      <c r="N136" s="4"/>
      <c r="O136" s="4"/>
      <c r="P136" s="4" t="s">
        <v>23</v>
      </c>
      <c r="Q136" s="4"/>
    </row>
    <row r="137" spans="1:17">
      <c r="A137" s="4">
        <v>60</v>
      </c>
      <c r="B137" s="1" t="s">
        <v>239</v>
      </c>
      <c r="C137" t="s">
        <v>235</v>
      </c>
      <c r="D137" s="5">
        <v>43710</v>
      </c>
      <c r="E137" s="4">
        <v>-22.331810000000001</v>
      </c>
      <c r="F137" s="4">
        <v>28.89077</v>
      </c>
      <c r="G137" s="4" t="s">
        <v>21</v>
      </c>
      <c r="H137" t="s">
        <v>22</v>
      </c>
      <c r="L137" s="4">
        <v>242</v>
      </c>
      <c r="M137" s="4"/>
      <c r="N137" s="4"/>
      <c r="O137" s="4"/>
      <c r="P137" s="4" t="s">
        <v>23</v>
      </c>
      <c r="Q137" s="4"/>
    </row>
    <row r="138" spans="1:17">
      <c r="A138" s="4">
        <v>67</v>
      </c>
      <c r="B138" t="s">
        <v>240</v>
      </c>
      <c r="C138" t="s">
        <v>235</v>
      </c>
      <c r="D138" s="5">
        <v>43717</v>
      </c>
      <c r="E138" s="4">
        <v>-22.3658</v>
      </c>
      <c r="F138" s="4">
        <v>28.9236</v>
      </c>
      <c r="G138" s="4" t="s">
        <v>21</v>
      </c>
      <c r="H138" t="s">
        <v>22</v>
      </c>
      <c r="L138" s="4">
        <v>242</v>
      </c>
      <c r="M138" s="4"/>
      <c r="N138" s="4"/>
      <c r="O138" s="4"/>
      <c r="P138" s="4" t="s">
        <v>23</v>
      </c>
      <c r="Q138" s="4"/>
    </row>
    <row r="139" spans="1:17">
      <c r="A139" s="4">
        <v>64</v>
      </c>
      <c r="B139" t="s">
        <v>241</v>
      </c>
      <c r="C139" t="s">
        <v>235</v>
      </c>
      <c r="D139" s="5">
        <v>43718</v>
      </c>
      <c r="E139" s="4">
        <v>-22.354399999999998</v>
      </c>
      <c r="F139" s="4">
        <v>28.963699999999999</v>
      </c>
      <c r="G139" s="4" t="s">
        <v>21</v>
      </c>
      <c r="H139" t="s">
        <v>26</v>
      </c>
      <c r="I139" t="s">
        <v>242</v>
      </c>
      <c r="L139" s="4">
        <v>47</v>
      </c>
      <c r="M139" s="4">
        <v>560</v>
      </c>
      <c r="N139" s="4"/>
      <c r="O139" s="4"/>
      <c r="P139" s="4" t="s">
        <v>23</v>
      </c>
      <c r="Q139" s="4" t="s">
        <v>243</v>
      </c>
    </row>
    <row r="140" spans="1:17">
      <c r="A140" s="4">
        <v>124</v>
      </c>
      <c r="B140" t="s">
        <v>244</v>
      </c>
      <c r="C140" t="s">
        <v>235</v>
      </c>
      <c r="D140" s="5">
        <v>43739</v>
      </c>
      <c r="E140" s="4">
        <v>-22.355699999999999</v>
      </c>
      <c r="F140" s="4">
        <v>28.944900000000001</v>
      </c>
      <c r="G140" s="4" t="s">
        <v>88</v>
      </c>
      <c r="H140" t="s">
        <v>37</v>
      </c>
      <c r="L140" s="4">
        <v>214</v>
      </c>
      <c r="M140" s="4"/>
      <c r="N140" s="4"/>
      <c r="P140" s="4" t="s">
        <v>23</v>
      </c>
      <c r="Q140" t="s">
        <v>89</v>
      </c>
    </row>
    <row r="141" spans="1:17">
      <c r="A141" s="4">
        <v>135</v>
      </c>
      <c r="B141" t="s">
        <v>245</v>
      </c>
      <c r="C141" t="s">
        <v>235</v>
      </c>
      <c r="D141" s="5">
        <v>43773</v>
      </c>
      <c r="E141" s="4">
        <v>-22.270600000000002</v>
      </c>
      <c r="F141" s="4">
        <v>28.883800000000001</v>
      </c>
      <c r="G141" s="4" t="s">
        <v>88</v>
      </c>
      <c r="H141" t="s">
        <v>22</v>
      </c>
      <c r="L141" s="4">
        <v>242</v>
      </c>
      <c r="M141" s="4"/>
      <c r="N141" s="4"/>
      <c r="P141" s="4" t="s">
        <v>91</v>
      </c>
    </row>
    <row r="142" spans="1:17">
      <c r="A142" s="4">
        <v>150</v>
      </c>
      <c r="B142" t="s">
        <v>246</v>
      </c>
      <c r="C142" t="s">
        <v>235</v>
      </c>
      <c r="D142" s="5">
        <v>43773</v>
      </c>
      <c r="E142" s="4">
        <v>-22.270600000000002</v>
      </c>
      <c r="F142" s="4">
        <v>28.883800000000001</v>
      </c>
      <c r="G142" s="4" t="s">
        <v>88</v>
      </c>
      <c r="H142" t="s">
        <v>22</v>
      </c>
      <c r="I142" t="s">
        <v>117</v>
      </c>
      <c r="L142" s="4">
        <v>242</v>
      </c>
      <c r="M142" s="4">
        <v>47</v>
      </c>
      <c r="N142" s="4"/>
      <c r="P142" s="4" t="s">
        <v>91</v>
      </c>
      <c r="Q142" t="s">
        <v>104</v>
      </c>
    </row>
    <row r="143" spans="1:17">
      <c r="A143" s="4">
        <v>86</v>
      </c>
      <c r="B143" t="s">
        <v>247</v>
      </c>
      <c r="C143" t="s">
        <v>248</v>
      </c>
      <c r="D143" s="5">
        <v>43199</v>
      </c>
      <c r="E143" s="4">
        <v>-22.376429999999999</v>
      </c>
      <c r="F143" s="4">
        <v>28.969190000000001</v>
      </c>
      <c r="G143" s="4" t="s">
        <v>40</v>
      </c>
      <c r="H143" t="s">
        <v>22</v>
      </c>
      <c r="L143" s="4">
        <v>242</v>
      </c>
      <c r="M143" s="4"/>
      <c r="N143" s="4"/>
      <c r="O143" s="4"/>
      <c r="P143" t="s">
        <v>160</v>
      </c>
    </row>
    <row r="144" spans="1:17">
      <c r="A144" s="4">
        <v>87</v>
      </c>
      <c r="B144" t="s">
        <v>249</v>
      </c>
      <c r="C144" t="s">
        <v>248</v>
      </c>
      <c r="D144" s="5">
        <v>43199</v>
      </c>
      <c r="E144" s="4">
        <v>-22.376429999999999</v>
      </c>
      <c r="F144" s="4">
        <v>28.969190000000001</v>
      </c>
      <c r="G144" s="4" t="s">
        <v>40</v>
      </c>
      <c r="H144" t="s">
        <v>22</v>
      </c>
      <c r="I144" t="s">
        <v>29</v>
      </c>
      <c r="L144" s="4">
        <v>242</v>
      </c>
      <c r="M144" s="4">
        <v>210</v>
      </c>
      <c r="N144" s="4"/>
      <c r="O144" s="4"/>
      <c r="P144" t="s">
        <v>160</v>
      </c>
    </row>
    <row r="145" spans="1:17">
      <c r="A145" s="4">
        <v>88</v>
      </c>
      <c r="B145" t="s">
        <v>250</v>
      </c>
      <c r="C145" t="s">
        <v>248</v>
      </c>
      <c r="D145" s="5">
        <v>43207</v>
      </c>
      <c r="E145" s="4">
        <v>-22.376429999999999</v>
      </c>
      <c r="F145" s="4">
        <v>28.969190000000001</v>
      </c>
      <c r="G145" s="4" t="s">
        <v>40</v>
      </c>
      <c r="H145" t="s">
        <v>26</v>
      </c>
      <c r="L145" s="4">
        <v>47</v>
      </c>
      <c r="M145" s="4"/>
      <c r="N145" s="4"/>
      <c r="O145" s="4"/>
      <c r="P145" t="s">
        <v>160</v>
      </c>
    </row>
    <row r="146" spans="1:17">
      <c r="A146" s="4">
        <v>89</v>
      </c>
      <c r="B146" t="s">
        <v>251</v>
      </c>
      <c r="C146" t="s">
        <v>248</v>
      </c>
      <c r="D146" s="5">
        <v>43210</v>
      </c>
      <c r="E146" s="4">
        <v>-22.339099999999998</v>
      </c>
      <c r="F146" s="4">
        <v>28.939789999999999</v>
      </c>
      <c r="G146" s="4" t="s">
        <v>40</v>
      </c>
      <c r="H146" t="s">
        <v>44</v>
      </c>
      <c r="I146" t="s">
        <v>22</v>
      </c>
      <c r="L146" s="4">
        <v>215</v>
      </c>
      <c r="M146" s="4">
        <v>242</v>
      </c>
      <c r="N146" s="4"/>
      <c r="O146" s="4"/>
      <c r="P146" t="s">
        <v>160</v>
      </c>
    </row>
    <row r="147" spans="1:17">
      <c r="A147" s="4">
        <v>90</v>
      </c>
      <c r="B147" t="s">
        <v>252</v>
      </c>
      <c r="C147" t="s">
        <v>248</v>
      </c>
      <c r="D147" s="5">
        <v>43219</v>
      </c>
      <c r="E147" s="4">
        <v>-22.348189999999999</v>
      </c>
      <c r="F147" s="4">
        <v>28.905619999999999</v>
      </c>
      <c r="G147" s="4" t="s">
        <v>40</v>
      </c>
      <c r="H147" t="s">
        <v>44</v>
      </c>
      <c r="I147" t="s">
        <v>22</v>
      </c>
      <c r="L147" s="4">
        <v>215</v>
      </c>
      <c r="M147" s="4">
        <v>242</v>
      </c>
      <c r="N147" s="4"/>
      <c r="O147" s="4"/>
      <c r="P147" t="s">
        <v>160</v>
      </c>
    </row>
    <row r="148" spans="1:17">
      <c r="A148" s="4">
        <v>91</v>
      </c>
      <c r="B148" t="s">
        <v>253</v>
      </c>
      <c r="C148" t="s">
        <v>248</v>
      </c>
      <c r="D148" s="5">
        <v>43262</v>
      </c>
      <c r="E148" s="4">
        <v>-22.42061</v>
      </c>
      <c r="F148" s="4">
        <v>28.93375</v>
      </c>
      <c r="G148" s="4" t="s">
        <v>88</v>
      </c>
      <c r="H148" t="s">
        <v>22</v>
      </c>
      <c r="I148" t="s">
        <v>29</v>
      </c>
      <c r="J148" t="s">
        <v>37</v>
      </c>
      <c r="L148" s="4">
        <v>242</v>
      </c>
      <c r="M148" s="4">
        <v>210</v>
      </c>
      <c r="N148" s="4">
        <v>214</v>
      </c>
      <c r="O148" s="4"/>
      <c r="P148" t="s">
        <v>160</v>
      </c>
    </row>
    <row r="149" spans="1:17">
      <c r="A149" s="4">
        <v>92</v>
      </c>
      <c r="B149" t="s">
        <v>254</v>
      </c>
      <c r="C149" t="s">
        <v>248</v>
      </c>
      <c r="D149" s="5">
        <v>43264</v>
      </c>
      <c r="E149" s="4">
        <v>-22.398689999999998</v>
      </c>
      <c r="F149" s="4">
        <v>28.917850000000001</v>
      </c>
      <c r="G149" s="4" t="s">
        <v>88</v>
      </c>
      <c r="H149" t="s">
        <v>26</v>
      </c>
      <c r="I149" t="s">
        <v>22</v>
      </c>
      <c r="L149" s="4">
        <v>47</v>
      </c>
      <c r="M149" s="4">
        <v>242</v>
      </c>
      <c r="N149" s="4"/>
      <c r="O149" s="4"/>
      <c r="P149" t="s">
        <v>160</v>
      </c>
    </row>
    <row r="150" spans="1:17">
      <c r="A150" s="4">
        <v>93</v>
      </c>
      <c r="B150" t="s">
        <v>255</v>
      </c>
      <c r="C150" t="s">
        <v>248</v>
      </c>
      <c r="D150" s="5">
        <v>43312</v>
      </c>
      <c r="E150" s="4">
        <v>-22.420639999999999</v>
      </c>
      <c r="F150" s="4">
        <v>28.933769999999999</v>
      </c>
      <c r="G150" s="4" t="s">
        <v>88</v>
      </c>
      <c r="H150" t="s">
        <v>37</v>
      </c>
      <c r="I150" t="s">
        <v>72</v>
      </c>
      <c r="L150" s="4">
        <v>214</v>
      </c>
      <c r="M150" s="4">
        <v>280</v>
      </c>
      <c r="N150" s="4"/>
      <c r="O150" s="4"/>
      <c r="P150" t="s">
        <v>160</v>
      </c>
    </row>
    <row r="151" spans="1:17">
      <c r="A151" s="4">
        <v>94</v>
      </c>
      <c r="B151" t="s">
        <v>256</v>
      </c>
      <c r="C151" t="s">
        <v>248</v>
      </c>
      <c r="D151" s="5">
        <v>43382</v>
      </c>
      <c r="E151" s="4">
        <v>-22.343250000000001</v>
      </c>
      <c r="F151" s="4">
        <v>28.937539999999998</v>
      </c>
      <c r="G151" s="4" t="s">
        <v>88</v>
      </c>
      <c r="H151" t="s">
        <v>29</v>
      </c>
      <c r="I151" t="s">
        <v>45</v>
      </c>
      <c r="J151" t="s">
        <v>37</v>
      </c>
      <c r="L151" s="4">
        <v>210</v>
      </c>
      <c r="M151" s="4">
        <v>42</v>
      </c>
      <c r="N151" s="4">
        <v>214</v>
      </c>
      <c r="O151" s="4"/>
      <c r="P151" t="s">
        <v>160</v>
      </c>
    </row>
    <row r="152" spans="1:17">
      <c r="A152" s="4">
        <v>95</v>
      </c>
      <c r="B152" t="s">
        <v>257</v>
      </c>
      <c r="C152" t="s">
        <v>248</v>
      </c>
      <c r="D152" s="5">
        <v>43377</v>
      </c>
      <c r="E152" s="4">
        <v>-22.37754</v>
      </c>
      <c r="F152" s="4">
        <v>28.969010000000001</v>
      </c>
      <c r="G152" s="4" t="s">
        <v>88</v>
      </c>
      <c r="H152" t="s">
        <v>26</v>
      </c>
      <c r="I152" t="s">
        <v>29</v>
      </c>
      <c r="J152" t="s">
        <v>44</v>
      </c>
      <c r="L152" s="4">
        <v>47</v>
      </c>
      <c r="M152" s="4">
        <v>210</v>
      </c>
      <c r="N152" s="4">
        <v>215</v>
      </c>
      <c r="O152" s="4"/>
      <c r="P152" t="s">
        <v>160</v>
      </c>
    </row>
    <row r="153" spans="1:17">
      <c r="A153" s="4">
        <v>96</v>
      </c>
      <c r="B153" t="s">
        <v>258</v>
      </c>
      <c r="C153" t="s">
        <v>248</v>
      </c>
      <c r="D153" s="5">
        <v>43493</v>
      </c>
      <c r="G153" s="4" t="s">
        <v>40</v>
      </c>
      <c r="H153" t="s">
        <v>259</v>
      </c>
      <c r="I153" t="s">
        <v>260</v>
      </c>
      <c r="L153" s="4">
        <v>12</v>
      </c>
      <c r="M153" s="4">
        <v>500</v>
      </c>
      <c r="N153" s="4"/>
      <c r="O153" s="4"/>
      <c r="P153" t="s">
        <v>160</v>
      </c>
    </row>
    <row r="154" spans="1:17">
      <c r="A154" s="4">
        <v>97</v>
      </c>
      <c r="B154" t="s">
        <v>261</v>
      </c>
      <c r="C154" t="s">
        <v>248</v>
      </c>
      <c r="D154" s="5">
        <v>43498</v>
      </c>
      <c r="E154" s="4">
        <v>-22.327400000000001</v>
      </c>
      <c r="F154" s="4">
        <v>28.9099</v>
      </c>
      <c r="G154" s="4" t="s">
        <v>40</v>
      </c>
      <c r="H154" t="s">
        <v>26</v>
      </c>
      <c r="I154" t="s">
        <v>29</v>
      </c>
      <c r="L154" s="4">
        <v>47</v>
      </c>
      <c r="M154" s="4">
        <v>210</v>
      </c>
      <c r="N154" s="4"/>
      <c r="O154" s="4"/>
      <c r="P154" t="s">
        <v>160</v>
      </c>
    </row>
    <row r="155" spans="1:17">
      <c r="A155" s="4">
        <v>98</v>
      </c>
      <c r="B155" t="s">
        <v>262</v>
      </c>
      <c r="C155" t="s">
        <v>248</v>
      </c>
      <c r="D155" s="5">
        <v>43500</v>
      </c>
      <c r="E155" s="4">
        <v>-22.327400000000001</v>
      </c>
      <c r="F155" s="4">
        <v>28.9099</v>
      </c>
      <c r="G155" s="4" t="s">
        <v>40</v>
      </c>
      <c r="H155" t="s">
        <v>45</v>
      </c>
      <c r="L155" s="4">
        <v>42</v>
      </c>
      <c r="M155" s="4"/>
      <c r="N155" s="4"/>
      <c r="O155" s="4"/>
      <c r="P155" t="s">
        <v>160</v>
      </c>
    </row>
    <row r="156" spans="1:17">
      <c r="A156" s="4">
        <v>99</v>
      </c>
      <c r="B156" t="s">
        <v>263</v>
      </c>
      <c r="C156" t="s">
        <v>248</v>
      </c>
      <c r="D156" s="5">
        <v>43515</v>
      </c>
      <c r="E156" s="4">
        <v>-22.327400000000001</v>
      </c>
      <c r="F156" s="4">
        <v>28.9099</v>
      </c>
      <c r="G156" s="4" t="s">
        <v>40</v>
      </c>
      <c r="H156" t="s">
        <v>29</v>
      </c>
      <c r="I156" t="s">
        <v>22</v>
      </c>
      <c r="J156" t="s">
        <v>264</v>
      </c>
      <c r="L156" s="4">
        <v>210</v>
      </c>
      <c r="M156" s="4">
        <v>242</v>
      </c>
      <c r="N156" s="4">
        <v>12</v>
      </c>
      <c r="O156" s="4"/>
      <c r="P156" t="s">
        <v>160</v>
      </c>
    </row>
    <row r="157" spans="1:17">
      <c r="A157" s="4">
        <v>4</v>
      </c>
      <c r="B157" t="s">
        <v>265</v>
      </c>
      <c r="C157" s="4" t="s">
        <v>248</v>
      </c>
      <c r="D157" s="9">
        <v>2017</v>
      </c>
      <c r="E157" s="5"/>
      <c r="G157" s="4" t="s">
        <v>40</v>
      </c>
      <c r="H157" s="4" t="s">
        <v>52</v>
      </c>
      <c r="I157" s="4"/>
      <c r="J157" s="4"/>
      <c r="K157" s="4"/>
      <c r="L157" s="7">
        <v>17</v>
      </c>
      <c r="M157" s="7"/>
      <c r="N157" s="7"/>
      <c r="O157" s="7"/>
      <c r="P157" s="4" t="s">
        <v>23</v>
      </c>
    </row>
    <row r="158" spans="1:17">
      <c r="A158" s="4">
        <v>5</v>
      </c>
      <c r="B158" s="1" t="s">
        <v>266</v>
      </c>
      <c r="C158" s="4" t="s">
        <v>248</v>
      </c>
      <c r="D158" s="4">
        <v>2017</v>
      </c>
      <c r="G158" s="4" t="s">
        <v>40</v>
      </c>
      <c r="H158" t="s">
        <v>26</v>
      </c>
      <c r="L158" s="4">
        <v>47</v>
      </c>
      <c r="M158" s="4"/>
      <c r="N158" s="4"/>
      <c r="O158" s="4"/>
      <c r="P158" s="4" t="s">
        <v>23</v>
      </c>
      <c r="Q158" s="4"/>
    </row>
    <row r="159" spans="1:17">
      <c r="A159" s="4">
        <v>13</v>
      </c>
      <c r="B159" t="s">
        <v>267</v>
      </c>
      <c r="C159" s="4" t="s">
        <v>248</v>
      </c>
      <c r="D159" s="4">
        <v>2018</v>
      </c>
      <c r="G159" s="4" t="s">
        <v>40</v>
      </c>
      <c r="H159" t="s">
        <v>56</v>
      </c>
      <c r="L159" s="4">
        <v>3.6</v>
      </c>
      <c r="M159" s="4"/>
      <c r="N159" s="4"/>
      <c r="O159" s="4"/>
      <c r="P159" s="4" t="s">
        <v>23</v>
      </c>
      <c r="Q159" s="4" t="s">
        <v>268</v>
      </c>
    </row>
    <row r="160" spans="1:17">
      <c r="A160" s="4">
        <v>14</v>
      </c>
      <c r="B160" s="1" t="s">
        <v>269</v>
      </c>
      <c r="C160" s="4" t="s">
        <v>248</v>
      </c>
      <c r="D160" s="4">
        <v>2018</v>
      </c>
      <c r="E160" s="10">
        <v>-22.332999999999998</v>
      </c>
      <c r="F160" s="10">
        <v>28.900300000000001</v>
      </c>
      <c r="G160" s="4" t="s">
        <v>40</v>
      </c>
      <c r="H160" t="s">
        <v>22</v>
      </c>
      <c r="L160" s="4">
        <v>242</v>
      </c>
      <c r="P160" s="4" t="s">
        <v>23</v>
      </c>
    </row>
    <row r="161" spans="1:17">
      <c r="A161" s="4">
        <v>21</v>
      </c>
      <c r="B161" t="s">
        <v>270</v>
      </c>
      <c r="C161" s="4" t="s">
        <v>248</v>
      </c>
      <c r="D161" s="5">
        <v>43265</v>
      </c>
      <c r="E161" s="4">
        <v>-22.385739999999998</v>
      </c>
      <c r="F161" s="4">
        <v>28.91534</v>
      </c>
      <c r="G161" s="4" t="s">
        <v>21</v>
      </c>
      <c r="H161" t="s">
        <v>26</v>
      </c>
      <c r="L161" s="4">
        <v>47</v>
      </c>
      <c r="P161" s="4" t="s">
        <v>23</v>
      </c>
    </row>
    <row r="162" spans="1:17" s="16" customFormat="1">
      <c r="A162" s="4">
        <v>22</v>
      </c>
      <c r="B162" s="1" t="s">
        <v>271</v>
      </c>
      <c r="C162" s="4" t="s">
        <v>248</v>
      </c>
      <c r="D162" s="5">
        <v>43495</v>
      </c>
      <c r="E162" s="4">
        <v>-22.415849999999999</v>
      </c>
      <c r="F162" s="4">
        <v>28.42784</v>
      </c>
      <c r="G162" s="4" t="s">
        <v>40</v>
      </c>
      <c r="H162" t="s">
        <v>26</v>
      </c>
      <c r="I162"/>
      <c r="J162"/>
      <c r="K162"/>
      <c r="L162" s="4">
        <v>47</v>
      </c>
      <c r="M162"/>
      <c r="N162"/>
      <c r="O162"/>
      <c r="P162" s="4" t="s">
        <v>23</v>
      </c>
      <c r="Q162" s="4" t="s">
        <v>272</v>
      </c>
    </row>
    <row r="163" spans="1:17">
      <c r="A163" s="13">
        <v>25</v>
      </c>
      <c r="B163" t="s">
        <v>273</v>
      </c>
      <c r="C163" s="14" t="s">
        <v>248</v>
      </c>
      <c r="D163" s="15">
        <v>43507</v>
      </c>
      <c r="E163" s="13">
        <v>-22.328099999999999</v>
      </c>
      <c r="F163" s="13">
        <v>28.908999999999999</v>
      </c>
      <c r="G163" s="13" t="s">
        <v>40</v>
      </c>
      <c r="H163" s="14" t="s">
        <v>22</v>
      </c>
      <c r="I163" s="14" t="s">
        <v>274</v>
      </c>
      <c r="J163" s="14"/>
      <c r="K163" s="14"/>
      <c r="L163" s="13">
        <v>242</v>
      </c>
      <c r="M163" s="13">
        <v>385</v>
      </c>
      <c r="N163" s="13"/>
      <c r="O163" s="13"/>
      <c r="P163" s="4" t="s">
        <v>23</v>
      </c>
      <c r="Q163" s="13" t="s">
        <v>275</v>
      </c>
    </row>
    <row r="164" spans="1:17" s="16" customFormat="1">
      <c r="A164" s="4">
        <v>2</v>
      </c>
      <c r="B164" s="1" t="s">
        <v>276</v>
      </c>
      <c r="C164" s="4" t="s">
        <v>248</v>
      </c>
      <c r="D164" s="5">
        <v>43608</v>
      </c>
      <c r="E164" s="4">
        <v>-22.3642</v>
      </c>
      <c r="F164" s="4">
        <v>28.929099999999998</v>
      </c>
      <c r="G164" s="4" t="s">
        <v>21</v>
      </c>
      <c r="H164" s="4" t="s">
        <v>26</v>
      </c>
      <c r="I164" s="4"/>
      <c r="J164" s="4"/>
      <c r="K164" s="4"/>
      <c r="L164" s="7">
        <v>47</v>
      </c>
      <c r="M164" s="7"/>
      <c r="N164" s="7"/>
      <c r="O164" s="7"/>
      <c r="P164" s="4" t="s">
        <v>23</v>
      </c>
      <c r="Q164" s="4" t="s">
        <v>277</v>
      </c>
    </row>
    <row r="165" spans="1:17">
      <c r="A165" s="4">
        <v>10</v>
      </c>
      <c r="B165" t="s">
        <v>278</v>
      </c>
      <c r="C165" t="s">
        <v>248</v>
      </c>
      <c r="D165" s="11">
        <v>43616</v>
      </c>
      <c r="E165" s="4">
        <v>-22.355899999999998</v>
      </c>
      <c r="F165" s="4">
        <v>28.9434</v>
      </c>
      <c r="G165" s="4" t="s">
        <v>21</v>
      </c>
      <c r="H165" t="s">
        <v>188</v>
      </c>
      <c r="L165" s="4">
        <v>42</v>
      </c>
      <c r="M165" s="4"/>
      <c r="N165" s="4"/>
      <c r="O165" s="4"/>
      <c r="P165" s="4" t="s">
        <v>23</v>
      </c>
      <c r="Q165" s="4" t="s">
        <v>279</v>
      </c>
    </row>
    <row r="166" spans="1:17">
      <c r="A166" s="4">
        <v>28</v>
      </c>
      <c r="B166" s="1" t="s">
        <v>280</v>
      </c>
      <c r="C166" s="4" t="s">
        <v>248</v>
      </c>
      <c r="D166" s="5">
        <v>43628</v>
      </c>
      <c r="E166" s="4">
        <v>-22.337479999999999</v>
      </c>
      <c r="F166" s="4">
        <v>28.900259999999999</v>
      </c>
      <c r="G166" s="4" t="s">
        <v>21</v>
      </c>
      <c r="H166" t="s">
        <v>44</v>
      </c>
      <c r="L166" s="4">
        <v>215</v>
      </c>
      <c r="P166" s="4" t="s">
        <v>23</v>
      </c>
    </row>
    <row r="167" spans="1:17">
      <c r="A167" s="4">
        <v>31</v>
      </c>
      <c r="B167" t="s">
        <v>281</v>
      </c>
      <c r="C167" s="4" t="s">
        <v>248</v>
      </c>
      <c r="D167" s="5">
        <v>43678</v>
      </c>
      <c r="E167" s="4">
        <v>-22.3825</v>
      </c>
      <c r="F167" s="4">
        <v>28.963699999999999</v>
      </c>
      <c r="G167" s="4" t="s">
        <v>21</v>
      </c>
      <c r="H167" t="s">
        <v>72</v>
      </c>
      <c r="I167" t="s">
        <v>26</v>
      </c>
      <c r="L167" s="4">
        <v>280</v>
      </c>
      <c r="M167" s="4">
        <v>47</v>
      </c>
      <c r="N167" s="4"/>
      <c r="O167" s="4"/>
      <c r="P167" s="4" t="s">
        <v>23</v>
      </c>
      <c r="Q167" s="13" t="s">
        <v>282</v>
      </c>
    </row>
    <row r="168" spans="1:17">
      <c r="A168" s="4">
        <v>33</v>
      </c>
      <c r="B168" s="1" t="s">
        <v>283</v>
      </c>
      <c r="C168" s="4" t="s">
        <v>248</v>
      </c>
      <c r="D168" s="5">
        <v>43679</v>
      </c>
      <c r="E168" s="4">
        <v>-22.371500000000001</v>
      </c>
      <c r="F168" s="4">
        <v>28.951599999999999</v>
      </c>
      <c r="G168" s="4" t="s">
        <v>21</v>
      </c>
      <c r="H168" t="s">
        <v>26</v>
      </c>
      <c r="L168" s="4">
        <v>47</v>
      </c>
      <c r="P168" s="4" t="s">
        <v>23</v>
      </c>
    </row>
    <row r="169" spans="1:17">
      <c r="A169" s="4">
        <v>34</v>
      </c>
      <c r="B169" t="s">
        <v>284</v>
      </c>
      <c r="C169" s="4" t="s">
        <v>248</v>
      </c>
      <c r="D169" s="5">
        <v>43706</v>
      </c>
      <c r="E169" s="4">
        <v>-22.353059999999999</v>
      </c>
      <c r="F169" s="4">
        <v>28.92069</v>
      </c>
      <c r="G169" s="4" t="s">
        <v>21</v>
      </c>
      <c r="H169" t="s">
        <v>26</v>
      </c>
      <c r="I169" t="s">
        <v>22</v>
      </c>
      <c r="L169" s="4">
        <v>47</v>
      </c>
      <c r="M169" s="4">
        <v>242</v>
      </c>
      <c r="N169" s="4"/>
      <c r="O169" s="4"/>
      <c r="P169" s="4" t="s">
        <v>23</v>
      </c>
    </row>
    <row r="170" spans="1:17">
      <c r="A170" s="4">
        <v>68</v>
      </c>
      <c r="B170" s="1" t="s">
        <v>285</v>
      </c>
      <c r="C170" t="s">
        <v>248</v>
      </c>
      <c r="D170" s="5">
        <v>43723</v>
      </c>
      <c r="E170" s="4">
        <v>-22.337800000000001</v>
      </c>
      <c r="F170" s="4">
        <v>28.8995</v>
      </c>
      <c r="G170" s="4" t="s">
        <v>21</v>
      </c>
      <c r="H170" t="s">
        <v>52</v>
      </c>
      <c r="I170" s="4"/>
      <c r="J170" s="4"/>
      <c r="K170" s="4"/>
      <c r="L170" s="4">
        <v>17.2</v>
      </c>
      <c r="M170" s="4"/>
      <c r="N170" s="4"/>
      <c r="O170" s="4"/>
      <c r="P170" s="4" t="s">
        <v>23</v>
      </c>
      <c r="Q170" s="4" t="s">
        <v>286</v>
      </c>
    </row>
    <row r="171" spans="1:17">
      <c r="A171" s="4">
        <v>71</v>
      </c>
      <c r="B171" t="s">
        <v>287</v>
      </c>
      <c r="C171" t="s">
        <v>248</v>
      </c>
      <c r="D171" s="5">
        <v>43734</v>
      </c>
      <c r="E171" s="4">
        <v>-22.340910000000001</v>
      </c>
      <c r="F171" s="4">
        <v>28.900670000000002</v>
      </c>
      <c r="G171" s="4" t="s">
        <v>21</v>
      </c>
      <c r="H171" t="s">
        <v>29</v>
      </c>
      <c r="I171" t="s">
        <v>26</v>
      </c>
      <c r="L171" s="4">
        <v>210</v>
      </c>
      <c r="M171" s="4">
        <v>47</v>
      </c>
      <c r="N171" s="4"/>
      <c r="O171" s="4"/>
      <c r="P171" s="4" t="s">
        <v>23</v>
      </c>
    </row>
    <row r="172" spans="1:17">
      <c r="A172" s="4">
        <v>65</v>
      </c>
      <c r="B172" s="1" t="s">
        <v>288</v>
      </c>
      <c r="C172" t="s">
        <v>248</v>
      </c>
      <c r="D172" s="5">
        <v>43732</v>
      </c>
      <c r="E172" s="4">
        <v>-22.354800000000001</v>
      </c>
      <c r="F172" s="4">
        <v>28.950399999999998</v>
      </c>
      <c r="G172" s="4" t="s">
        <v>21</v>
      </c>
      <c r="H172" t="s">
        <v>22</v>
      </c>
      <c r="I172" t="s">
        <v>26</v>
      </c>
      <c r="L172" s="4">
        <v>242</v>
      </c>
      <c r="M172" s="4">
        <v>47</v>
      </c>
      <c r="N172" s="4"/>
      <c r="O172" s="4"/>
      <c r="P172" s="4" t="s">
        <v>23</v>
      </c>
      <c r="Q172" s="4"/>
    </row>
    <row r="173" spans="1:17">
      <c r="A173" s="4">
        <v>73</v>
      </c>
      <c r="B173" t="s">
        <v>289</v>
      </c>
      <c r="C173" t="s">
        <v>248</v>
      </c>
      <c r="D173" s="5">
        <v>43749</v>
      </c>
      <c r="E173" s="4">
        <v>-22.356100000000001</v>
      </c>
      <c r="F173" s="4">
        <v>28.9573</v>
      </c>
      <c r="G173" s="4" t="s">
        <v>21</v>
      </c>
      <c r="H173" t="s">
        <v>26</v>
      </c>
      <c r="I173" t="s">
        <v>22</v>
      </c>
      <c r="L173" s="4">
        <v>47</v>
      </c>
      <c r="M173" s="4">
        <v>242</v>
      </c>
      <c r="N173" s="4"/>
      <c r="O173" s="4"/>
      <c r="P173" s="4" t="s">
        <v>23</v>
      </c>
    </row>
    <row r="174" spans="1:17">
      <c r="A174" s="4">
        <v>130</v>
      </c>
      <c r="B174" t="s">
        <v>290</v>
      </c>
      <c r="C174" t="s">
        <v>248</v>
      </c>
      <c r="D174" s="5">
        <v>43745</v>
      </c>
      <c r="E174" s="4">
        <v>-22.3367</v>
      </c>
      <c r="F174" s="4">
        <v>28.896100000000001</v>
      </c>
      <c r="G174" s="4" t="s">
        <v>88</v>
      </c>
      <c r="H174" t="s">
        <v>291</v>
      </c>
      <c r="L174" s="4">
        <v>100</v>
      </c>
      <c r="M174" s="4" t="s">
        <v>292</v>
      </c>
      <c r="N174" s="4"/>
      <c r="P174" s="4" t="s">
        <v>23</v>
      </c>
      <c r="Q174" t="s">
        <v>89</v>
      </c>
    </row>
    <row r="175" spans="1:17">
      <c r="A175" s="4">
        <v>158</v>
      </c>
      <c r="B175" t="s">
        <v>293</v>
      </c>
      <c r="C175" t="s">
        <v>294</v>
      </c>
      <c r="D175" s="5">
        <v>43801</v>
      </c>
      <c r="E175" s="4">
        <v>-22.360980000000001</v>
      </c>
      <c r="F175" s="4">
        <v>28.9008</v>
      </c>
      <c r="G175" s="4" t="s">
        <v>40</v>
      </c>
      <c r="H175" t="s">
        <v>26</v>
      </c>
      <c r="L175" s="4">
        <v>47</v>
      </c>
      <c r="M175" s="4"/>
      <c r="N175" s="4"/>
      <c r="P175" s="4" t="s">
        <v>91</v>
      </c>
    </row>
    <row r="176" spans="1:17">
      <c r="A176" s="4">
        <v>159</v>
      </c>
      <c r="B176" t="s">
        <v>295</v>
      </c>
      <c r="C176" t="s">
        <v>294</v>
      </c>
      <c r="D176" s="5">
        <v>43825</v>
      </c>
      <c r="E176" s="4">
        <v>-22.210429999999999</v>
      </c>
      <c r="F176" s="4">
        <v>28.548169999999999</v>
      </c>
      <c r="G176" s="4" t="s">
        <v>40</v>
      </c>
      <c r="H176" t="s">
        <v>26</v>
      </c>
      <c r="I176" t="s">
        <v>49</v>
      </c>
      <c r="L176" s="4">
        <v>47</v>
      </c>
      <c r="M176" s="4">
        <v>242</v>
      </c>
      <c r="N176" s="4"/>
      <c r="P176" s="4" t="s">
        <v>91</v>
      </c>
      <c r="Q176" t="s">
        <v>296</v>
      </c>
    </row>
    <row r="177" spans="1:17">
      <c r="A177" s="4">
        <v>162</v>
      </c>
      <c r="B177" t="s">
        <v>297</v>
      </c>
      <c r="C177" t="s">
        <v>294</v>
      </c>
      <c r="D177" s="5">
        <v>43841</v>
      </c>
      <c r="E177" s="4">
        <v>-22.347100000000001</v>
      </c>
      <c r="F177" s="4">
        <v>28.957699999999999</v>
      </c>
      <c r="G177" s="4" t="s">
        <v>40</v>
      </c>
      <c r="H177" t="s">
        <v>26</v>
      </c>
      <c r="L177" s="4">
        <v>47</v>
      </c>
      <c r="M177" s="4"/>
      <c r="N177" s="4"/>
      <c r="P177" s="4" t="s">
        <v>91</v>
      </c>
      <c r="Q177" t="s">
        <v>114</v>
      </c>
    </row>
    <row r="178" spans="1:17">
      <c r="A178" s="4">
        <v>163</v>
      </c>
      <c r="B178" t="s">
        <v>298</v>
      </c>
      <c r="C178" s="16" t="s">
        <v>294</v>
      </c>
      <c r="D178" s="17">
        <v>43841</v>
      </c>
      <c r="E178" s="18">
        <v>-22.355899999999998</v>
      </c>
      <c r="F178" s="18">
        <v>28.945499999999999</v>
      </c>
      <c r="G178" s="4" t="s">
        <v>40</v>
      </c>
      <c r="H178" s="16" t="s">
        <v>44</v>
      </c>
      <c r="I178" s="16"/>
      <c r="J178" s="16"/>
      <c r="K178" s="16"/>
      <c r="L178" s="4">
        <v>215</v>
      </c>
      <c r="M178" s="4"/>
      <c r="N178" s="4"/>
      <c r="O178" s="16"/>
      <c r="P178" s="4" t="s">
        <v>91</v>
      </c>
      <c r="Q178" s="16" t="s">
        <v>299</v>
      </c>
    </row>
    <row r="179" spans="1:17">
      <c r="A179" s="4">
        <v>164</v>
      </c>
      <c r="B179" t="s">
        <v>300</v>
      </c>
      <c r="C179" t="s">
        <v>294</v>
      </c>
      <c r="D179" s="5">
        <v>43842</v>
      </c>
      <c r="E179" s="4">
        <v>-22.4026</v>
      </c>
      <c r="F179" s="4">
        <v>28.922499999999999</v>
      </c>
      <c r="G179" s="4" t="s">
        <v>40</v>
      </c>
      <c r="H179" t="s">
        <v>37</v>
      </c>
      <c r="L179" s="4">
        <v>214</v>
      </c>
      <c r="M179" s="4"/>
      <c r="N179" s="4"/>
      <c r="P179" s="4" t="s">
        <v>91</v>
      </c>
      <c r="Q179" t="s">
        <v>301</v>
      </c>
    </row>
    <row r="180" spans="1:17">
      <c r="A180" s="4">
        <v>165</v>
      </c>
      <c r="B180" t="s">
        <v>302</v>
      </c>
      <c r="C180" t="s">
        <v>294</v>
      </c>
      <c r="D180" s="5">
        <v>43845</v>
      </c>
      <c r="E180" s="4">
        <v>-22.321899999999999</v>
      </c>
      <c r="F180" s="4">
        <v>28.883400000000002</v>
      </c>
      <c r="G180" s="4" t="s">
        <v>40</v>
      </c>
      <c r="H180" t="s">
        <v>26</v>
      </c>
      <c r="L180" s="4">
        <v>47</v>
      </c>
      <c r="M180" s="4"/>
      <c r="N180" s="4"/>
      <c r="P180" s="4" t="s">
        <v>91</v>
      </c>
    </row>
    <row r="181" spans="1:17">
      <c r="A181" s="4">
        <v>167</v>
      </c>
      <c r="B181" t="s">
        <v>303</v>
      </c>
      <c r="C181" t="s">
        <v>294</v>
      </c>
      <c r="D181" s="5">
        <v>43852</v>
      </c>
      <c r="G181" s="4" t="s">
        <v>40</v>
      </c>
      <c r="H181" t="s">
        <v>22</v>
      </c>
      <c r="L181" s="4">
        <v>242</v>
      </c>
      <c r="M181" s="4"/>
      <c r="N181" s="4"/>
      <c r="P181" s="4" t="s">
        <v>122</v>
      </c>
    </row>
    <row r="182" spans="1:17">
      <c r="A182" s="4">
        <v>179</v>
      </c>
      <c r="B182" t="s">
        <v>304</v>
      </c>
      <c r="C182" t="s">
        <v>294</v>
      </c>
      <c r="D182" s="5">
        <v>43881</v>
      </c>
      <c r="G182" s="4" t="s">
        <v>40</v>
      </c>
      <c r="H182" t="s">
        <v>29</v>
      </c>
      <c r="L182" s="4">
        <v>210</v>
      </c>
      <c r="M182" s="4"/>
      <c r="N182" s="4"/>
      <c r="P182" s="4" t="s">
        <v>122</v>
      </c>
    </row>
    <row r="183" spans="1:17">
      <c r="A183" s="4">
        <v>183</v>
      </c>
      <c r="B183" t="s">
        <v>305</v>
      </c>
      <c r="C183" t="s">
        <v>294</v>
      </c>
      <c r="D183" s="5">
        <v>43881</v>
      </c>
      <c r="G183" s="4" t="s">
        <v>40</v>
      </c>
      <c r="H183" t="s">
        <v>26</v>
      </c>
      <c r="I183" t="s">
        <v>242</v>
      </c>
      <c r="L183" s="4">
        <v>47</v>
      </c>
      <c r="M183" s="4">
        <v>560</v>
      </c>
      <c r="N183" s="4"/>
      <c r="P183" s="4" t="s">
        <v>122</v>
      </c>
    </row>
    <row r="184" spans="1:17">
      <c r="A184" s="4">
        <v>184</v>
      </c>
      <c r="B184" t="s">
        <v>306</v>
      </c>
      <c r="C184" t="s">
        <v>294</v>
      </c>
      <c r="D184" s="5">
        <v>43875</v>
      </c>
      <c r="G184" s="4" t="s">
        <v>40</v>
      </c>
      <c r="H184" t="s">
        <v>45</v>
      </c>
      <c r="I184" t="s">
        <v>22</v>
      </c>
      <c r="L184" s="4">
        <v>42</v>
      </c>
      <c r="M184" s="4">
        <v>242</v>
      </c>
      <c r="N184" s="4"/>
      <c r="P184" s="4" t="s">
        <v>122</v>
      </c>
    </row>
    <row r="185" spans="1:17">
      <c r="A185" s="4">
        <v>185</v>
      </c>
      <c r="B185" t="s">
        <v>307</v>
      </c>
      <c r="C185" t="s">
        <v>294</v>
      </c>
      <c r="D185" s="4">
        <v>2020</v>
      </c>
      <c r="G185" s="4" t="s">
        <v>88</v>
      </c>
      <c r="H185" t="s">
        <v>26</v>
      </c>
      <c r="I185" t="s">
        <v>22</v>
      </c>
      <c r="L185" s="4">
        <v>47</v>
      </c>
      <c r="M185" s="4">
        <v>242</v>
      </c>
      <c r="N185" s="4"/>
      <c r="P185" s="4" t="s">
        <v>122</v>
      </c>
    </row>
    <row r="186" spans="1:17">
      <c r="A186" s="4">
        <v>186</v>
      </c>
      <c r="B186" t="s">
        <v>308</v>
      </c>
      <c r="C186" t="s">
        <v>294</v>
      </c>
      <c r="D186" s="4">
        <v>2020</v>
      </c>
      <c r="G186" s="4" t="s">
        <v>88</v>
      </c>
      <c r="H186" t="s">
        <v>29</v>
      </c>
      <c r="I186" t="s">
        <v>26</v>
      </c>
      <c r="L186" s="4">
        <v>210</v>
      </c>
      <c r="M186" s="4">
        <v>47</v>
      </c>
      <c r="N186" s="4"/>
      <c r="P186" s="4" t="s">
        <v>122</v>
      </c>
    </row>
    <row r="187" spans="1:17">
      <c r="A187" s="4">
        <v>187</v>
      </c>
      <c r="B187" t="s">
        <v>309</v>
      </c>
      <c r="C187" t="s">
        <v>294</v>
      </c>
      <c r="D187" s="4">
        <v>2020</v>
      </c>
      <c r="G187" s="4" t="s">
        <v>88</v>
      </c>
      <c r="H187" t="s">
        <v>29</v>
      </c>
      <c r="L187" s="4">
        <v>210</v>
      </c>
      <c r="M187" s="4"/>
      <c r="N187" s="4"/>
      <c r="P187" s="4" t="s">
        <v>122</v>
      </c>
    </row>
    <row r="188" spans="1:17">
      <c r="A188" s="4">
        <v>188</v>
      </c>
      <c r="B188" t="s">
        <v>310</v>
      </c>
      <c r="C188" t="s">
        <v>294</v>
      </c>
      <c r="D188" s="4">
        <v>2020</v>
      </c>
      <c r="G188" s="4" t="s">
        <v>88</v>
      </c>
      <c r="H188" t="s">
        <v>44</v>
      </c>
      <c r="L188" s="4">
        <v>215</v>
      </c>
      <c r="M188" s="4"/>
      <c r="N188" s="4"/>
      <c r="P188" s="4" t="s">
        <v>122</v>
      </c>
    </row>
    <row r="189" spans="1:17">
      <c r="A189" s="4">
        <v>189</v>
      </c>
      <c r="B189" t="s">
        <v>311</v>
      </c>
      <c r="C189" t="s">
        <v>294</v>
      </c>
      <c r="D189" s="4">
        <v>2020</v>
      </c>
      <c r="G189" s="4" t="s">
        <v>88</v>
      </c>
      <c r="H189" t="s">
        <v>26</v>
      </c>
      <c r="I189" t="s">
        <v>29</v>
      </c>
      <c r="L189" s="4">
        <v>47</v>
      </c>
      <c r="M189" s="4">
        <v>210</v>
      </c>
      <c r="N189" s="4"/>
      <c r="P189" s="4" t="s">
        <v>122</v>
      </c>
    </row>
    <row r="190" spans="1:17">
      <c r="A190" s="4">
        <v>190</v>
      </c>
      <c r="B190" t="s">
        <v>312</v>
      </c>
      <c r="C190" t="s">
        <v>294</v>
      </c>
      <c r="D190" s="4">
        <v>2020</v>
      </c>
      <c r="G190" s="4" t="s">
        <v>88</v>
      </c>
      <c r="H190" t="s">
        <v>29</v>
      </c>
      <c r="L190" s="4">
        <v>210</v>
      </c>
      <c r="M190" s="4"/>
      <c r="N190" s="4"/>
      <c r="P190" s="4" t="s">
        <v>122</v>
      </c>
    </row>
    <row r="191" spans="1:17">
      <c r="A191" s="4">
        <v>191</v>
      </c>
      <c r="B191" t="s">
        <v>313</v>
      </c>
      <c r="C191" t="s">
        <v>294</v>
      </c>
      <c r="D191" s="4">
        <v>2020</v>
      </c>
      <c r="G191" s="4" t="s">
        <v>88</v>
      </c>
      <c r="H191" t="s">
        <v>29</v>
      </c>
      <c r="L191" s="4">
        <v>210</v>
      </c>
      <c r="M191" s="4"/>
      <c r="N191" s="4"/>
      <c r="P191" s="4" t="s">
        <v>122</v>
      </c>
    </row>
    <row r="192" spans="1:17">
      <c r="A192" s="4">
        <v>192</v>
      </c>
      <c r="B192" t="s">
        <v>314</v>
      </c>
      <c r="C192" t="s">
        <v>294</v>
      </c>
      <c r="D192" s="4">
        <v>2020</v>
      </c>
      <c r="G192" s="4" t="s">
        <v>88</v>
      </c>
      <c r="H192" t="s">
        <v>26</v>
      </c>
      <c r="I192" t="s">
        <v>44</v>
      </c>
      <c r="L192" s="4">
        <v>47</v>
      </c>
      <c r="M192" s="4">
        <v>215</v>
      </c>
      <c r="N192" s="4"/>
      <c r="P192" s="4" t="s">
        <v>122</v>
      </c>
    </row>
    <row r="193" spans="1:16">
      <c r="A193" s="4">
        <v>208</v>
      </c>
      <c r="B193" t="s">
        <v>315</v>
      </c>
      <c r="C193" t="s">
        <v>294</v>
      </c>
      <c r="D193" s="4">
        <v>2020</v>
      </c>
      <c r="G193" s="4" t="s">
        <v>142</v>
      </c>
      <c r="H193" t="s">
        <v>37</v>
      </c>
      <c r="L193" s="4">
        <v>214</v>
      </c>
      <c r="M193" s="4"/>
      <c r="N193" s="4"/>
      <c r="P193" s="4" t="s">
        <v>122</v>
      </c>
    </row>
    <row r="194" spans="1:16">
      <c r="A194" s="4">
        <v>209</v>
      </c>
      <c r="B194" t="s">
        <v>316</v>
      </c>
      <c r="C194" t="s">
        <v>294</v>
      </c>
      <c r="D194" s="4">
        <v>2020</v>
      </c>
      <c r="G194" s="4" t="s">
        <v>40</v>
      </c>
      <c r="H194" t="s">
        <v>22</v>
      </c>
      <c r="L194" s="4">
        <v>242</v>
      </c>
      <c r="M194" s="4"/>
      <c r="N194" s="4"/>
      <c r="P194" s="4" t="s">
        <v>122</v>
      </c>
    </row>
    <row r="195" spans="1:16">
      <c r="A195" s="4">
        <v>210</v>
      </c>
      <c r="B195" t="s">
        <v>317</v>
      </c>
      <c r="C195" t="s">
        <v>294</v>
      </c>
      <c r="D195" s="4">
        <v>2020</v>
      </c>
      <c r="G195" s="4" t="s">
        <v>88</v>
      </c>
      <c r="H195" t="s">
        <v>44</v>
      </c>
      <c r="I195" t="s">
        <v>117</v>
      </c>
      <c r="L195" s="4">
        <v>215</v>
      </c>
      <c r="M195" s="4">
        <v>47</v>
      </c>
      <c r="N195" s="4"/>
      <c r="P195" s="4" t="s">
        <v>122</v>
      </c>
    </row>
    <row r="196" spans="1:16">
      <c r="A196" s="4">
        <v>222</v>
      </c>
      <c r="B196" t="s">
        <v>318</v>
      </c>
      <c r="C196" t="s">
        <v>294</v>
      </c>
      <c r="D196" s="5">
        <v>43915</v>
      </c>
      <c r="G196" s="4" t="s">
        <v>88</v>
      </c>
      <c r="H196" t="s">
        <v>26</v>
      </c>
      <c r="L196" s="4">
        <v>47</v>
      </c>
      <c r="M196" s="4"/>
      <c r="N196" s="4"/>
      <c r="P196" s="4" t="s">
        <v>122</v>
      </c>
    </row>
    <row r="197" spans="1:16">
      <c r="A197" s="4">
        <v>223</v>
      </c>
      <c r="B197" t="s">
        <v>319</v>
      </c>
      <c r="C197" t="s">
        <v>294</v>
      </c>
      <c r="D197" s="4">
        <v>2020</v>
      </c>
      <c r="G197" s="4" t="s">
        <v>88</v>
      </c>
      <c r="H197" t="s">
        <v>44</v>
      </c>
      <c r="I197" t="s">
        <v>37</v>
      </c>
      <c r="L197" s="4">
        <v>215</v>
      </c>
      <c r="M197" s="4">
        <v>214</v>
      </c>
      <c r="N197" s="4"/>
      <c r="P197" s="4" t="s">
        <v>122</v>
      </c>
    </row>
    <row r="198" spans="1:16">
      <c r="A198" s="4">
        <v>224</v>
      </c>
      <c r="B198" t="s">
        <v>320</v>
      </c>
      <c r="C198" t="s">
        <v>294</v>
      </c>
      <c r="D198" s="5">
        <v>43913</v>
      </c>
      <c r="G198" s="4" t="s">
        <v>40</v>
      </c>
      <c r="H198" t="s">
        <v>29</v>
      </c>
      <c r="I198" t="s">
        <v>44</v>
      </c>
      <c r="L198" s="4">
        <v>210</v>
      </c>
      <c r="M198" s="4">
        <v>215</v>
      </c>
      <c r="N198" s="4"/>
      <c r="P198" s="4" t="s">
        <v>122</v>
      </c>
    </row>
    <row r="199" spans="1:16">
      <c r="A199" s="4">
        <v>225</v>
      </c>
      <c r="B199" t="s">
        <v>321</v>
      </c>
      <c r="C199" t="s">
        <v>294</v>
      </c>
      <c r="D199" s="4">
        <v>2020</v>
      </c>
      <c r="G199" s="4" t="s">
        <v>40</v>
      </c>
      <c r="H199" t="s">
        <v>26</v>
      </c>
      <c r="L199" s="4">
        <v>47</v>
      </c>
      <c r="M199" s="4"/>
      <c r="N199" s="4"/>
      <c r="P199" s="4" t="s">
        <v>122</v>
      </c>
    </row>
    <row r="200" spans="1:16">
      <c r="A200" s="4">
        <v>226</v>
      </c>
      <c r="B200" t="s">
        <v>322</v>
      </c>
      <c r="C200" t="s">
        <v>294</v>
      </c>
      <c r="D200" s="5">
        <v>2020</v>
      </c>
      <c r="G200" s="4" t="s">
        <v>40</v>
      </c>
      <c r="H200" t="s">
        <v>44</v>
      </c>
      <c r="L200" s="4">
        <v>215</v>
      </c>
      <c r="M200" s="4"/>
      <c r="N200" s="4"/>
      <c r="P200" s="4" t="s">
        <v>122</v>
      </c>
    </row>
    <row r="201" spans="1:16">
      <c r="A201" s="4">
        <v>227</v>
      </c>
      <c r="B201" t="s">
        <v>323</v>
      </c>
      <c r="C201" t="s">
        <v>294</v>
      </c>
      <c r="D201" s="4">
        <v>2020</v>
      </c>
      <c r="G201" s="4" t="s">
        <v>40</v>
      </c>
      <c r="H201" t="s">
        <v>22</v>
      </c>
      <c r="L201" s="4">
        <v>242</v>
      </c>
      <c r="M201" s="4"/>
      <c r="N201" s="4"/>
      <c r="P201" s="4" t="s">
        <v>122</v>
      </c>
    </row>
    <row r="202" spans="1:16">
      <c r="A202" s="4">
        <v>228</v>
      </c>
      <c r="B202" t="s">
        <v>324</v>
      </c>
      <c r="C202" t="s">
        <v>294</v>
      </c>
      <c r="D202" s="4">
        <v>2020</v>
      </c>
      <c r="G202" s="4" t="s">
        <v>21</v>
      </c>
      <c r="H202" t="s">
        <v>44</v>
      </c>
      <c r="L202" s="4">
        <v>215</v>
      </c>
      <c r="M202" s="4"/>
      <c r="N202" s="4"/>
      <c r="P202" s="4" t="s">
        <v>122</v>
      </c>
    </row>
    <row r="203" spans="1:16">
      <c r="A203" s="4">
        <v>100</v>
      </c>
      <c r="B203" t="s">
        <v>325</v>
      </c>
      <c r="C203" t="s">
        <v>326</v>
      </c>
      <c r="D203" s="5">
        <v>43101</v>
      </c>
      <c r="G203" s="4" t="s">
        <v>40</v>
      </c>
      <c r="H203" t="s">
        <v>26</v>
      </c>
      <c r="L203" s="4">
        <v>47</v>
      </c>
      <c r="M203" s="4"/>
      <c r="P203" t="s">
        <v>160</v>
      </c>
    </row>
    <row r="204" spans="1:16">
      <c r="A204" s="4">
        <v>101</v>
      </c>
      <c r="B204" t="s">
        <v>327</v>
      </c>
      <c r="C204" t="s">
        <v>326</v>
      </c>
      <c r="D204" s="5">
        <v>43101</v>
      </c>
      <c r="G204" s="4" t="s">
        <v>142</v>
      </c>
      <c r="H204" t="s">
        <v>26</v>
      </c>
      <c r="L204" s="4">
        <v>47</v>
      </c>
      <c r="M204" s="4"/>
      <c r="P204" t="s">
        <v>160</v>
      </c>
    </row>
    <row r="205" spans="1:16">
      <c r="A205" s="4">
        <v>102</v>
      </c>
      <c r="B205" t="s">
        <v>328</v>
      </c>
      <c r="C205" t="s">
        <v>326</v>
      </c>
      <c r="D205" s="5">
        <v>43104</v>
      </c>
      <c r="G205" s="4" t="s">
        <v>40</v>
      </c>
      <c r="H205" t="s">
        <v>26</v>
      </c>
      <c r="L205" s="4">
        <v>47</v>
      </c>
      <c r="M205" s="4"/>
      <c r="P205" t="s">
        <v>160</v>
      </c>
    </row>
    <row r="206" spans="1:16">
      <c r="A206" s="4">
        <v>103</v>
      </c>
      <c r="B206" t="s">
        <v>329</v>
      </c>
      <c r="C206" t="s">
        <v>326</v>
      </c>
      <c r="D206" s="5">
        <v>43127</v>
      </c>
      <c r="E206" s="4">
        <v>-22.376429999999999</v>
      </c>
      <c r="F206" s="4">
        <v>28.969190000000001</v>
      </c>
      <c r="G206" s="4" t="s">
        <v>40</v>
      </c>
      <c r="H206" t="s">
        <v>26</v>
      </c>
      <c r="L206" s="4">
        <v>47</v>
      </c>
      <c r="M206" s="4"/>
      <c r="P206" t="s">
        <v>160</v>
      </c>
    </row>
    <row r="207" spans="1:16">
      <c r="A207" s="4">
        <v>104</v>
      </c>
      <c r="B207" t="s">
        <v>330</v>
      </c>
      <c r="C207" t="s">
        <v>326</v>
      </c>
      <c r="D207" s="5">
        <v>43127</v>
      </c>
      <c r="E207" s="4">
        <v>-22.376429999999999</v>
      </c>
      <c r="F207" s="4">
        <v>28.969190000000001</v>
      </c>
      <c r="G207" s="4" t="s">
        <v>40</v>
      </c>
      <c r="H207" t="s">
        <v>26</v>
      </c>
      <c r="L207" s="4">
        <v>47</v>
      </c>
      <c r="M207" s="4"/>
      <c r="P207" t="s">
        <v>160</v>
      </c>
    </row>
    <row r="208" spans="1:16">
      <c r="A208" s="4">
        <v>105</v>
      </c>
      <c r="B208" t="s">
        <v>331</v>
      </c>
      <c r="C208" t="s">
        <v>326</v>
      </c>
      <c r="D208" s="5">
        <v>43567</v>
      </c>
      <c r="G208" s="4" t="s">
        <v>40</v>
      </c>
      <c r="H208" t="s">
        <v>26</v>
      </c>
      <c r="L208" s="4">
        <v>47</v>
      </c>
      <c r="M208" s="4"/>
      <c r="P208" t="s">
        <v>160</v>
      </c>
    </row>
    <row r="209" spans="1:16">
      <c r="A209" s="4">
        <v>106</v>
      </c>
      <c r="B209" t="s">
        <v>332</v>
      </c>
      <c r="C209" t="s">
        <v>326</v>
      </c>
      <c r="D209" s="5">
        <v>43207</v>
      </c>
      <c r="E209" s="4">
        <v>-22.38569</v>
      </c>
      <c r="F209" s="4">
        <v>28.95712</v>
      </c>
      <c r="G209" s="4" t="s">
        <v>40</v>
      </c>
      <c r="H209" t="s">
        <v>26</v>
      </c>
      <c r="L209" s="4">
        <v>47</v>
      </c>
      <c r="M209" s="4"/>
      <c r="P209" t="s">
        <v>160</v>
      </c>
    </row>
    <row r="210" spans="1:16">
      <c r="A210" s="4">
        <v>107</v>
      </c>
      <c r="B210" t="s">
        <v>333</v>
      </c>
      <c r="C210" t="s">
        <v>326</v>
      </c>
      <c r="D210" s="5">
        <v>43208</v>
      </c>
      <c r="E210" s="4">
        <v>-22.374230000000001</v>
      </c>
      <c r="F210" s="4">
        <v>28.95506</v>
      </c>
      <c r="G210" s="4" t="s">
        <v>40</v>
      </c>
      <c r="H210" t="s">
        <v>44</v>
      </c>
      <c r="I210" t="s">
        <v>29</v>
      </c>
      <c r="L210" s="4">
        <v>215</v>
      </c>
      <c r="M210" s="4">
        <v>210</v>
      </c>
      <c r="P210" t="s">
        <v>160</v>
      </c>
    </row>
    <row r="211" spans="1:16">
      <c r="A211" s="4">
        <v>108</v>
      </c>
      <c r="B211" t="s">
        <v>334</v>
      </c>
      <c r="C211" t="s">
        <v>326</v>
      </c>
      <c r="D211" s="5">
        <v>43208</v>
      </c>
      <c r="E211" s="4">
        <v>-22.374230000000001</v>
      </c>
      <c r="F211" s="4">
        <v>28.95506</v>
      </c>
      <c r="G211" s="4" t="s">
        <v>40</v>
      </c>
      <c r="H211" t="s">
        <v>26</v>
      </c>
      <c r="I211" t="s">
        <v>44</v>
      </c>
      <c r="J211" t="s">
        <v>22</v>
      </c>
      <c r="L211" s="4">
        <v>47</v>
      </c>
      <c r="M211" s="4">
        <v>215</v>
      </c>
      <c r="N211" s="4">
        <v>242</v>
      </c>
      <c r="O211" s="4"/>
      <c r="P211" t="s">
        <v>160</v>
      </c>
    </row>
    <row r="212" spans="1:16">
      <c r="A212" s="4">
        <v>109</v>
      </c>
      <c r="B212" t="s">
        <v>335</v>
      </c>
      <c r="C212" t="s">
        <v>326</v>
      </c>
      <c r="D212" s="5">
        <v>43209</v>
      </c>
      <c r="E212" s="10">
        <v>-22.385960000000001</v>
      </c>
      <c r="F212" s="4">
        <v>28.94014</v>
      </c>
      <c r="G212" s="4" t="s">
        <v>40</v>
      </c>
      <c r="H212" t="s">
        <v>29</v>
      </c>
      <c r="I212" t="s">
        <v>117</v>
      </c>
      <c r="L212" s="4">
        <v>210</v>
      </c>
      <c r="M212" s="4">
        <v>47</v>
      </c>
      <c r="N212" s="4"/>
      <c r="O212" s="4"/>
      <c r="P212" t="s">
        <v>160</v>
      </c>
    </row>
    <row r="213" spans="1:16">
      <c r="A213" s="4">
        <v>110</v>
      </c>
      <c r="B213" t="s">
        <v>336</v>
      </c>
      <c r="C213" t="s">
        <v>326</v>
      </c>
      <c r="D213" s="5">
        <v>43209</v>
      </c>
      <c r="E213" s="4">
        <v>-22.391559999999998</v>
      </c>
      <c r="F213" s="4">
        <v>28.95532</v>
      </c>
      <c r="G213" s="4" t="s">
        <v>40</v>
      </c>
      <c r="H213" t="s">
        <v>26</v>
      </c>
      <c r="I213" t="s">
        <v>44</v>
      </c>
      <c r="L213" s="4">
        <v>47</v>
      </c>
      <c r="M213" s="4">
        <v>215</v>
      </c>
      <c r="N213" s="4"/>
      <c r="O213" s="4"/>
      <c r="P213" t="s">
        <v>160</v>
      </c>
    </row>
    <row r="214" spans="1:16">
      <c r="A214" s="4">
        <v>111</v>
      </c>
      <c r="B214" t="s">
        <v>337</v>
      </c>
      <c r="C214" t="s">
        <v>326</v>
      </c>
      <c r="D214" s="5">
        <v>43235</v>
      </c>
      <c r="E214" s="4">
        <v>-22.38531</v>
      </c>
      <c r="F214" s="4">
        <v>28.9602</v>
      </c>
      <c r="G214" s="4" t="s">
        <v>88</v>
      </c>
      <c r="H214" t="s">
        <v>26</v>
      </c>
      <c r="I214" t="s">
        <v>29</v>
      </c>
      <c r="L214" s="4">
        <v>47</v>
      </c>
      <c r="M214" s="4">
        <v>210</v>
      </c>
      <c r="N214" s="4"/>
      <c r="O214" s="4"/>
      <c r="P214" t="s">
        <v>160</v>
      </c>
    </row>
    <row r="215" spans="1:16">
      <c r="A215" s="4">
        <v>112</v>
      </c>
      <c r="B215" t="s">
        <v>338</v>
      </c>
      <c r="C215" t="s">
        <v>326</v>
      </c>
      <c r="D215" s="5">
        <v>43262</v>
      </c>
      <c r="E215" s="4">
        <v>-22.421130000000002</v>
      </c>
      <c r="F215" s="4">
        <v>28.934329999999999</v>
      </c>
      <c r="G215" s="4" t="s">
        <v>88</v>
      </c>
      <c r="H215" t="s">
        <v>45</v>
      </c>
      <c r="I215" t="s">
        <v>138</v>
      </c>
      <c r="L215" s="4">
        <v>42</v>
      </c>
      <c r="M215" s="4">
        <v>3</v>
      </c>
      <c r="N215" s="4"/>
      <c r="O215" s="4"/>
      <c r="P215" t="s">
        <v>160</v>
      </c>
    </row>
    <row r="216" spans="1:16">
      <c r="A216" s="4">
        <v>113</v>
      </c>
      <c r="B216" t="s">
        <v>339</v>
      </c>
      <c r="C216" t="s">
        <v>326</v>
      </c>
      <c r="D216" s="5">
        <v>43262</v>
      </c>
      <c r="E216" s="4">
        <v>-22.42061</v>
      </c>
      <c r="F216" s="4">
        <v>28.93375</v>
      </c>
      <c r="G216" s="4" t="s">
        <v>88</v>
      </c>
      <c r="H216" t="s">
        <v>26</v>
      </c>
      <c r="I216" t="s">
        <v>29</v>
      </c>
      <c r="L216" s="4">
        <v>47</v>
      </c>
      <c r="M216" s="4">
        <v>210</v>
      </c>
      <c r="N216" s="4"/>
      <c r="O216" s="4"/>
      <c r="P216" t="s">
        <v>160</v>
      </c>
    </row>
    <row r="217" spans="1:16">
      <c r="A217" s="4">
        <v>114</v>
      </c>
      <c r="B217" t="s">
        <v>340</v>
      </c>
      <c r="C217" t="s">
        <v>326</v>
      </c>
      <c r="D217" s="5">
        <v>43265</v>
      </c>
      <c r="E217" s="4">
        <v>-22.419609999999999</v>
      </c>
      <c r="F217" s="4">
        <v>28.929569999999998</v>
      </c>
      <c r="G217" s="4" t="s">
        <v>88</v>
      </c>
      <c r="H217" t="s">
        <v>44</v>
      </c>
      <c r="I217" t="s">
        <v>29</v>
      </c>
      <c r="L217" s="4">
        <v>215</v>
      </c>
      <c r="M217" s="4">
        <v>210</v>
      </c>
      <c r="N217" s="4"/>
      <c r="O217" s="4"/>
      <c r="P217" t="s">
        <v>160</v>
      </c>
    </row>
    <row r="218" spans="1:16">
      <c r="A218" s="4">
        <v>115</v>
      </c>
      <c r="B218" t="s">
        <v>341</v>
      </c>
      <c r="C218" t="s">
        <v>326</v>
      </c>
      <c r="D218" s="5">
        <v>43357</v>
      </c>
      <c r="E218" s="4">
        <v>-22.337980000000002</v>
      </c>
      <c r="F218" s="4">
        <v>28.900279999999999</v>
      </c>
      <c r="G218" s="4" t="s">
        <v>88</v>
      </c>
      <c r="H218" t="s">
        <v>29</v>
      </c>
      <c r="I218" t="s">
        <v>44</v>
      </c>
      <c r="J218" t="s">
        <v>22</v>
      </c>
      <c r="K218" t="s">
        <v>37</v>
      </c>
      <c r="L218" s="4">
        <v>210</v>
      </c>
      <c r="M218" s="4">
        <v>215</v>
      </c>
      <c r="N218" s="4">
        <v>242</v>
      </c>
      <c r="O218" s="4">
        <v>214</v>
      </c>
      <c r="P218" t="s">
        <v>160</v>
      </c>
    </row>
    <row r="219" spans="1:16">
      <c r="A219" s="4">
        <v>116</v>
      </c>
      <c r="B219" t="s">
        <v>342</v>
      </c>
      <c r="C219" t="s">
        <v>326</v>
      </c>
      <c r="D219" s="5">
        <v>43361</v>
      </c>
      <c r="E219" s="4">
        <v>-22.358740000000001</v>
      </c>
      <c r="F219" s="4">
        <v>28.965129999999998</v>
      </c>
      <c r="G219" s="4" t="s">
        <v>88</v>
      </c>
      <c r="H219" t="s">
        <v>26</v>
      </c>
      <c r="I219" t="s">
        <v>37</v>
      </c>
      <c r="L219" s="4">
        <v>47</v>
      </c>
      <c r="M219" s="4">
        <v>214</v>
      </c>
      <c r="N219" s="4"/>
      <c r="O219" s="4"/>
      <c r="P219" t="s">
        <v>160</v>
      </c>
    </row>
    <row r="220" spans="1:16">
      <c r="A220" s="4">
        <v>117</v>
      </c>
      <c r="B220" t="s">
        <v>343</v>
      </c>
      <c r="C220" t="s">
        <v>326</v>
      </c>
      <c r="D220" s="5">
        <v>43424</v>
      </c>
      <c r="E220" s="4">
        <v>-22.3523</v>
      </c>
      <c r="F220" s="4">
        <v>28.917300000000001</v>
      </c>
      <c r="G220" s="4" t="s">
        <v>88</v>
      </c>
      <c r="H220" t="s">
        <v>26</v>
      </c>
      <c r="I220" t="s">
        <v>37</v>
      </c>
      <c r="L220" s="4">
        <v>47</v>
      </c>
      <c r="M220" s="4">
        <v>214</v>
      </c>
      <c r="N220" s="4"/>
      <c r="O220" s="4"/>
      <c r="P220" t="s">
        <v>160</v>
      </c>
    </row>
    <row r="221" spans="1:16">
      <c r="A221" s="4">
        <v>118</v>
      </c>
      <c r="B221" t="s">
        <v>344</v>
      </c>
      <c r="C221" t="s">
        <v>326</v>
      </c>
      <c r="D221" s="5">
        <v>43424</v>
      </c>
      <c r="E221" s="4">
        <v>-22.3523</v>
      </c>
      <c r="F221" s="4">
        <v>28.917300000000001</v>
      </c>
      <c r="G221" s="4" t="s">
        <v>88</v>
      </c>
      <c r="H221" t="s">
        <v>26</v>
      </c>
      <c r="L221" s="4">
        <v>47</v>
      </c>
      <c r="M221" s="4"/>
      <c r="N221" s="4"/>
      <c r="O221" s="4"/>
      <c r="P221" t="s">
        <v>160</v>
      </c>
    </row>
    <row r="222" spans="1:16">
      <c r="A222" s="4">
        <v>119</v>
      </c>
      <c r="B222" t="s">
        <v>345</v>
      </c>
      <c r="C222" t="s">
        <v>326</v>
      </c>
      <c r="D222" s="4">
        <v>2018</v>
      </c>
      <c r="G222" s="4" t="s">
        <v>40</v>
      </c>
      <c r="H222" t="s">
        <v>26</v>
      </c>
      <c r="I222" t="s">
        <v>29</v>
      </c>
      <c r="J222" t="s">
        <v>22</v>
      </c>
      <c r="L222" s="4">
        <v>47</v>
      </c>
      <c r="M222" s="4">
        <v>210</v>
      </c>
      <c r="N222" s="4">
        <v>242</v>
      </c>
      <c r="O222" s="4"/>
      <c r="P222" t="s">
        <v>160</v>
      </c>
    </row>
    <row r="223" spans="1:16">
      <c r="A223" s="4">
        <v>120</v>
      </c>
      <c r="B223" t="s">
        <v>346</v>
      </c>
      <c r="C223" t="s">
        <v>326</v>
      </c>
      <c r="D223" s="4">
        <v>2018</v>
      </c>
      <c r="G223" s="4" t="s">
        <v>40</v>
      </c>
      <c r="H223" t="s">
        <v>37</v>
      </c>
      <c r="I223" t="s">
        <v>117</v>
      </c>
      <c r="L223" s="4">
        <v>214</v>
      </c>
      <c r="M223" s="4">
        <v>47</v>
      </c>
      <c r="N223" s="4"/>
      <c r="O223" s="4"/>
      <c r="P223" t="s">
        <v>160</v>
      </c>
    </row>
    <row r="224" spans="1:16">
      <c r="A224" s="4">
        <v>121</v>
      </c>
      <c r="B224" t="s">
        <v>347</v>
      </c>
      <c r="C224" t="s">
        <v>326</v>
      </c>
      <c r="D224" s="5">
        <v>43479</v>
      </c>
      <c r="E224" s="4">
        <v>-22.336780000000001</v>
      </c>
      <c r="F224" s="4">
        <v>28.894400000000001</v>
      </c>
      <c r="G224" s="4" t="s">
        <v>40</v>
      </c>
      <c r="H224" t="s">
        <v>26</v>
      </c>
      <c r="I224" t="s">
        <v>45</v>
      </c>
      <c r="J224" t="s">
        <v>37</v>
      </c>
      <c r="L224" s="4">
        <v>47</v>
      </c>
      <c r="M224" s="4">
        <v>42</v>
      </c>
      <c r="N224" s="4">
        <v>214</v>
      </c>
      <c r="O224" s="4"/>
      <c r="P224" t="s">
        <v>160</v>
      </c>
    </row>
    <row r="225" spans="1:17">
      <c r="A225" s="4">
        <v>122</v>
      </c>
      <c r="B225" t="s">
        <v>348</v>
      </c>
      <c r="C225" t="s">
        <v>326</v>
      </c>
      <c r="D225" s="5">
        <v>43479</v>
      </c>
      <c r="E225" s="4">
        <v>-22.336780000000001</v>
      </c>
      <c r="F225" s="4">
        <v>28.894400000000001</v>
      </c>
      <c r="G225" s="4" t="s">
        <v>40</v>
      </c>
      <c r="H225" t="s">
        <v>26</v>
      </c>
      <c r="I225" t="s">
        <v>29</v>
      </c>
      <c r="L225" s="4">
        <v>47</v>
      </c>
      <c r="M225" s="4">
        <v>210</v>
      </c>
      <c r="N225" s="4"/>
      <c r="P225" t="s">
        <v>160</v>
      </c>
    </row>
    <row r="226" spans="1:17">
      <c r="A226" s="4">
        <v>123</v>
      </c>
      <c r="B226" t="s">
        <v>349</v>
      </c>
      <c r="C226" t="s">
        <v>326</v>
      </c>
      <c r="D226" s="5">
        <v>43481</v>
      </c>
      <c r="G226" s="4" t="s">
        <v>40</v>
      </c>
      <c r="H226" t="s">
        <v>350</v>
      </c>
      <c r="L226" s="4">
        <v>55</v>
      </c>
      <c r="M226" s="4"/>
      <c r="N226" s="4"/>
      <c r="P226" t="s">
        <v>160</v>
      </c>
    </row>
    <row r="227" spans="1:17">
      <c r="A227" s="4">
        <v>132</v>
      </c>
      <c r="B227" t="s">
        <v>351</v>
      </c>
      <c r="C227" t="s">
        <v>326</v>
      </c>
      <c r="D227" s="5">
        <v>43747</v>
      </c>
      <c r="E227" s="4">
        <v>-22.381599999999999</v>
      </c>
      <c r="F227" s="4">
        <v>28.965299999999999</v>
      </c>
      <c r="G227" s="4" t="s">
        <v>88</v>
      </c>
      <c r="H227" t="s">
        <v>26</v>
      </c>
      <c r="L227" s="4">
        <v>47</v>
      </c>
      <c r="M227" s="4"/>
      <c r="N227" s="4"/>
      <c r="P227" s="4" t="s">
        <v>23</v>
      </c>
      <c r="Q227" t="s">
        <v>89</v>
      </c>
    </row>
    <row r="228" spans="1:17">
      <c r="A228" s="4">
        <v>133</v>
      </c>
      <c r="B228" t="s">
        <v>352</v>
      </c>
      <c r="C228" t="s">
        <v>326</v>
      </c>
      <c r="D228" s="5">
        <v>43748</v>
      </c>
      <c r="E228" s="4">
        <v>-22.391100000000002</v>
      </c>
      <c r="F228" s="4">
        <v>28.954999999999998</v>
      </c>
      <c r="G228" s="4" t="s">
        <v>88</v>
      </c>
      <c r="H228" t="s">
        <v>29</v>
      </c>
      <c r="L228" s="4">
        <v>210</v>
      </c>
      <c r="M228" s="4"/>
      <c r="N228" s="4"/>
      <c r="P228" s="4" t="s">
        <v>23</v>
      </c>
      <c r="Q228" t="s">
        <v>89</v>
      </c>
    </row>
    <row r="229" spans="1:17">
      <c r="A229" s="4">
        <v>134</v>
      </c>
      <c r="B229" t="s">
        <v>353</v>
      </c>
      <c r="C229" t="s">
        <v>326</v>
      </c>
      <c r="D229" s="5">
        <v>43749</v>
      </c>
      <c r="E229" s="4">
        <v>-22.392600000000002</v>
      </c>
      <c r="F229" s="4">
        <v>28.950800000000001</v>
      </c>
      <c r="G229" s="4" t="s">
        <v>88</v>
      </c>
      <c r="H229" t="s">
        <v>26</v>
      </c>
      <c r="L229" s="4">
        <v>47</v>
      </c>
      <c r="M229" s="4"/>
      <c r="N229" s="4"/>
      <c r="P229" s="4" t="s">
        <v>23</v>
      </c>
      <c r="Q229" t="s">
        <v>89</v>
      </c>
    </row>
  </sheetData>
  <autoFilter ref="A1:Q229" xr:uid="{0425225E-05CC-45D8-83B4-D9159BC88D8D}">
    <sortState xmlns:xlrd2="http://schemas.microsoft.com/office/spreadsheetml/2017/richdata2" ref="A2:Q229">
      <sortCondition ref="B1:B229"/>
    </sortState>
  </autoFilter>
  <phoneticPr fontId="5" type="noConversion"/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F846A-D5D1-2B41-A67F-CCF46A047EE7}">
  <dimension ref="A1:I74"/>
  <sheetViews>
    <sheetView workbookViewId="0">
      <selection activeCell="H10" sqref="H10"/>
    </sheetView>
  </sheetViews>
  <sheetFormatPr defaultColWidth="11.42578125" defaultRowHeight="15"/>
  <sheetData>
    <row r="1" spans="1:9" ht="15.95">
      <c r="A1" s="23" t="s">
        <v>354</v>
      </c>
      <c r="D1" s="22" t="s">
        <v>355</v>
      </c>
      <c r="G1" s="21" t="s">
        <v>356</v>
      </c>
    </row>
    <row r="2" spans="1:9">
      <c r="A2" s="4" t="s">
        <v>17</v>
      </c>
      <c r="B2">
        <f>COUNTIF(H17:I74, "aardvark")</f>
        <v>1</v>
      </c>
      <c r="D2" s="4" t="s">
        <v>17</v>
      </c>
      <c r="E2">
        <v>0</v>
      </c>
      <c r="G2" s="4" t="s">
        <v>17</v>
      </c>
      <c r="H2">
        <f>COUNTIF(H45:I102, "aardvark")</f>
        <v>1</v>
      </c>
    </row>
    <row r="3" spans="1:9">
      <c r="A3" t="s">
        <v>27</v>
      </c>
      <c r="B3">
        <v>2</v>
      </c>
      <c r="D3" t="s">
        <v>27</v>
      </c>
      <c r="E3">
        <v>1</v>
      </c>
      <c r="G3" t="s">
        <v>27</v>
      </c>
      <c r="H3">
        <v>1</v>
      </c>
    </row>
    <row r="4" spans="1:9">
      <c r="A4" t="s">
        <v>30</v>
      </c>
      <c r="B4">
        <f>COUNTIF(H17:I74, "bushbuck")</f>
        <v>1</v>
      </c>
      <c r="D4" t="s">
        <v>30</v>
      </c>
      <c r="E4">
        <v>0</v>
      </c>
      <c r="G4" t="s">
        <v>30</v>
      </c>
      <c r="H4">
        <v>1</v>
      </c>
    </row>
    <row r="5" spans="1:9">
      <c r="A5" t="s">
        <v>38</v>
      </c>
      <c r="B5">
        <f>COUNTIF(H17:I74, "donkey")</f>
        <v>3</v>
      </c>
      <c r="D5" t="s">
        <v>38</v>
      </c>
      <c r="E5">
        <v>0</v>
      </c>
      <c r="G5" t="s">
        <v>38</v>
      </c>
      <c r="H5">
        <v>3</v>
      </c>
    </row>
    <row r="6" spans="1:9">
      <c r="A6" t="s">
        <v>42</v>
      </c>
      <c r="B6">
        <f>COUNTIF(H17:I74, "duiker")</f>
        <v>2</v>
      </c>
      <c r="D6" t="s">
        <v>42</v>
      </c>
      <c r="E6">
        <v>1</v>
      </c>
      <c r="G6" t="s">
        <v>42</v>
      </c>
      <c r="H6">
        <v>1</v>
      </c>
    </row>
    <row r="7" spans="1:9">
      <c r="A7" t="s">
        <v>57</v>
      </c>
      <c r="B7">
        <v>34</v>
      </c>
      <c r="D7" t="s">
        <v>57</v>
      </c>
      <c r="E7">
        <v>10</v>
      </c>
      <c r="G7" t="s">
        <v>57</v>
      </c>
      <c r="H7">
        <v>24</v>
      </c>
    </row>
    <row r="8" spans="1:9">
      <c r="A8" t="s">
        <v>62</v>
      </c>
      <c r="B8">
        <f>COUNTIF(H17:I74, "kudu")</f>
        <v>4</v>
      </c>
      <c r="D8" t="s">
        <v>62</v>
      </c>
      <c r="E8">
        <v>1</v>
      </c>
      <c r="G8" t="s">
        <v>62</v>
      </c>
      <c r="H8">
        <v>3</v>
      </c>
    </row>
    <row r="9" spans="1:9">
      <c r="A9" t="s">
        <v>68</v>
      </c>
      <c r="B9">
        <f>COUNTIF(H17:I74, "rock hyrax")</f>
        <v>1</v>
      </c>
      <c r="D9" t="s">
        <v>68</v>
      </c>
      <c r="E9">
        <v>0</v>
      </c>
      <c r="G9" t="s">
        <v>68</v>
      </c>
      <c r="H9">
        <v>1</v>
      </c>
    </row>
    <row r="10" spans="1:9">
      <c r="A10" t="s">
        <v>70</v>
      </c>
      <c r="B10">
        <f>COUNTIF(H17:I74, "springhare")</f>
        <v>1</v>
      </c>
      <c r="D10" t="s">
        <v>70</v>
      </c>
      <c r="E10">
        <v>1</v>
      </c>
      <c r="G10" t="s">
        <v>70</v>
      </c>
      <c r="H10">
        <f>COUNTIF(H45:I102, "springhare")</f>
        <v>0</v>
      </c>
    </row>
    <row r="11" spans="1:9">
      <c r="A11" t="s">
        <v>73</v>
      </c>
      <c r="B11">
        <v>2</v>
      </c>
      <c r="D11" t="s">
        <v>73</v>
      </c>
      <c r="E11">
        <v>2</v>
      </c>
      <c r="G11" t="s">
        <v>73</v>
      </c>
      <c r="H11">
        <v>0</v>
      </c>
    </row>
    <row r="12" spans="1:9">
      <c r="A12" t="s">
        <v>78</v>
      </c>
      <c r="B12">
        <f>COUNTIF(H17:I74, "waterbuck")</f>
        <v>6</v>
      </c>
      <c r="D12" t="s">
        <v>78</v>
      </c>
      <c r="E12">
        <v>2</v>
      </c>
      <c r="G12" t="s">
        <v>78</v>
      </c>
      <c r="H12">
        <v>4</v>
      </c>
    </row>
    <row r="13" spans="1:9">
      <c r="A13" t="s">
        <v>80</v>
      </c>
      <c r="B13">
        <f>COUNTIF(H17:I74, "zebra")</f>
        <v>16</v>
      </c>
      <c r="D13" t="s">
        <v>80</v>
      </c>
      <c r="E13">
        <v>6</v>
      </c>
      <c r="G13" t="s">
        <v>80</v>
      </c>
      <c r="H13">
        <v>10</v>
      </c>
    </row>
    <row r="14" spans="1:9">
      <c r="A14" t="s">
        <v>357</v>
      </c>
      <c r="B14">
        <f>SUM(B2:B13)</f>
        <v>73</v>
      </c>
      <c r="D14" t="s">
        <v>357</v>
      </c>
      <c r="E14">
        <f>SUM(E2:E13)</f>
        <v>24</v>
      </c>
      <c r="G14" t="s">
        <v>357</v>
      </c>
      <c r="H14">
        <f>SUM(H2:H13)</f>
        <v>49</v>
      </c>
    </row>
    <row r="16" spans="1:9">
      <c r="A16" s="1" t="s">
        <v>0</v>
      </c>
      <c r="B16" s="1" t="s">
        <v>1</v>
      </c>
      <c r="C16" s="2" t="s">
        <v>2</v>
      </c>
      <c r="D16" s="2" t="s">
        <v>3</v>
      </c>
      <c r="E16" s="2" t="s">
        <v>4</v>
      </c>
      <c r="F16" s="2" t="s">
        <v>5</v>
      </c>
      <c r="G16" s="2" t="s">
        <v>6</v>
      </c>
      <c r="H16" s="2" t="s">
        <v>7</v>
      </c>
      <c r="I16" s="2" t="s">
        <v>8</v>
      </c>
    </row>
    <row r="17" spans="1:9">
      <c r="A17" s="4">
        <v>1</v>
      </c>
      <c r="B17" s="4" t="s">
        <v>179</v>
      </c>
      <c r="C17" s="4" t="s">
        <v>158</v>
      </c>
      <c r="D17" s="5">
        <v>43561</v>
      </c>
      <c r="E17" s="6">
        <v>-22.339040000000001</v>
      </c>
      <c r="F17" s="4">
        <v>28.90438</v>
      </c>
      <c r="G17" s="4" t="s">
        <v>40</v>
      </c>
      <c r="H17" s="4" t="s">
        <v>26</v>
      </c>
      <c r="I17" s="4" t="s">
        <v>138</v>
      </c>
    </row>
    <row r="18" spans="1:9">
      <c r="A18" s="4">
        <v>6</v>
      </c>
      <c r="B18" t="s">
        <v>170</v>
      </c>
      <c r="C18" s="4" t="s">
        <v>158</v>
      </c>
      <c r="D18" s="5">
        <v>43257</v>
      </c>
      <c r="E18" s="4">
        <v>-22.341660000000001</v>
      </c>
      <c r="F18" s="6">
        <v>28.902899999999999</v>
      </c>
      <c r="G18" s="4" t="s">
        <v>21</v>
      </c>
      <c r="H18" t="s">
        <v>26</v>
      </c>
    </row>
    <row r="19" spans="1:9">
      <c r="A19" s="4">
        <v>8</v>
      </c>
      <c r="B19" s="4" t="s">
        <v>171</v>
      </c>
      <c r="C19" s="4" t="s">
        <v>158</v>
      </c>
      <c r="D19" s="5">
        <v>43303</v>
      </c>
      <c r="E19" s="4">
        <v>-22.382639999999999</v>
      </c>
      <c r="F19" s="6">
        <v>28.93722</v>
      </c>
      <c r="G19" s="4" t="s">
        <v>21</v>
      </c>
      <c r="H19" t="s">
        <v>26</v>
      </c>
    </row>
    <row r="20" spans="1:9">
      <c r="A20" s="4">
        <v>11</v>
      </c>
      <c r="B20" t="s">
        <v>172</v>
      </c>
      <c r="C20" s="4" t="s">
        <v>158</v>
      </c>
      <c r="D20" s="5">
        <v>43303</v>
      </c>
      <c r="E20" s="4">
        <v>-22.363130000000002</v>
      </c>
      <c r="F20" s="10">
        <v>28.944700000000001</v>
      </c>
      <c r="G20" s="4" t="s">
        <v>21</v>
      </c>
      <c r="H20" t="s">
        <v>26</v>
      </c>
    </row>
    <row r="21" spans="1:9">
      <c r="A21" s="4">
        <v>15</v>
      </c>
      <c r="B21" t="s">
        <v>173</v>
      </c>
      <c r="C21" t="s">
        <v>158</v>
      </c>
      <c r="D21" s="5">
        <v>43312</v>
      </c>
      <c r="E21" s="4">
        <v>-22.435279999999999</v>
      </c>
      <c r="F21" s="4">
        <v>28.936309999999999</v>
      </c>
      <c r="G21" s="4" t="s">
        <v>21</v>
      </c>
      <c r="H21" t="s">
        <v>26</v>
      </c>
      <c r="I21" t="s">
        <v>22</v>
      </c>
    </row>
    <row r="22" spans="1:9">
      <c r="A22" s="4">
        <v>17</v>
      </c>
      <c r="B22" s="4" t="s">
        <v>175</v>
      </c>
      <c r="C22" s="4" t="s">
        <v>158</v>
      </c>
      <c r="D22" s="5">
        <v>43339</v>
      </c>
      <c r="E22" s="4">
        <v>-22.365130000000001</v>
      </c>
      <c r="F22" s="4">
        <v>28.957660000000001</v>
      </c>
      <c r="G22" s="4" t="s">
        <v>21</v>
      </c>
      <c r="H22" t="s">
        <v>22</v>
      </c>
      <c r="I22" t="s">
        <v>26</v>
      </c>
    </row>
    <row r="23" spans="1:9">
      <c r="A23" s="4">
        <v>18</v>
      </c>
      <c r="B23" s="4" t="s">
        <v>202</v>
      </c>
      <c r="C23" s="4" t="s">
        <v>158</v>
      </c>
      <c r="D23" s="5">
        <v>43700</v>
      </c>
      <c r="E23" s="4">
        <v>-22.335730000000002</v>
      </c>
      <c r="F23" s="4">
        <v>28.877649999999999</v>
      </c>
      <c r="G23" s="4" t="s">
        <v>21</v>
      </c>
      <c r="H23" t="s">
        <v>26</v>
      </c>
    </row>
    <row r="24" spans="1:9">
      <c r="A24" s="4">
        <v>23</v>
      </c>
      <c r="B24" t="s">
        <v>177</v>
      </c>
      <c r="C24" s="4" t="s">
        <v>158</v>
      </c>
      <c r="D24" s="12">
        <v>43497</v>
      </c>
      <c r="E24" s="4">
        <v>-22.3674</v>
      </c>
      <c r="F24" s="4">
        <v>28.963799999999999</v>
      </c>
      <c r="G24" s="4" t="s">
        <v>40</v>
      </c>
      <c r="H24" t="s">
        <v>26</v>
      </c>
      <c r="I24" t="s">
        <v>52</v>
      </c>
    </row>
    <row r="25" spans="1:9">
      <c r="A25" s="4">
        <v>27</v>
      </c>
      <c r="B25" t="s">
        <v>178</v>
      </c>
      <c r="C25" s="4" t="s">
        <v>158</v>
      </c>
      <c r="D25" s="5">
        <v>43507</v>
      </c>
      <c r="E25" s="4">
        <v>-22.362829999999999</v>
      </c>
      <c r="F25" s="4">
        <v>28.936350000000001</v>
      </c>
      <c r="G25" s="4" t="s">
        <v>40</v>
      </c>
      <c r="H25" t="s">
        <v>26</v>
      </c>
    </row>
    <row r="26" spans="1:9">
      <c r="A26" s="4">
        <v>30</v>
      </c>
      <c r="B26" t="s">
        <v>180</v>
      </c>
      <c r="C26" t="s">
        <v>158</v>
      </c>
      <c r="D26" s="5">
        <v>43561</v>
      </c>
      <c r="E26" s="4">
        <v>-22.339040000000001</v>
      </c>
      <c r="F26" s="4">
        <v>28.40438</v>
      </c>
      <c r="G26" s="4" t="s">
        <v>40</v>
      </c>
      <c r="H26" t="s">
        <v>29</v>
      </c>
    </row>
    <row r="27" spans="1:9">
      <c r="A27" s="4">
        <v>43</v>
      </c>
      <c r="B27" t="s">
        <v>182</v>
      </c>
      <c r="C27" s="4" t="s">
        <v>158</v>
      </c>
      <c r="D27" s="5">
        <v>43577</v>
      </c>
      <c r="E27" s="4">
        <v>-22.3432</v>
      </c>
      <c r="F27" s="4">
        <v>28.9023</v>
      </c>
      <c r="G27" s="4" t="s">
        <v>40</v>
      </c>
      <c r="H27" t="s">
        <v>26</v>
      </c>
    </row>
    <row r="28" spans="1:9">
      <c r="A28" s="4">
        <v>44</v>
      </c>
      <c r="B28" s="4" t="s">
        <v>183</v>
      </c>
      <c r="C28" s="4" t="s">
        <v>158</v>
      </c>
      <c r="D28" s="5">
        <v>43600</v>
      </c>
      <c r="E28" s="4">
        <v>-22.39575</v>
      </c>
      <c r="F28" s="4">
        <v>28.960270000000001</v>
      </c>
      <c r="G28" s="4" t="s">
        <v>21</v>
      </c>
      <c r="H28" t="s">
        <v>26</v>
      </c>
      <c r="I28" t="s">
        <v>22</v>
      </c>
    </row>
    <row r="29" spans="1:9">
      <c r="A29" s="4">
        <v>45</v>
      </c>
      <c r="B29" t="s">
        <v>184</v>
      </c>
      <c r="C29" s="4" t="s">
        <v>158</v>
      </c>
      <c r="D29" s="5">
        <v>43617</v>
      </c>
      <c r="E29" s="4">
        <v>-22.3657</v>
      </c>
      <c r="F29" s="4">
        <v>28.926600000000001</v>
      </c>
      <c r="G29" s="4" t="s">
        <v>21</v>
      </c>
      <c r="H29" t="s">
        <v>26</v>
      </c>
    </row>
    <row r="30" spans="1:9">
      <c r="A30" s="4">
        <v>46</v>
      </c>
      <c r="B30" t="s">
        <v>185</v>
      </c>
      <c r="C30" t="s">
        <v>158</v>
      </c>
      <c r="D30" s="5">
        <v>43624</v>
      </c>
      <c r="E30" s="4">
        <v>-22.3871</v>
      </c>
      <c r="F30" s="4">
        <v>28.940899999999999</v>
      </c>
      <c r="G30" s="4" t="s">
        <v>21</v>
      </c>
      <c r="H30" t="s">
        <v>26</v>
      </c>
      <c r="I30" t="s">
        <v>22</v>
      </c>
    </row>
    <row r="31" spans="1:9">
      <c r="A31" s="4">
        <v>47</v>
      </c>
      <c r="B31" s="4" t="s">
        <v>187</v>
      </c>
      <c r="C31" s="4" t="s">
        <v>158</v>
      </c>
      <c r="D31" s="5">
        <v>43628</v>
      </c>
      <c r="E31" s="4">
        <v>-22.34224</v>
      </c>
      <c r="F31" s="4">
        <v>28.883949999999999</v>
      </c>
      <c r="G31" s="4" t="s">
        <v>21</v>
      </c>
      <c r="H31" t="s">
        <v>45</v>
      </c>
    </row>
    <row r="32" spans="1:9">
      <c r="A32" s="4">
        <v>48</v>
      </c>
      <c r="B32" t="s">
        <v>190</v>
      </c>
      <c r="C32" s="4" t="s">
        <v>158</v>
      </c>
      <c r="D32" s="5">
        <v>43673</v>
      </c>
      <c r="E32" s="4">
        <v>-22.370100000000001</v>
      </c>
      <c r="F32" s="4">
        <v>28.967199999999998</v>
      </c>
      <c r="G32" s="4" t="s">
        <v>21</v>
      </c>
      <c r="H32" t="s">
        <v>26</v>
      </c>
    </row>
    <row r="33" spans="1:9">
      <c r="A33" s="4">
        <v>49</v>
      </c>
      <c r="B33" t="s">
        <v>191</v>
      </c>
      <c r="C33" s="4" t="s">
        <v>158</v>
      </c>
      <c r="D33" s="5">
        <v>43681</v>
      </c>
      <c r="E33" s="4">
        <v>-22.3292</v>
      </c>
      <c r="F33" s="4">
        <v>28.928100000000001</v>
      </c>
      <c r="G33" s="4" t="s">
        <v>21</v>
      </c>
      <c r="H33" t="s">
        <v>72</v>
      </c>
    </row>
    <row r="34" spans="1:9">
      <c r="A34" s="4">
        <v>50</v>
      </c>
      <c r="B34" s="4" t="s">
        <v>193</v>
      </c>
      <c r="C34" t="s">
        <v>158</v>
      </c>
      <c r="D34" s="5">
        <v>43682</v>
      </c>
      <c r="E34" s="4">
        <v>-22.219270000000002</v>
      </c>
      <c r="F34" s="4">
        <v>28.543050000000001</v>
      </c>
      <c r="G34" s="4" t="s">
        <v>21</v>
      </c>
      <c r="H34" t="s">
        <v>26</v>
      </c>
    </row>
    <row r="35" spans="1:9">
      <c r="A35" s="4">
        <v>51</v>
      </c>
      <c r="B35" t="s">
        <v>195</v>
      </c>
      <c r="C35" t="s">
        <v>158</v>
      </c>
      <c r="D35" s="5">
        <v>43683</v>
      </c>
      <c r="E35" s="4">
        <v>-22.340450000000001</v>
      </c>
      <c r="F35" s="4">
        <v>28.902450000000002</v>
      </c>
      <c r="G35" s="4" t="s">
        <v>21</v>
      </c>
      <c r="H35" t="s">
        <v>29</v>
      </c>
    </row>
    <row r="36" spans="1:9">
      <c r="A36" s="4">
        <v>52</v>
      </c>
      <c r="B36" t="s">
        <v>196</v>
      </c>
      <c r="C36" t="s">
        <v>158</v>
      </c>
      <c r="D36" s="5">
        <v>43683</v>
      </c>
      <c r="E36" s="4">
        <v>-22.21106</v>
      </c>
      <c r="F36" s="4">
        <v>28.549009999999999</v>
      </c>
      <c r="G36" s="4" t="s">
        <v>21</v>
      </c>
      <c r="H36" t="s">
        <v>29</v>
      </c>
    </row>
    <row r="37" spans="1:9">
      <c r="A37" s="4">
        <v>53</v>
      </c>
      <c r="B37" s="4" t="s">
        <v>198</v>
      </c>
      <c r="C37" t="s">
        <v>158</v>
      </c>
      <c r="D37" s="5">
        <v>43683</v>
      </c>
      <c r="E37" s="4">
        <v>-22.348310000000001</v>
      </c>
      <c r="F37" s="4">
        <v>28.905670000000001</v>
      </c>
      <c r="G37" s="4" t="s">
        <v>21</v>
      </c>
      <c r="H37" t="s">
        <v>26</v>
      </c>
      <c r="I37" t="s">
        <v>22</v>
      </c>
    </row>
    <row r="38" spans="1:9">
      <c r="A38" s="4">
        <v>54</v>
      </c>
      <c r="B38" t="s">
        <v>199</v>
      </c>
      <c r="C38" t="s">
        <v>158</v>
      </c>
      <c r="D38" s="5">
        <v>43697</v>
      </c>
      <c r="E38" s="4">
        <v>-22.349589999999999</v>
      </c>
      <c r="F38" s="4">
        <v>28.910219999999999</v>
      </c>
      <c r="G38" s="4" t="s">
        <v>21</v>
      </c>
      <c r="H38" t="s">
        <v>22</v>
      </c>
      <c r="I38" t="s">
        <v>56</v>
      </c>
    </row>
    <row r="39" spans="1:9">
      <c r="A39" s="4">
        <v>55</v>
      </c>
      <c r="B39" t="s">
        <v>201</v>
      </c>
      <c r="C39" t="s">
        <v>158</v>
      </c>
      <c r="D39" s="5">
        <v>43698</v>
      </c>
      <c r="E39" s="4">
        <v>-22.332730000000002</v>
      </c>
      <c r="F39" s="4">
        <v>28.86138</v>
      </c>
      <c r="G39" s="4" t="s">
        <v>21</v>
      </c>
      <c r="H39" t="s">
        <v>26</v>
      </c>
    </row>
    <row r="40" spans="1:9">
      <c r="A40" s="4">
        <v>56</v>
      </c>
      <c r="B40" t="s">
        <v>203</v>
      </c>
      <c r="C40" t="s">
        <v>158</v>
      </c>
      <c r="D40" s="5">
        <v>43710</v>
      </c>
      <c r="E40" s="4">
        <v>-22.299430000000001</v>
      </c>
      <c r="F40" s="4">
        <v>28.874189999999999</v>
      </c>
      <c r="G40" s="4" t="s">
        <v>21</v>
      </c>
      <c r="H40" t="s">
        <v>22</v>
      </c>
    </row>
    <row r="41" spans="1:9">
      <c r="A41" s="4">
        <v>62</v>
      </c>
      <c r="B41" s="4" t="s">
        <v>207</v>
      </c>
      <c r="C41" t="s">
        <v>158</v>
      </c>
      <c r="D41" s="5">
        <v>43716</v>
      </c>
      <c r="E41" s="4">
        <v>-22.34151</v>
      </c>
      <c r="F41" s="4">
        <v>28.88233</v>
      </c>
      <c r="G41" s="4" t="s">
        <v>21</v>
      </c>
      <c r="H41" t="s">
        <v>22</v>
      </c>
    </row>
    <row r="42" spans="1:9">
      <c r="A42" s="4">
        <v>63</v>
      </c>
      <c r="B42" t="s">
        <v>208</v>
      </c>
      <c r="C42" t="s">
        <v>158</v>
      </c>
      <c r="D42" s="5">
        <v>43725</v>
      </c>
      <c r="E42" s="4">
        <v>-22.396339999999999</v>
      </c>
      <c r="F42" s="4">
        <v>28.91967</v>
      </c>
      <c r="G42" s="4" t="s">
        <v>21</v>
      </c>
      <c r="H42" t="s">
        <v>22</v>
      </c>
      <c r="I42" t="s">
        <v>26</v>
      </c>
    </row>
    <row r="43" spans="1:9">
      <c r="A43" s="4">
        <v>66</v>
      </c>
      <c r="B43" t="s">
        <v>209</v>
      </c>
      <c r="C43" t="s">
        <v>158</v>
      </c>
      <c r="D43" s="5">
        <v>43732</v>
      </c>
      <c r="E43" s="4">
        <v>-22.3445</v>
      </c>
      <c r="F43" s="4">
        <v>28.945</v>
      </c>
      <c r="G43" s="4" t="s">
        <v>21</v>
      </c>
      <c r="H43" t="s">
        <v>44</v>
      </c>
    </row>
    <row r="44" spans="1:9">
      <c r="A44" s="13">
        <v>72</v>
      </c>
      <c r="B44" s="4" t="s">
        <v>210</v>
      </c>
      <c r="C44" t="s">
        <v>158</v>
      </c>
      <c r="D44">
        <v>43733</v>
      </c>
      <c r="E44">
        <v>-22.352799999999998</v>
      </c>
      <c r="F44">
        <v>28.918099999999999</v>
      </c>
      <c r="G44" t="s">
        <v>21</v>
      </c>
      <c r="H44" t="s">
        <v>211</v>
      </c>
      <c r="I44" t="s">
        <v>26</v>
      </c>
    </row>
    <row r="45" spans="1:9">
      <c r="A45" s="13">
        <v>75</v>
      </c>
      <c r="B45" t="s">
        <v>204</v>
      </c>
      <c r="C45" t="s">
        <v>158</v>
      </c>
      <c r="D45">
        <v>43714</v>
      </c>
      <c r="E45">
        <v>-22.299700000000001</v>
      </c>
      <c r="F45">
        <v>28.8749</v>
      </c>
      <c r="G45" t="s">
        <v>21</v>
      </c>
      <c r="H45" t="s">
        <v>29</v>
      </c>
    </row>
    <row r="46" spans="1:9">
      <c r="A46" s="4">
        <v>76</v>
      </c>
      <c r="B46" t="s">
        <v>157</v>
      </c>
      <c r="C46" t="s">
        <v>158</v>
      </c>
      <c r="D46">
        <v>2018</v>
      </c>
      <c r="E46">
        <v>-22.34196</v>
      </c>
      <c r="F46">
        <v>28.900729999999999</v>
      </c>
      <c r="G46" t="s">
        <v>40</v>
      </c>
      <c r="H46" t="s">
        <v>211</v>
      </c>
    </row>
    <row r="47" spans="1:9">
      <c r="A47" s="4">
        <v>77</v>
      </c>
      <c r="B47" t="s">
        <v>161</v>
      </c>
      <c r="C47" s="4" t="s">
        <v>158</v>
      </c>
      <c r="D47" s="5">
        <v>43208</v>
      </c>
      <c r="E47" s="4">
        <v>-22.335730000000002</v>
      </c>
      <c r="F47" s="4">
        <v>28.905529999999999</v>
      </c>
      <c r="G47" s="4" t="s">
        <v>40</v>
      </c>
      <c r="H47" t="s">
        <v>26</v>
      </c>
      <c r="I47" t="s">
        <v>44</v>
      </c>
    </row>
    <row r="48" spans="1:9">
      <c r="A48" s="4">
        <v>78</v>
      </c>
      <c r="B48" t="s">
        <v>162</v>
      </c>
      <c r="C48" s="4" t="s">
        <v>158</v>
      </c>
      <c r="D48" s="5">
        <v>43211</v>
      </c>
      <c r="E48" s="4">
        <v>-22.36636</v>
      </c>
      <c r="F48" s="4">
        <v>28.953289999999999</v>
      </c>
      <c r="G48" s="4" t="s">
        <v>40</v>
      </c>
      <c r="H48" t="s">
        <v>26</v>
      </c>
    </row>
    <row r="49" spans="1:9">
      <c r="A49" s="4">
        <v>79</v>
      </c>
      <c r="B49" t="s">
        <v>163</v>
      </c>
      <c r="C49" s="4" t="s">
        <v>158</v>
      </c>
      <c r="D49" s="5">
        <v>43224</v>
      </c>
      <c r="E49" s="4">
        <v>-22.350100000000001</v>
      </c>
      <c r="F49" s="4">
        <v>28.91189</v>
      </c>
      <c r="G49" s="4" t="s">
        <v>88</v>
      </c>
      <c r="H49" t="s">
        <v>44</v>
      </c>
      <c r="I49" t="s">
        <v>117</v>
      </c>
    </row>
    <row r="50" spans="1:9">
      <c r="A50" s="4">
        <v>80</v>
      </c>
      <c r="B50" t="s">
        <v>164</v>
      </c>
      <c r="C50" s="4" t="s">
        <v>158</v>
      </c>
      <c r="D50" s="5">
        <v>43240</v>
      </c>
      <c r="E50" s="4">
        <v>-22.376529999999999</v>
      </c>
      <c r="F50" s="4">
        <v>28.948139999999999</v>
      </c>
      <c r="G50" s="4" t="s">
        <v>88</v>
      </c>
      <c r="H50" t="s">
        <v>26</v>
      </c>
      <c r="I50" t="s">
        <v>52</v>
      </c>
    </row>
    <row r="51" spans="1:9">
      <c r="A51" s="4">
        <v>81</v>
      </c>
      <c r="B51" t="s">
        <v>165</v>
      </c>
      <c r="C51" s="4" t="s">
        <v>158</v>
      </c>
      <c r="D51" s="5">
        <v>43265</v>
      </c>
      <c r="E51" s="4">
        <v>-22.353280000000002</v>
      </c>
      <c r="F51" s="4">
        <v>28.89284</v>
      </c>
      <c r="G51" s="4" t="s">
        <v>88</v>
      </c>
      <c r="H51" t="s">
        <v>22</v>
      </c>
    </row>
    <row r="52" spans="1:9">
      <c r="A52" s="4">
        <v>82</v>
      </c>
      <c r="B52" t="s">
        <v>166</v>
      </c>
      <c r="C52" s="4" t="s">
        <v>158</v>
      </c>
      <c r="D52" s="4">
        <v>2018</v>
      </c>
      <c r="E52" s="4"/>
      <c r="F52" s="4"/>
      <c r="G52" s="4" t="s">
        <v>88</v>
      </c>
      <c r="H52" t="s">
        <v>44</v>
      </c>
    </row>
    <row r="53" spans="1:9">
      <c r="A53" s="4">
        <v>83</v>
      </c>
      <c r="B53" t="s">
        <v>167</v>
      </c>
      <c r="C53" s="4" t="s">
        <v>158</v>
      </c>
      <c r="D53" s="5">
        <v>43326</v>
      </c>
      <c r="E53" s="4">
        <v>-22.366610000000001</v>
      </c>
      <c r="F53" s="4">
        <v>28.951129999999999</v>
      </c>
      <c r="G53" s="4" t="s">
        <v>88</v>
      </c>
      <c r="H53" t="s">
        <v>72</v>
      </c>
    </row>
    <row r="54" spans="1:9">
      <c r="A54" s="4">
        <v>84</v>
      </c>
      <c r="B54" t="s">
        <v>168</v>
      </c>
      <c r="C54" s="4" t="s">
        <v>158</v>
      </c>
      <c r="D54" s="9">
        <v>2018</v>
      </c>
      <c r="E54" s="4"/>
      <c r="F54" s="4"/>
      <c r="G54" s="4" t="s">
        <v>40</v>
      </c>
      <c r="H54" t="s">
        <v>26</v>
      </c>
    </row>
    <row r="55" spans="1:9">
      <c r="A55" s="4">
        <v>85</v>
      </c>
      <c r="B55" t="s">
        <v>169</v>
      </c>
      <c r="C55" s="4" t="s">
        <v>158</v>
      </c>
      <c r="D55" s="5">
        <v>43517</v>
      </c>
      <c r="E55" s="4">
        <v>-22.382899999999999</v>
      </c>
      <c r="F55" s="4">
        <v>28.9634</v>
      </c>
      <c r="G55" s="4" t="s">
        <v>40</v>
      </c>
      <c r="H55" t="s">
        <v>44</v>
      </c>
    </row>
    <row r="56" spans="1:9">
      <c r="A56" s="4">
        <v>125</v>
      </c>
      <c r="B56" t="s">
        <v>213</v>
      </c>
      <c r="C56" t="s">
        <v>158</v>
      </c>
      <c r="D56" s="5">
        <v>43740</v>
      </c>
      <c r="E56" s="4">
        <v>-22.323899999999998</v>
      </c>
      <c r="F56" s="4">
        <v>28.886900000000001</v>
      </c>
      <c r="G56" s="4" t="s">
        <v>88</v>
      </c>
      <c r="H56" t="s">
        <v>26</v>
      </c>
    </row>
    <row r="57" spans="1:9">
      <c r="A57" s="4">
        <v>127</v>
      </c>
      <c r="B57" t="s">
        <v>214</v>
      </c>
      <c r="C57" t="s">
        <v>158</v>
      </c>
      <c r="D57" s="5">
        <v>43742</v>
      </c>
      <c r="E57" s="4">
        <v>-22.3367</v>
      </c>
      <c r="F57" s="4">
        <v>28.896100000000001</v>
      </c>
      <c r="G57" s="4" t="s">
        <v>88</v>
      </c>
      <c r="H57" t="s">
        <v>26</v>
      </c>
    </row>
    <row r="58" spans="1:9">
      <c r="A58" s="4">
        <v>128</v>
      </c>
      <c r="B58" t="s">
        <v>215</v>
      </c>
      <c r="C58" t="s">
        <v>158</v>
      </c>
      <c r="D58" s="5">
        <v>43743</v>
      </c>
      <c r="E58" s="4">
        <v>-22.3856</v>
      </c>
      <c r="F58" s="4">
        <v>28.939800000000002</v>
      </c>
      <c r="G58" s="4" t="s">
        <v>88</v>
      </c>
      <c r="H58" t="s">
        <v>26</v>
      </c>
    </row>
    <row r="59" spans="1:9">
      <c r="A59" s="4">
        <v>129</v>
      </c>
      <c r="B59" t="s">
        <v>216</v>
      </c>
      <c r="C59" t="s">
        <v>158</v>
      </c>
      <c r="D59" s="5">
        <v>43744</v>
      </c>
      <c r="E59" s="4">
        <v>-22.391100000000002</v>
      </c>
      <c r="F59" s="4">
        <v>28.954999999999998</v>
      </c>
      <c r="G59" s="4" t="s">
        <v>88</v>
      </c>
      <c r="H59" t="s">
        <v>26</v>
      </c>
    </row>
    <row r="60" spans="1:9">
      <c r="A60" s="4">
        <v>131</v>
      </c>
      <c r="B60" t="s">
        <v>217</v>
      </c>
      <c r="C60" t="s">
        <v>158</v>
      </c>
      <c r="D60" s="5">
        <v>43746</v>
      </c>
      <c r="E60" s="4">
        <v>-22.381599999999999</v>
      </c>
      <c r="F60" s="4">
        <v>28.965299999999999</v>
      </c>
      <c r="G60" s="4" t="s">
        <v>88</v>
      </c>
      <c r="H60" t="s">
        <v>218</v>
      </c>
    </row>
    <row r="61" spans="1:9">
      <c r="A61" s="4">
        <v>136</v>
      </c>
      <c r="B61" t="s">
        <v>219</v>
      </c>
      <c r="C61" t="s">
        <v>158</v>
      </c>
      <c r="D61" s="5">
        <v>43777</v>
      </c>
      <c r="E61" s="4">
        <v>-22.3674</v>
      </c>
      <c r="F61" s="4">
        <v>28.926390000000001</v>
      </c>
      <c r="G61" s="4" t="s">
        <v>88</v>
      </c>
      <c r="H61" t="s">
        <v>44</v>
      </c>
    </row>
    <row r="62" spans="1:9">
      <c r="A62" s="4">
        <v>141</v>
      </c>
      <c r="B62" t="s">
        <v>220</v>
      </c>
      <c r="C62" t="s">
        <v>158</v>
      </c>
      <c r="D62" s="5">
        <v>43777</v>
      </c>
      <c r="E62" s="4">
        <v>-22.35284</v>
      </c>
      <c r="F62" s="4">
        <v>28.919180000000001</v>
      </c>
      <c r="G62" s="4" t="s">
        <v>88</v>
      </c>
      <c r="H62" t="s">
        <v>26</v>
      </c>
    </row>
    <row r="63" spans="1:9">
      <c r="A63" s="4">
        <v>152</v>
      </c>
      <c r="B63" t="s">
        <v>221</v>
      </c>
      <c r="C63" t="s">
        <v>158</v>
      </c>
      <c r="D63" s="5">
        <v>43778</v>
      </c>
      <c r="E63" s="4">
        <v>-22.32959</v>
      </c>
      <c r="F63" s="4">
        <v>28.918949999999999</v>
      </c>
      <c r="G63" s="4" t="s">
        <v>88</v>
      </c>
      <c r="H63" t="s">
        <v>26</v>
      </c>
    </row>
    <row r="64" spans="1:9">
      <c r="A64" s="4">
        <v>157</v>
      </c>
      <c r="B64" t="s">
        <v>222</v>
      </c>
      <c r="C64" t="s">
        <v>158</v>
      </c>
      <c r="D64" s="5">
        <v>43787</v>
      </c>
      <c r="E64" s="4">
        <v>-22.335100000000001</v>
      </c>
      <c r="F64" s="4">
        <v>28.9011</v>
      </c>
      <c r="G64" s="4" t="s">
        <v>88</v>
      </c>
      <c r="H64" t="s">
        <v>26</v>
      </c>
    </row>
    <row r="65" spans="1:9">
      <c r="A65" s="4">
        <v>161</v>
      </c>
      <c r="B65" t="s">
        <v>223</v>
      </c>
      <c r="C65" t="s">
        <v>158</v>
      </c>
      <c r="D65">
        <v>43830</v>
      </c>
      <c r="E65">
        <v>-22.3734</v>
      </c>
      <c r="F65">
        <v>28.953700000000001</v>
      </c>
      <c r="G65" t="s">
        <v>40</v>
      </c>
      <c r="H65" t="s">
        <v>22</v>
      </c>
    </row>
    <row r="66" spans="1:9">
      <c r="A66" s="4">
        <v>166</v>
      </c>
      <c r="B66" t="s">
        <v>225</v>
      </c>
      <c r="C66" t="s">
        <v>158</v>
      </c>
      <c r="D66">
        <v>43849</v>
      </c>
      <c r="G66" t="s">
        <v>40</v>
      </c>
      <c r="H66" t="s">
        <v>22</v>
      </c>
    </row>
    <row r="67" spans="1:9">
      <c r="A67" s="4">
        <v>168</v>
      </c>
      <c r="B67" t="s">
        <v>226</v>
      </c>
      <c r="C67" t="s">
        <v>158</v>
      </c>
      <c r="D67" s="5">
        <v>43897</v>
      </c>
      <c r="E67" s="4"/>
      <c r="F67" s="4"/>
      <c r="G67" s="4" t="s">
        <v>40</v>
      </c>
      <c r="H67" t="s">
        <v>22</v>
      </c>
    </row>
    <row r="68" spans="1:9">
      <c r="A68" s="4">
        <v>172</v>
      </c>
      <c r="B68" t="s">
        <v>227</v>
      </c>
      <c r="C68" t="s">
        <v>158</v>
      </c>
      <c r="D68" s="5">
        <v>43902</v>
      </c>
      <c r="E68" s="4"/>
      <c r="F68" s="4"/>
      <c r="G68" s="4" t="s">
        <v>40</v>
      </c>
      <c r="H68" t="s">
        <v>26</v>
      </c>
    </row>
    <row r="69" spans="1:9">
      <c r="A69" s="4">
        <v>174</v>
      </c>
      <c r="B69" t="s">
        <v>228</v>
      </c>
      <c r="C69" t="s">
        <v>158</v>
      </c>
      <c r="D69" s="5">
        <v>43896</v>
      </c>
      <c r="E69" s="4"/>
      <c r="F69" s="4"/>
      <c r="G69" s="4" t="s">
        <v>40</v>
      </c>
      <c r="H69" t="s">
        <v>26</v>
      </c>
      <c r="I69" t="s">
        <v>22</v>
      </c>
    </row>
    <row r="70" spans="1:9">
      <c r="A70" s="4">
        <v>177</v>
      </c>
      <c r="B70" t="s">
        <v>229</v>
      </c>
      <c r="C70" t="s">
        <v>158</v>
      </c>
      <c r="D70" s="5">
        <v>43906</v>
      </c>
      <c r="E70" s="4"/>
      <c r="F70" s="4"/>
      <c r="G70" s="4" t="s">
        <v>40</v>
      </c>
      <c r="H70" t="s">
        <v>22</v>
      </c>
    </row>
    <row r="71" spans="1:9">
      <c r="A71" s="4">
        <v>178</v>
      </c>
      <c r="B71" t="s">
        <v>230</v>
      </c>
      <c r="C71" t="s">
        <v>158</v>
      </c>
      <c r="D71" s="5">
        <v>43896</v>
      </c>
      <c r="E71" s="4"/>
      <c r="F71" s="4"/>
      <c r="G71" s="4" t="s">
        <v>40</v>
      </c>
      <c r="H71" t="s">
        <v>22</v>
      </c>
      <c r="I71" t="s">
        <v>117</v>
      </c>
    </row>
    <row r="72" spans="1:9">
      <c r="A72" s="4">
        <v>182</v>
      </c>
      <c r="B72" t="s">
        <v>231</v>
      </c>
      <c r="C72" t="s">
        <v>158</v>
      </c>
      <c r="D72" s="5">
        <v>43903</v>
      </c>
      <c r="E72" s="4"/>
      <c r="F72" s="4"/>
      <c r="G72" s="4" t="s">
        <v>142</v>
      </c>
      <c r="H72" t="s">
        <v>37</v>
      </c>
    </row>
    <row r="73" spans="1:9">
      <c r="A73" s="4">
        <v>201</v>
      </c>
      <c r="B73" t="s">
        <v>232</v>
      </c>
      <c r="C73" t="s">
        <v>158</v>
      </c>
      <c r="D73" s="4">
        <v>2020</v>
      </c>
      <c r="E73" s="4"/>
      <c r="F73" s="4"/>
      <c r="G73" s="4" t="s">
        <v>40</v>
      </c>
      <c r="H73" t="s">
        <v>37</v>
      </c>
    </row>
    <row r="74" spans="1:9">
      <c r="A74" s="4">
        <v>202</v>
      </c>
      <c r="B74" t="s">
        <v>233</v>
      </c>
      <c r="C74" t="s">
        <v>158</v>
      </c>
      <c r="D74" s="4">
        <v>2020</v>
      </c>
      <c r="E74" s="4"/>
      <c r="F74" s="4"/>
      <c r="G74" s="4" t="s">
        <v>88</v>
      </c>
      <c r="H74" t="s">
        <v>72</v>
      </c>
    </row>
  </sheetData>
  <autoFilter ref="A16:J74" xr:uid="{58E8276B-B07E-D74B-A79F-4A6CAEF8B8AF}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B61B1-65B7-2242-BA87-FD046E3F0395}">
  <dimension ref="A1:J78"/>
  <sheetViews>
    <sheetView workbookViewId="0">
      <selection activeCell="H2" sqref="H2:H16"/>
    </sheetView>
  </sheetViews>
  <sheetFormatPr defaultColWidth="11.42578125" defaultRowHeight="15"/>
  <sheetData>
    <row r="1" spans="1:8" ht="15.95">
      <c r="A1" s="23" t="s">
        <v>354</v>
      </c>
      <c r="D1" s="22" t="s">
        <v>355</v>
      </c>
      <c r="G1" s="21" t="s">
        <v>356</v>
      </c>
    </row>
    <row r="2" spans="1:8">
      <c r="A2" t="s">
        <v>24</v>
      </c>
      <c r="B2">
        <f>COUNTIF(H19:J78, "baboon")</f>
        <v>1</v>
      </c>
      <c r="D2" t="s">
        <v>24</v>
      </c>
      <c r="E2">
        <v>1</v>
      </c>
      <c r="G2" t="s">
        <v>24</v>
      </c>
      <c r="H2">
        <v>0</v>
      </c>
    </row>
    <row r="3" spans="1:8">
      <c r="A3" t="s">
        <v>30</v>
      </c>
      <c r="B3">
        <v>4</v>
      </c>
      <c r="D3" t="s">
        <v>30</v>
      </c>
      <c r="E3">
        <v>2</v>
      </c>
      <c r="G3" t="s">
        <v>30</v>
      </c>
      <c r="H3">
        <v>2</v>
      </c>
    </row>
    <row r="4" spans="1:8">
      <c r="A4" t="s">
        <v>32</v>
      </c>
      <c r="B4">
        <f>COUNTIF(H19:J78, "cow")</f>
        <v>1</v>
      </c>
      <c r="D4" t="s">
        <v>32</v>
      </c>
      <c r="E4">
        <v>1</v>
      </c>
      <c r="G4" t="s">
        <v>32</v>
      </c>
      <c r="H4">
        <v>0</v>
      </c>
    </row>
    <row r="5" spans="1:8">
      <c r="A5" t="s">
        <v>35</v>
      </c>
      <c r="B5">
        <f>COUNTIF(H19:J78, "dog")</f>
        <v>1</v>
      </c>
      <c r="D5" t="s">
        <v>35</v>
      </c>
      <c r="E5">
        <v>1</v>
      </c>
      <c r="G5" t="s">
        <v>35</v>
      </c>
      <c r="H5">
        <v>0</v>
      </c>
    </row>
    <row r="6" spans="1:8">
      <c r="A6" t="s">
        <v>38</v>
      </c>
      <c r="B6">
        <f>COUNTIF(H19:J78, "donkey")</f>
        <v>2</v>
      </c>
      <c r="D6" t="s">
        <v>38</v>
      </c>
      <c r="E6">
        <v>0</v>
      </c>
      <c r="G6" t="s">
        <v>38</v>
      </c>
      <c r="H6">
        <v>2</v>
      </c>
    </row>
    <row r="7" spans="1:8">
      <c r="A7" t="s">
        <v>42</v>
      </c>
      <c r="B7">
        <f>COUNTIF(H19:J78, "duiker")</f>
        <v>2</v>
      </c>
      <c r="D7" t="s">
        <v>42</v>
      </c>
      <c r="E7">
        <v>1</v>
      </c>
      <c r="G7" t="s">
        <v>42</v>
      </c>
      <c r="H7">
        <v>1</v>
      </c>
    </row>
    <row r="8" spans="1:8">
      <c r="A8" t="s">
        <v>47</v>
      </c>
      <c r="B8">
        <v>1</v>
      </c>
      <c r="D8" t="s">
        <v>47</v>
      </c>
      <c r="E8">
        <v>1</v>
      </c>
      <c r="G8" t="s">
        <v>47</v>
      </c>
      <c r="H8">
        <v>0</v>
      </c>
    </row>
    <row r="9" spans="1:8">
      <c r="A9" t="s">
        <v>53</v>
      </c>
      <c r="B9">
        <f>COUNTIF(H19:J78, "elephant")</f>
        <v>1</v>
      </c>
      <c r="D9" t="s">
        <v>53</v>
      </c>
      <c r="E9">
        <v>0</v>
      </c>
      <c r="G9" t="s">
        <v>53</v>
      </c>
      <c r="H9">
        <v>1</v>
      </c>
    </row>
    <row r="10" spans="1:8">
      <c r="A10" t="s">
        <v>57</v>
      </c>
      <c r="B10">
        <v>26</v>
      </c>
      <c r="D10" t="s">
        <v>57</v>
      </c>
      <c r="E10">
        <v>10</v>
      </c>
      <c r="G10" t="s">
        <v>57</v>
      </c>
      <c r="H10">
        <v>16</v>
      </c>
    </row>
    <row r="11" spans="1:8">
      <c r="A11" t="s">
        <v>62</v>
      </c>
      <c r="B11">
        <f>COUNTIF(H19:J78, "kudu")</f>
        <v>14</v>
      </c>
      <c r="D11" t="s">
        <v>62</v>
      </c>
      <c r="E11">
        <v>5</v>
      </c>
      <c r="G11" t="s">
        <v>62</v>
      </c>
      <c r="H11">
        <v>9</v>
      </c>
    </row>
    <row r="12" spans="1:8">
      <c r="A12" t="s">
        <v>68</v>
      </c>
      <c r="B12">
        <f>COUNTIF(H19:J78, "rock hyrax")</f>
        <v>1</v>
      </c>
      <c r="D12" t="s">
        <v>68</v>
      </c>
      <c r="E12">
        <v>1</v>
      </c>
      <c r="G12" t="s">
        <v>68</v>
      </c>
      <c r="H12">
        <v>0</v>
      </c>
    </row>
    <row r="13" spans="1:8">
      <c r="A13" t="s">
        <v>78</v>
      </c>
      <c r="B13">
        <f>COUNTIF(H19:J78, "waterbuck")</f>
        <v>12</v>
      </c>
      <c r="D13" t="s">
        <v>78</v>
      </c>
      <c r="E13">
        <v>5</v>
      </c>
      <c r="G13" t="s">
        <v>78</v>
      </c>
      <c r="H13">
        <v>7</v>
      </c>
    </row>
    <row r="14" spans="1:8">
      <c r="A14" t="s">
        <v>73</v>
      </c>
      <c r="B14">
        <f>COUNTIF(H19:J78, "wildebeest")</f>
        <v>6</v>
      </c>
      <c r="D14" t="s">
        <v>73</v>
      </c>
      <c r="E14">
        <v>2</v>
      </c>
      <c r="G14" t="s">
        <v>73</v>
      </c>
      <c r="H14">
        <v>4</v>
      </c>
    </row>
    <row r="15" spans="1:8">
      <c r="A15" t="s">
        <v>80</v>
      </c>
      <c r="B15">
        <v>18</v>
      </c>
      <c r="D15" t="s">
        <v>80</v>
      </c>
      <c r="E15">
        <v>12</v>
      </c>
      <c r="G15" t="s">
        <v>80</v>
      </c>
      <c r="H15">
        <v>6</v>
      </c>
    </row>
    <row r="16" spans="1:8">
      <c r="A16" t="s">
        <v>358</v>
      </c>
      <c r="B16">
        <f>SUM(B2:B15)</f>
        <v>90</v>
      </c>
      <c r="D16" t="s">
        <v>358</v>
      </c>
      <c r="E16">
        <f>SUM(E2:E15)</f>
        <v>42</v>
      </c>
      <c r="G16" t="s">
        <v>358</v>
      </c>
      <c r="H16">
        <f>SUM(H2:H15)</f>
        <v>48</v>
      </c>
    </row>
    <row r="18" spans="1:10">
      <c r="A18" s="1" t="s">
        <v>0</v>
      </c>
      <c r="B18" s="1" t="s">
        <v>1</v>
      </c>
      <c r="C18" s="2" t="s">
        <v>2</v>
      </c>
      <c r="D18" s="2" t="s">
        <v>3</v>
      </c>
      <c r="E18" s="2" t="s">
        <v>4</v>
      </c>
      <c r="F18" s="2" t="s">
        <v>5</v>
      </c>
      <c r="G18" s="2" t="s">
        <v>6</v>
      </c>
      <c r="H18" s="2" t="s">
        <v>7</v>
      </c>
      <c r="I18" s="2" t="s">
        <v>8</v>
      </c>
      <c r="J18" s="2" t="s">
        <v>9</v>
      </c>
    </row>
    <row r="19" spans="1:10">
      <c r="A19" s="4">
        <v>2</v>
      </c>
      <c r="B19" s="1" t="s">
        <v>276</v>
      </c>
      <c r="C19" s="4" t="s">
        <v>248</v>
      </c>
      <c r="D19" s="5">
        <v>43608</v>
      </c>
      <c r="E19" s="4">
        <v>-22.3642</v>
      </c>
      <c r="F19" s="4">
        <v>28.929099999999998</v>
      </c>
      <c r="G19" s="4" t="s">
        <v>21</v>
      </c>
      <c r="H19" s="4" t="s">
        <v>26</v>
      </c>
      <c r="I19" s="4"/>
      <c r="J19" s="4"/>
    </row>
    <row r="20" spans="1:10">
      <c r="A20" s="4">
        <v>4</v>
      </c>
      <c r="B20" t="s">
        <v>265</v>
      </c>
      <c r="C20" s="4" t="s">
        <v>248</v>
      </c>
      <c r="D20" s="9">
        <v>2017</v>
      </c>
      <c r="E20" s="5"/>
      <c r="F20" s="4"/>
      <c r="G20" s="4" t="s">
        <v>40</v>
      </c>
      <c r="H20" s="4" t="s">
        <v>52</v>
      </c>
      <c r="I20" s="4"/>
      <c r="J20" s="4"/>
    </row>
    <row r="21" spans="1:10">
      <c r="A21" s="4">
        <v>5</v>
      </c>
      <c r="B21" s="1" t="s">
        <v>266</v>
      </c>
      <c r="C21" s="4" t="s">
        <v>248</v>
      </c>
      <c r="D21" s="4">
        <v>2017</v>
      </c>
      <c r="E21" s="4"/>
      <c r="F21" s="4"/>
      <c r="G21" s="4" t="s">
        <v>40</v>
      </c>
      <c r="H21" t="s">
        <v>26</v>
      </c>
    </row>
    <row r="22" spans="1:10">
      <c r="A22" s="4">
        <v>10</v>
      </c>
      <c r="B22" t="s">
        <v>278</v>
      </c>
      <c r="C22" t="s">
        <v>248</v>
      </c>
      <c r="D22" s="11">
        <v>43616</v>
      </c>
      <c r="E22" s="4">
        <v>-22.355899999999998</v>
      </c>
      <c r="F22" s="4">
        <v>28.9434</v>
      </c>
      <c r="G22" s="4" t="s">
        <v>21</v>
      </c>
      <c r="H22" t="s">
        <v>188</v>
      </c>
    </row>
    <row r="23" spans="1:10">
      <c r="A23" s="4">
        <v>13</v>
      </c>
      <c r="B23" t="s">
        <v>267</v>
      </c>
      <c r="C23" s="4" t="s">
        <v>248</v>
      </c>
      <c r="D23" s="4">
        <v>2018</v>
      </c>
      <c r="E23" s="4"/>
      <c r="F23" s="4"/>
      <c r="G23" s="4" t="s">
        <v>40</v>
      </c>
      <c r="H23" t="s">
        <v>56</v>
      </c>
    </row>
    <row r="24" spans="1:10">
      <c r="A24" s="4">
        <v>14</v>
      </c>
      <c r="B24" s="1" t="s">
        <v>269</v>
      </c>
      <c r="C24" s="4" t="s">
        <v>248</v>
      </c>
      <c r="D24" s="4">
        <v>2018</v>
      </c>
      <c r="E24" s="10">
        <v>-22.332999999999998</v>
      </c>
      <c r="F24" s="10">
        <v>28.900300000000001</v>
      </c>
      <c r="G24" s="4" t="s">
        <v>40</v>
      </c>
      <c r="H24" t="s">
        <v>22</v>
      </c>
    </row>
    <row r="25" spans="1:10">
      <c r="A25" s="4">
        <v>21</v>
      </c>
      <c r="B25" t="s">
        <v>270</v>
      </c>
      <c r="C25" s="4" t="s">
        <v>248</v>
      </c>
      <c r="D25" s="5">
        <v>43265</v>
      </c>
      <c r="E25" s="4">
        <v>-22.385739999999998</v>
      </c>
      <c r="F25" s="4">
        <v>28.91534</v>
      </c>
      <c r="G25" s="4" t="s">
        <v>21</v>
      </c>
      <c r="H25" t="s">
        <v>26</v>
      </c>
    </row>
    <row r="26" spans="1:10">
      <c r="A26" s="4">
        <v>22</v>
      </c>
      <c r="B26" s="1" t="s">
        <v>271</v>
      </c>
      <c r="C26" s="4" t="s">
        <v>248</v>
      </c>
      <c r="D26" s="5">
        <v>43495</v>
      </c>
      <c r="E26" s="4">
        <v>-22.415849999999999</v>
      </c>
      <c r="F26" s="4">
        <v>28.42784</v>
      </c>
      <c r="G26" s="4" t="s">
        <v>40</v>
      </c>
      <c r="H26" t="s">
        <v>26</v>
      </c>
    </row>
    <row r="27" spans="1:10">
      <c r="A27" s="13">
        <v>25</v>
      </c>
      <c r="B27" t="s">
        <v>273</v>
      </c>
      <c r="C27" s="14" t="s">
        <v>248</v>
      </c>
      <c r="D27" s="15">
        <v>43507</v>
      </c>
      <c r="E27" s="13">
        <v>-22.328099999999999</v>
      </c>
      <c r="F27" s="13">
        <v>28.908999999999999</v>
      </c>
      <c r="G27" s="13" t="s">
        <v>40</v>
      </c>
      <c r="H27" s="14" t="s">
        <v>22</v>
      </c>
      <c r="I27" s="14" t="s">
        <v>274</v>
      </c>
      <c r="J27" s="14"/>
    </row>
    <row r="28" spans="1:10">
      <c r="A28" s="4">
        <v>28</v>
      </c>
      <c r="B28" s="1" t="s">
        <v>280</v>
      </c>
      <c r="C28" s="4" t="s">
        <v>248</v>
      </c>
      <c r="D28" s="5">
        <v>43628</v>
      </c>
      <c r="E28" s="4">
        <v>-22.337479999999999</v>
      </c>
      <c r="F28" s="4">
        <v>28.900259999999999</v>
      </c>
      <c r="G28" s="4" t="s">
        <v>21</v>
      </c>
      <c r="H28" t="s">
        <v>44</v>
      </c>
    </row>
    <row r="29" spans="1:10">
      <c r="A29" s="4">
        <v>31</v>
      </c>
      <c r="B29" t="s">
        <v>281</v>
      </c>
      <c r="C29" s="4" t="s">
        <v>248</v>
      </c>
      <c r="D29" s="5">
        <v>43678</v>
      </c>
      <c r="E29" s="4">
        <v>-22.3825</v>
      </c>
      <c r="F29" s="4">
        <v>28.963699999999999</v>
      </c>
      <c r="G29" s="4" t="s">
        <v>21</v>
      </c>
      <c r="H29" t="s">
        <v>72</v>
      </c>
      <c r="I29" t="s">
        <v>26</v>
      </c>
    </row>
    <row r="30" spans="1:10">
      <c r="A30" s="4">
        <v>33</v>
      </c>
      <c r="B30" s="1" t="s">
        <v>283</v>
      </c>
      <c r="C30" s="4" t="s">
        <v>248</v>
      </c>
      <c r="D30" s="5">
        <v>43679</v>
      </c>
      <c r="E30" s="4">
        <v>-22.371500000000001</v>
      </c>
      <c r="F30" s="4">
        <v>28.951599999999999</v>
      </c>
      <c r="G30" s="4" t="s">
        <v>21</v>
      </c>
      <c r="H30" t="s">
        <v>26</v>
      </c>
    </row>
    <row r="31" spans="1:10">
      <c r="A31" s="4">
        <v>34</v>
      </c>
      <c r="B31" t="s">
        <v>284</v>
      </c>
      <c r="C31" s="4" t="s">
        <v>248</v>
      </c>
      <c r="D31" s="5">
        <v>43706</v>
      </c>
      <c r="E31" s="4">
        <v>-22.353059999999999</v>
      </c>
      <c r="F31" s="4">
        <v>28.92069</v>
      </c>
      <c r="G31" s="4" t="s">
        <v>21</v>
      </c>
      <c r="H31" t="s">
        <v>26</v>
      </c>
      <c r="I31" t="s">
        <v>22</v>
      </c>
    </row>
    <row r="32" spans="1:10">
      <c r="A32" s="4">
        <v>65</v>
      </c>
      <c r="B32" s="1" t="s">
        <v>288</v>
      </c>
      <c r="C32" t="s">
        <v>248</v>
      </c>
      <c r="D32" s="5">
        <v>43732</v>
      </c>
      <c r="E32" s="4">
        <v>-22.354800000000001</v>
      </c>
      <c r="F32" s="4">
        <v>28.950399999999998</v>
      </c>
      <c r="G32" s="4" t="s">
        <v>21</v>
      </c>
      <c r="H32" t="s">
        <v>22</v>
      </c>
      <c r="I32" t="s">
        <v>26</v>
      </c>
    </row>
    <row r="33" spans="1:10">
      <c r="A33" s="4">
        <v>68</v>
      </c>
      <c r="B33" s="1" t="s">
        <v>285</v>
      </c>
      <c r="C33" t="s">
        <v>248</v>
      </c>
      <c r="D33" s="5">
        <v>43723</v>
      </c>
      <c r="E33" s="4">
        <v>-22.337800000000001</v>
      </c>
      <c r="F33" s="4">
        <v>28.8995</v>
      </c>
      <c r="G33" s="4" t="s">
        <v>21</v>
      </c>
      <c r="H33" t="s">
        <v>52</v>
      </c>
      <c r="I33" s="4"/>
      <c r="J33" s="4"/>
    </row>
    <row r="34" spans="1:10">
      <c r="A34" s="4">
        <v>71</v>
      </c>
      <c r="B34" t="s">
        <v>287</v>
      </c>
      <c r="C34" t="s">
        <v>248</v>
      </c>
      <c r="D34" s="5">
        <v>43734</v>
      </c>
      <c r="E34" s="4">
        <v>-22.340910000000001</v>
      </c>
      <c r="F34" s="4">
        <v>28.900670000000002</v>
      </c>
      <c r="G34" s="4" t="s">
        <v>21</v>
      </c>
      <c r="H34" t="s">
        <v>29</v>
      </c>
      <c r="I34" t="s">
        <v>26</v>
      </c>
    </row>
    <row r="35" spans="1:10">
      <c r="A35" s="4">
        <v>73</v>
      </c>
      <c r="B35" t="s">
        <v>289</v>
      </c>
      <c r="C35" t="s">
        <v>248</v>
      </c>
      <c r="D35" s="5">
        <v>43749</v>
      </c>
      <c r="E35" s="4">
        <v>-22.356100000000001</v>
      </c>
      <c r="F35" s="4">
        <v>28.9573</v>
      </c>
      <c r="G35" s="4" t="s">
        <v>21</v>
      </c>
      <c r="H35" t="s">
        <v>26</v>
      </c>
      <c r="I35" t="s">
        <v>22</v>
      </c>
    </row>
    <row r="36" spans="1:10">
      <c r="A36" s="4">
        <v>86</v>
      </c>
      <c r="B36" t="s">
        <v>247</v>
      </c>
      <c r="C36" t="s">
        <v>248</v>
      </c>
      <c r="D36" s="5">
        <v>43199</v>
      </c>
      <c r="E36" s="4">
        <v>-22.376429999999999</v>
      </c>
      <c r="F36" s="4">
        <v>28.969190000000001</v>
      </c>
      <c r="G36" s="4" t="s">
        <v>40</v>
      </c>
      <c r="H36" t="s">
        <v>22</v>
      </c>
    </row>
    <row r="37" spans="1:10">
      <c r="A37" s="4">
        <v>87</v>
      </c>
      <c r="B37" t="s">
        <v>249</v>
      </c>
      <c r="C37" t="s">
        <v>248</v>
      </c>
      <c r="D37" s="5">
        <v>43199</v>
      </c>
      <c r="E37" s="4">
        <v>-22.376429999999999</v>
      </c>
      <c r="F37" s="4">
        <v>28.969190000000001</v>
      </c>
      <c r="G37" s="4" t="s">
        <v>40</v>
      </c>
      <c r="H37" t="s">
        <v>22</v>
      </c>
      <c r="I37" t="s">
        <v>29</v>
      </c>
    </row>
    <row r="38" spans="1:10">
      <c r="A38" s="4">
        <v>88</v>
      </c>
      <c r="B38" t="s">
        <v>250</v>
      </c>
      <c r="C38" t="s">
        <v>248</v>
      </c>
      <c r="D38" s="5">
        <v>43207</v>
      </c>
      <c r="E38" s="4">
        <v>-22.376429999999999</v>
      </c>
      <c r="F38" s="4">
        <v>28.969190000000001</v>
      </c>
      <c r="G38" s="4" t="s">
        <v>40</v>
      </c>
      <c r="H38" t="s">
        <v>26</v>
      </c>
    </row>
    <row r="39" spans="1:10">
      <c r="A39" s="4">
        <v>89</v>
      </c>
      <c r="B39" t="s">
        <v>251</v>
      </c>
      <c r="C39" t="s">
        <v>248</v>
      </c>
      <c r="D39" s="5">
        <v>43210</v>
      </c>
      <c r="E39" s="4">
        <v>-22.339099999999998</v>
      </c>
      <c r="F39" s="4">
        <v>28.939789999999999</v>
      </c>
      <c r="G39" s="4" t="s">
        <v>40</v>
      </c>
      <c r="H39" t="s">
        <v>44</v>
      </c>
      <c r="I39" t="s">
        <v>22</v>
      </c>
    </row>
    <row r="40" spans="1:10">
      <c r="A40" s="4">
        <v>90</v>
      </c>
      <c r="B40" t="s">
        <v>252</v>
      </c>
      <c r="C40" t="s">
        <v>248</v>
      </c>
      <c r="D40" s="5">
        <v>43219</v>
      </c>
      <c r="E40" s="4">
        <v>-22.348189999999999</v>
      </c>
      <c r="F40" s="4">
        <v>28.905619999999999</v>
      </c>
      <c r="G40" s="4" t="s">
        <v>40</v>
      </c>
      <c r="H40" t="s">
        <v>44</v>
      </c>
      <c r="I40" t="s">
        <v>22</v>
      </c>
    </row>
    <row r="41" spans="1:10">
      <c r="A41" s="4">
        <v>91</v>
      </c>
      <c r="B41" t="s">
        <v>253</v>
      </c>
      <c r="C41" t="s">
        <v>248</v>
      </c>
      <c r="D41" s="5">
        <v>43262</v>
      </c>
      <c r="E41" s="4">
        <v>-22.42061</v>
      </c>
      <c r="F41" s="4">
        <v>28.93375</v>
      </c>
      <c r="G41" s="4" t="s">
        <v>88</v>
      </c>
      <c r="H41" t="s">
        <v>22</v>
      </c>
      <c r="I41" t="s">
        <v>29</v>
      </c>
      <c r="J41" t="s">
        <v>37</v>
      </c>
    </row>
    <row r="42" spans="1:10">
      <c r="A42" s="4">
        <v>92</v>
      </c>
      <c r="B42" t="s">
        <v>254</v>
      </c>
      <c r="C42" t="s">
        <v>248</v>
      </c>
      <c r="D42" s="5">
        <v>43264</v>
      </c>
      <c r="E42" s="4">
        <v>-22.398689999999998</v>
      </c>
      <c r="F42" s="4">
        <v>28.917850000000001</v>
      </c>
      <c r="G42" s="4" t="s">
        <v>88</v>
      </c>
      <c r="H42" t="s">
        <v>26</v>
      </c>
      <c r="I42" t="s">
        <v>22</v>
      </c>
    </row>
    <row r="43" spans="1:10">
      <c r="A43" s="4">
        <v>93</v>
      </c>
      <c r="B43" t="s">
        <v>255</v>
      </c>
      <c r="C43" t="s">
        <v>248</v>
      </c>
      <c r="D43" s="5">
        <v>43312</v>
      </c>
      <c r="E43" s="4">
        <v>-22.420639999999999</v>
      </c>
      <c r="F43" s="4">
        <v>28.933769999999999</v>
      </c>
      <c r="G43" s="4" t="s">
        <v>88</v>
      </c>
      <c r="H43" t="s">
        <v>37</v>
      </c>
      <c r="I43" t="s">
        <v>72</v>
      </c>
    </row>
    <row r="44" spans="1:10">
      <c r="A44" s="4">
        <v>94</v>
      </c>
      <c r="B44" t="s">
        <v>256</v>
      </c>
      <c r="C44" t="s">
        <v>248</v>
      </c>
      <c r="D44" s="5">
        <v>43382</v>
      </c>
      <c r="E44" s="4">
        <v>-22.343250000000001</v>
      </c>
      <c r="F44" s="4">
        <v>28.937539999999998</v>
      </c>
      <c r="G44" s="4" t="s">
        <v>88</v>
      </c>
      <c r="H44" t="s">
        <v>29</v>
      </c>
      <c r="I44" t="s">
        <v>45</v>
      </c>
      <c r="J44" t="s">
        <v>37</v>
      </c>
    </row>
    <row r="45" spans="1:10">
      <c r="A45" s="4">
        <v>95</v>
      </c>
      <c r="B45" t="s">
        <v>257</v>
      </c>
      <c r="C45" t="s">
        <v>248</v>
      </c>
      <c r="D45" s="5">
        <v>43377</v>
      </c>
      <c r="E45" s="4">
        <v>-22.37754</v>
      </c>
      <c r="F45" s="4">
        <v>28.969010000000001</v>
      </c>
      <c r="G45" s="4" t="s">
        <v>88</v>
      </c>
      <c r="H45" t="s">
        <v>26</v>
      </c>
      <c r="I45" t="s">
        <v>29</v>
      </c>
      <c r="J45" t="s">
        <v>44</v>
      </c>
    </row>
    <row r="46" spans="1:10">
      <c r="A46" s="4">
        <v>96</v>
      </c>
      <c r="B46" t="s">
        <v>258</v>
      </c>
      <c r="C46" t="s">
        <v>248</v>
      </c>
      <c r="D46" s="5">
        <v>43493</v>
      </c>
      <c r="E46" s="4"/>
      <c r="F46" s="4"/>
      <c r="G46" s="4" t="s">
        <v>40</v>
      </c>
      <c r="H46" t="s">
        <v>259</v>
      </c>
      <c r="I46" t="s">
        <v>260</v>
      </c>
    </row>
    <row r="47" spans="1:10">
      <c r="A47" s="4">
        <v>97</v>
      </c>
      <c r="B47" t="s">
        <v>261</v>
      </c>
      <c r="C47" t="s">
        <v>248</v>
      </c>
      <c r="D47" s="5">
        <v>43498</v>
      </c>
      <c r="E47" s="4">
        <v>-22.327400000000001</v>
      </c>
      <c r="F47" s="4">
        <v>28.9099</v>
      </c>
      <c r="G47" s="4" t="s">
        <v>40</v>
      </c>
      <c r="H47" t="s">
        <v>26</v>
      </c>
      <c r="I47" t="s">
        <v>29</v>
      </c>
    </row>
    <row r="48" spans="1:10">
      <c r="A48" s="4">
        <v>98</v>
      </c>
      <c r="B48" t="s">
        <v>262</v>
      </c>
      <c r="C48" t="s">
        <v>248</v>
      </c>
      <c r="D48" s="5">
        <v>43500</v>
      </c>
      <c r="E48" s="4">
        <v>-22.327400000000001</v>
      </c>
      <c r="F48" s="4">
        <v>28.9099</v>
      </c>
      <c r="G48" s="4" t="s">
        <v>40</v>
      </c>
      <c r="H48" t="s">
        <v>45</v>
      </c>
    </row>
    <row r="49" spans="1:10">
      <c r="A49" s="4">
        <v>99</v>
      </c>
      <c r="B49" t="s">
        <v>263</v>
      </c>
      <c r="C49" t="s">
        <v>248</v>
      </c>
      <c r="D49" s="5">
        <v>43515</v>
      </c>
      <c r="E49" s="4">
        <v>-22.327400000000001</v>
      </c>
      <c r="F49" s="4">
        <v>28.9099</v>
      </c>
      <c r="G49" s="4" t="s">
        <v>40</v>
      </c>
      <c r="H49" t="s">
        <v>29</v>
      </c>
      <c r="I49" t="s">
        <v>22</v>
      </c>
      <c r="J49" t="s">
        <v>264</v>
      </c>
    </row>
    <row r="50" spans="1:10">
      <c r="A50" s="4">
        <v>130</v>
      </c>
      <c r="B50" t="s">
        <v>290</v>
      </c>
      <c r="C50" t="s">
        <v>248</v>
      </c>
      <c r="D50" s="5">
        <v>43745</v>
      </c>
      <c r="E50" s="4">
        <v>-22.3367</v>
      </c>
      <c r="F50" s="4">
        <v>28.896100000000001</v>
      </c>
      <c r="G50" s="4" t="s">
        <v>88</v>
      </c>
      <c r="H50" t="s">
        <v>291</v>
      </c>
    </row>
    <row r="51" spans="1:10">
      <c r="A51" s="4">
        <v>158</v>
      </c>
      <c r="B51" t="s">
        <v>293</v>
      </c>
      <c r="C51" t="s">
        <v>294</v>
      </c>
      <c r="D51" s="5">
        <v>43801</v>
      </c>
      <c r="E51" s="4">
        <v>-22.360980000000001</v>
      </c>
      <c r="F51" s="4">
        <v>28.9008</v>
      </c>
      <c r="G51" s="4" t="s">
        <v>40</v>
      </c>
      <c r="H51" t="s">
        <v>26</v>
      </c>
    </row>
    <row r="52" spans="1:10">
      <c r="A52" s="4">
        <v>159</v>
      </c>
      <c r="B52" t="s">
        <v>295</v>
      </c>
      <c r="C52" t="s">
        <v>294</v>
      </c>
      <c r="D52" s="5">
        <v>43825</v>
      </c>
      <c r="E52" s="4">
        <v>-22.210429999999999</v>
      </c>
      <c r="F52" s="4">
        <v>28.548169999999999</v>
      </c>
      <c r="G52" s="4" t="s">
        <v>40</v>
      </c>
      <c r="H52" t="s">
        <v>26</v>
      </c>
      <c r="I52" t="s">
        <v>49</v>
      </c>
    </row>
    <row r="53" spans="1:10">
      <c r="A53" s="4">
        <v>162</v>
      </c>
      <c r="B53" t="s">
        <v>297</v>
      </c>
      <c r="C53" t="s">
        <v>294</v>
      </c>
      <c r="D53" s="5">
        <v>43841</v>
      </c>
      <c r="E53" s="4">
        <v>-22.347100000000001</v>
      </c>
      <c r="F53" s="4">
        <v>28.957699999999999</v>
      </c>
      <c r="G53" s="4" t="s">
        <v>40</v>
      </c>
      <c r="H53" t="s">
        <v>26</v>
      </c>
    </row>
    <row r="54" spans="1:10">
      <c r="A54" s="4">
        <v>163</v>
      </c>
      <c r="B54" t="s">
        <v>298</v>
      </c>
      <c r="C54" s="16" t="s">
        <v>294</v>
      </c>
      <c r="D54" s="17">
        <v>43841</v>
      </c>
      <c r="E54" s="18">
        <v>-22.355899999999998</v>
      </c>
      <c r="F54" s="18">
        <v>28.945499999999999</v>
      </c>
      <c r="G54" s="4" t="s">
        <v>40</v>
      </c>
      <c r="H54" s="16" t="s">
        <v>44</v>
      </c>
      <c r="I54" s="16"/>
      <c r="J54" s="16"/>
    </row>
    <row r="55" spans="1:10">
      <c r="A55" s="4">
        <v>164</v>
      </c>
      <c r="B55" t="s">
        <v>300</v>
      </c>
      <c r="C55" t="s">
        <v>294</v>
      </c>
      <c r="D55" s="5">
        <v>43842</v>
      </c>
      <c r="E55" s="4">
        <v>-22.4026</v>
      </c>
      <c r="F55" s="4">
        <v>28.922499999999999</v>
      </c>
      <c r="G55" s="4" t="s">
        <v>40</v>
      </c>
      <c r="H55" t="s">
        <v>37</v>
      </c>
    </row>
    <row r="56" spans="1:10">
      <c r="A56" s="4">
        <v>165</v>
      </c>
      <c r="B56" t="s">
        <v>302</v>
      </c>
      <c r="C56" t="s">
        <v>294</v>
      </c>
      <c r="D56" s="5">
        <v>43845</v>
      </c>
      <c r="E56" s="4">
        <v>-22.321899999999999</v>
      </c>
      <c r="F56" s="4">
        <v>28.883400000000002</v>
      </c>
      <c r="G56" s="4" t="s">
        <v>40</v>
      </c>
      <c r="H56" t="s">
        <v>26</v>
      </c>
    </row>
    <row r="57" spans="1:10">
      <c r="A57" s="4">
        <v>167</v>
      </c>
      <c r="B57" t="s">
        <v>303</v>
      </c>
      <c r="C57" t="s">
        <v>294</v>
      </c>
      <c r="D57" s="5">
        <v>43852</v>
      </c>
      <c r="E57" s="4"/>
      <c r="F57" s="4"/>
      <c r="G57" s="4" t="s">
        <v>40</v>
      </c>
      <c r="H57" t="s">
        <v>22</v>
      </c>
    </row>
    <row r="58" spans="1:10">
      <c r="A58" s="4">
        <v>179</v>
      </c>
      <c r="B58" t="s">
        <v>304</v>
      </c>
      <c r="C58" t="s">
        <v>294</v>
      </c>
      <c r="D58" s="5">
        <v>43881</v>
      </c>
      <c r="E58" s="4"/>
      <c r="F58" s="4"/>
      <c r="G58" s="4" t="s">
        <v>40</v>
      </c>
      <c r="H58" t="s">
        <v>29</v>
      </c>
    </row>
    <row r="59" spans="1:10">
      <c r="A59" s="4">
        <v>183</v>
      </c>
      <c r="B59" t="s">
        <v>305</v>
      </c>
      <c r="C59" t="s">
        <v>294</v>
      </c>
      <c r="D59" s="5">
        <v>43881</v>
      </c>
      <c r="E59" s="4"/>
      <c r="F59" s="4"/>
      <c r="G59" s="4" t="s">
        <v>40</v>
      </c>
      <c r="H59" t="s">
        <v>26</v>
      </c>
      <c r="I59" t="s">
        <v>242</v>
      </c>
    </row>
    <row r="60" spans="1:10">
      <c r="A60" s="4">
        <v>184</v>
      </c>
      <c r="B60" t="s">
        <v>306</v>
      </c>
      <c r="C60" t="s">
        <v>294</v>
      </c>
      <c r="D60" s="5">
        <v>43875</v>
      </c>
      <c r="E60" s="4"/>
      <c r="F60" s="4"/>
      <c r="G60" s="4" t="s">
        <v>40</v>
      </c>
      <c r="H60" t="s">
        <v>45</v>
      </c>
      <c r="I60" t="s">
        <v>22</v>
      </c>
    </row>
    <row r="61" spans="1:10">
      <c r="A61" s="4">
        <v>185</v>
      </c>
      <c r="B61" t="s">
        <v>307</v>
      </c>
      <c r="C61" t="s">
        <v>294</v>
      </c>
      <c r="D61" s="4">
        <v>2020</v>
      </c>
      <c r="E61" s="4"/>
      <c r="F61" s="4"/>
      <c r="G61" s="4" t="s">
        <v>88</v>
      </c>
      <c r="H61" t="s">
        <v>26</v>
      </c>
      <c r="I61" t="s">
        <v>22</v>
      </c>
    </row>
    <row r="62" spans="1:10">
      <c r="A62" s="4">
        <v>186</v>
      </c>
      <c r="B62" t="s">
        <v>308</v>
      </c>
      <c r="C62" t="s">
        <v>294</v>
      </c>
      <c r="D62" s="4">
        <v>2020</v>
      </c>
      <c r="E62" s="4"/>
      <c r="F62" s="4"/>
      <c r="G62" s="4" t="s">
        <v>88</v>
      </c>
      <c r="H62" t="s">
        <v>29</v>
      </c>
      <c r="I62" t="s">
        <v>26</v>
      </c>
    </row>
    <row r="63" spans="1:10">
      <c r="A63" s="4">
        <v>187</v>
      </c>
      <c r="B63" t="s">
        <v>309</v>
      </c>
      <c r="C63" t="s">
        <v>294</v>
      </c>
      <c r="D63" s="4">
        <v>2020</v>
      </c>
      <c r="E63" s="4"/>
      <c r="F63" s="4"/>
      <c r="G63" s="4" t="s">
        <v>88</v>
      </c>
      <c r="H63" t="s">
        <v>29</v>
      </c>
    </row>
    <row r="64" spans="1:10">
      <c r="A64" s="4">
        <v>188</v>
      </c>
      <c r="B64" t="s">
        <v>310</v>
      </c>
      <c r="C64" t="s">
        <v>294</v>
      </c>
      <c r="D64" s="4">
        <v>2020</v>
      </c>
      <c r="E64" s="4"/>
      <c r="F64" s="4"/>
      <c r="G64" s="4" t="s">
        <v>88</v>
      </c>
      <c r="H64" t="s">
        <v>44</v>
      </c>
    </row>
    <row r="65" spans="1:9">
      <c r="A65" s="4">
        <v>189</v>
      </c>
      <c r="B65" t="s">
        <v>311</v>
      </c>
      <c r="C65" t="s">
        <v>294</v>
      </c>
      <c r="D65" s="4">
        <v>2020</v>
      </c>
      <c r="E65" s="4"/>
      <c r="F65" s="4"/>
      <c r="G65" s="4" t="s">
        <v>88</v>
      </c>
      <c r="H65" t="s">
        <v>26</v>
      </c>
      <c r="I65" t="s">
        <v>29</v>
      </c>
    </row>
    <row r="66" spans="1:9">
      <c r="A66" s="4">
        <v>190</v>
      </c>
      <c r="B66" t="s">
        <v>312</v>
      </c>
      <c r="C66" t="s">
        <v>294</v>
      </c>
      <c r="D66" s="4">
        <v>2020</v>
      </c>
      <c r="E66" s="4"/>
      <c r="F66" s="4"/>
      <c r="G66" s="4" t="s">
        <v>88</v>
      </c>
      <c r="H66" t="s">
        <v>29</v>
      </c>
    </row>
    <row r="67" spans="1:9">
      <c r="A67" s="4">
        <v>191</v>
      </c>
      <c r="B67" t="s">
        <v>313</v>
      </c>
      <c r="C67" t="s">
        <v>294</v>
      </c>
      <c r="D67" s="4">
        <v>2020</v>
      </c>
      <c r="E67" s="4"/>
      <c r="F67" s="4"/>
      <c r="G67" s="4" t="s">
        <v>88</v>
      </c>
      <c r="H67" t="s">
        <v>29</v>
      </c>
    </row>
    <row r="68" spans="1:9">
      <c r="A68" s="4">
        <v>192</v>
      </c>
      <c r="B68" t="s">
        <v>314</v>
      </c>
      <c r="C68" t="s">
        <v>294</v>
      </c>
      <c r="D68" s="4">
        <v>2020</v>
      </c>
      <c r="E68" s="4"/>
      <c r="F68" s="4"/>
      <c r="G68" s="4" t="s">
        <v>88</v>
      </c>
      <c r="H68" t="s">
        <v>26</v>
      </c>
      <c r="I68" t="s">
        <v>44</v>
      </c>
    </row>
    <row r="69" spans="1:9">
      <c r="A69" s="4">
        <v>208</v>
      </c>
      <c r="B69" t="s">
        <v>315</v>
      </c>
      <c r="C69" t="s">
        <v>294</v>
      </c>
      <c r="D69" s="4">
        <v>2020</v>
      </c>
      <c r="E69" s="4"/>
      <c r="F69" s="4"/>
      <c r="G69" s="4" t="s">
        <v>142</v>
      </c>
      <c r="H69" t="s">
        <v>37</v>
      </c>
    </row>
    <row r="70" spans="1:9">
      <c r="A70" s="4">
        <v>209</v>
      </c>
      <c r="B70" t="s">
        <v>316</v>
      </c>
      <c r="C70" t="s">
        <v>294</v>
      </c>
      <c r="D70" s="4">
        <v>2020</v>
      </c>
      <c r="E70" s="4"/>
      <c r="F70" s="4"/>
      <c r="G70" s="4" t="s">
        <v>40</v>
      </c>
      <c r="H70" t="s">
        <v>22</v>
      </c>
    </row>
    <row r="71" spans="1:9">
      <c r="A71" s="4">
        <v>210</v>
      </c>
      <c r="B71" t="s">
        <v>317</v>
      </c>
      <c r="C71" t="s">
        <v>294</v>
      </c>
      <c r="D71" s="4">
        <v>2020</v>
      </c>
      <c r="E71" s="4"/>
      <c r="F71" s="4"/>
      <c r="G71" s="4" t="s">
        <v>88</v>
      </c>
      <c r="H71" t="s">
        <v>44</v>
      </c>
      <c r="I71" t="s">
        <v>117</v>
      </c>
    </row>
    <row r="72" spans="1:9">
      <c r="A72" s="4">
        <v>222</v>
      </c>
      <c r="B72" t="s">
        <v>318</v>
      </c>
      <c r="C72" t="s">
        <v>294</v>
      </c>
      <c r="D72" s="5">
        <v>43915</v>
      </c>
      <c r="E72" s="4"/>
      <c r="F72" s="4"/>
      <c r="G72" s="4" t="s">
        <v>88</v>
      </c>
      <c r="H72" t="s">
        <v>26</v>
      </c>
    </row>
    <row r="73" spans="1:9">
      <c r="A73" s="4">
        <v>223</v>
      </c>
      <c r="B73" t="s">
        <v>319</v>
      </c>
      <c r="C73" t="s">
        <v>294</v>
      </c>
      <c r="D73" s="4">
        <v>2020</v>
      </c>
      <c r="E73" s="4"/>
      <c r="F73" s="4"/>
      <c r="G73" s="4" t="s">
        <v>88</v>
      </c>
      <c r="H73" t="s">
        <v>44</v>
      </c>
      <c r="I73" t="s">
        <v>37</v>
      </c>
    </row>
    <row r="74" spans="1:9">
      <c r="A74" s="4">
        <v>224</v>
      </c>
      <c r="B74" t="s">
        <v>320</v>
      </c>
      <c r="C74" t="s">
        <v>294</v>
      </c>
      <c r="D74" s="5">
        <v>43913</v>
      </c>
      <c r="E74" s="4"/>
      <c r="F74" s="4"/>
      <c r="G74" s="4" t="s">
        <v>40</v>
      </c>
      <c r="H74" t="s">
        <v>29</v>
      </c>
      <c r="I74" t="s">
        <v>44</v>
      </c>
    </row>
    <row r="75" spans="1:9">
      <c r="A75" s="4">
        <v>225</v>
      </c>
      <c r="B75" t="s">
        <v>321</v>
      </c>
      <c r="C75" t="s">
        <v>294</v>
      </c>
      <c r="D75" s="4">
        <v>2020</v>
      </c>
      <c r="E75" s="4"/>
      <c r="F75" s="4"/>
      <c r="G75" s="4" t="s">
        <v>40</v>
      </c>
      <c r="H75" t="s">
        <v>26</v>
      </c>
    </row>
    <row r="76" spans="1:9">
      <c r="A76" s="4">
        <v>226</v>
      </c>
      <c r="B76" t="s">
        <v>322</v>
      </c>
      <c r="C76" t="s">
        <v>294</v>
      </c>
      <c r="D76" s="5">
        <v>2020</v>
      </c>
      <c r="E76" s="4"/>
      <c r="F76" s="4"/>
      <c r="G76" s="4" t="s">
        <v>40</v>
      </c>
      <c r="H76" t="s">
        <v>44</v>
      </c>
    </row>
    <row r="77" spans="1:9">
      <c r="A77" s="4">
        <v>227</v>
      </c>
      <c r="B77" t="s">
        <v>323</v>
      </c>
      <c r="C77" t="s">
        <v>294</v>
      </c>
      <c r="D77" s="4">
        <v>2020</v>
      </c>
      <c r="E77" s="4"/>
      <c r="F77" s="4"/>
      <c r="G77" s="4" t="s">
        <v>40</v>
      </c>
      <c r="H77" t="s">
        <v>22</v>
      </c>
    </row>
    <row r="78" spans="1:9">
      <c r="A78" s="4">
        <v>228</v>
      </c>
      <c r="B78" t="s">
        <v>324</v>
      </c>
      <c r="C78" t="s">
        <v>294</v>
      </c>
      <c r="D78" s="4">
        <v>2020</v>
      </c>
      <c r="E78" s="4"/>
      <c r="F78" s="4"/>
      <c r="G78" s="4" t="s">
        <v>21</v>
      </c>
      <c r="H78" t="s">
        <v>44</v>
      </c>
    </row>
  </sheetData>
  <autoFilter ref="A18:J78" xr:uid="{1CDD15D2-FBA1-AC40-8EB1-D579AD7762C2}"/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4552B-99C4-2046-9AB7-AB2B2722000A}">
  <dimension ref="A1:I91"/>
  <sheetViews>
    <sheetView workbookViewId="0">
      <selection activeCell="H2" sqref="H2:H15"/>
    </sheetView>
  </sheetViews>
  <sheetFormatPr defaultColWidth="11.42578125" defaultRowHeight="15"/>
  <sheetData>
    <row r="1" spans="1:8" ht="15.95">
      <c r="A1" s="23" t="s">
        <v>354</v>
      </c>
      <c r="D1" s="22" t="s">
        <v>355</v>
      </c>
      <c r="G1" s="21" t="s">
        <v>356</v>
      </c>
    </row>
    <row r="2" spans="1:8">
      <c r="A2" s="4" t="s">
        <v>30</v>
      </c>
      <c r="B2">
        <f>COUNTIF(H18:I91, "bushbuck")</f>
        <v>5</v>
      </c>
      <c r="D2" s="4" t="s">
        <v>30</v>
      </c>
      <c r="E2">
        <v>4</v>
      </c>
      <c r="G2" s="4" t="s">
        <v>30</v>
      </c>
      <c r="H2">
        <v>1</v>
      </c>
    </row>
    <row r="3" spans="1:8">
      <c r="A3" t="s">
        <v>38</v>
      </c>
      <c r="B3">
        <f>COUNTIF(H18:I91, "donkey")</f>
        <v>5</v>
      </c>
      <c r="D3" t="s">
        <v>38</v>
      </c>
      <c r="E3">
        <v>1</v>
      </c>
      <c r="G3" t="s">
        <v>38</v>
      </c>
      <c r="H3">
        <v>4</v>
      </c>
    </row>
    <row r="4" spans="1:8">
      <c r="A4" t="s">
        <v>42</v>
      </c>
      <c r="B4">
        <f>COUNTIF(H18:I91, "duiker")</f>
        <v>2</v>
      </c>
      <c r="D4" t="s">
        <v>42</v>
      </c>
      <c r="E4">
        <v>1</v>
      </c>
      <c r="G4" t="s">
        <v>42</v>
      </c>
      <c r="H4">
        <v>1</v>
      </c>
    </row>
    <row r="5" spans="1:8">
      <c r="A5" s="4" t="s">
        <v>57</v>
      </c>
      <c r="B5">
        <v>40</v>
      </c>
      <c r="D5" s="4" t="s">
        <v>57</v>
      </c>
      <c r="E5">
        <v>11</v>
      </c>
      <c r="G5" s="4" t="s">
        <v>57</v>
      </c>
      <c r="H5">
        <v>29</v>
      </c>
    </row>
    <row r="6" spans="1:8">
      <c r="A6" t="s">
        <v>60</v>
      </c>
      <c r="B6">
        <f>COUNTIF(H18:I91, "klipspringer")</f>
        <v>1</v>
      </c>
      <c r="D6" t="s">
        <v>60</v>
      </c>
      <c r="E6">
        <v>0</v>
      </c>
      <c r="G6" t="s">
        <v>60</v>
      </c>
      <c r="H6">
        <v>1</v>
      </c>
    </row>
    <row r="7" spans="1:8">
      <c r="A7" t="s">
        <v>62</v>
      </c>
      <c r="B7">
        <f>COUNTIF(H18:I91, "kudu")</f>
        <v>10</v>
      </c>
      <c r="D7" t="s">
        <v>62</v>
      </c>
      <c r="E7">
        <v>4</v>
      </c>
      <c r="G7" t="s">
        <v>62</v>
      </c>
      <c r="H7">
        <v>6</v>
      </c>
    </row>
    <row r="8" spans="1:8">
      <c r="A8" t="s">
        <v>68</v>
      </c>
      <c r="B8">
        <f>COUNTIF(H18:I91, "rock hyrax")</f>
        <v>3</v>
      </c>
      <c r="D8" t="s">
        <v>68</v>
      </c>
      <c r="E8">
        <v>1</v>
      </c>
      <c r="G8" t="s">
        <v>68</v>
      </c>
      <c r="H8">
        <v>2</v>
      </c>
    </row>
    <row r="9" spans="1:8">
      <c r="A9" t="s">
        <v>65</v>
      </c>
      <c r="B9">
        <f>COUNTIF(H18:I91, "sheep")</f>
        <v>1</v>
      </c>
      <c r="D9" t="s">
        <v>65</v>
      </c>
      <c r="E9">
        <v>0</v>
      </c>
      <c r="G9" t="s">
        <v>65</v>
      </c>
      <c r="H9">
        <v>1</v>
      </c>
    </row>
    <row r="10" spans="1:8">
      <c r="A10" t="s">
        <v>70</v>
      </c>
      <c r="B10">
        <v>1</v>
      </c>
      <c r="D10" t="s">
        <v>70</v>
      </c>
      <c r="E10">
        <v>0</v>
      </c>
      <c r="G10" t="s">
        <v>70</v>
      </c>
      <c r="H10">
        <v>1</v>
      </c>
    </row>
    <row r="11" spans="1:8">
      <c r="A11" t="s">
        <v>75</v>
      </c>
      <c r="B11">
        <v>1</v>
      </c>
      <c r="D11" t="s">
        <v>75</v>
      </c>
      <c r="E11">
        <v>1</v>
      </c>
      <c r="G11" t="s">
        <v>75</v>
      </c>
      <c r="H11">
        <v>0</v>
      </c>
    </row>
    <row r="12" spans="1:8">
      <c r="A12" t="s">
        <v>78</v>
      </c>
      <c r="B12">
        <f>COUNTIF(H18:I91, "waterbuck")</f>
        <v>14</v>
      </c>
      <c r="D12" t="s">
        <v>78</v>
      </c>
      <c r="E12">
        <v>5</v>
      </c>
      <c r="G12" t="s">
        <v>78</v>
      </c>
      <c r="H12">
        <v>9</v>
      </c>
    </row>
    <row r="13" spans="1:8">
      <c r="A13" t="s">
        <v>73</v>
      </c>
      <c r="B13">
        <f>COUNTIF(H18:I91, "wildebeest")</f>
        <v>8</v>
      </c>
      <c r="D13" t="s">
        <v>73</v>
      </c>
      <c r="E13">
        <v>2</v>
      </c>
      <c r="G13" t="s">
        <v>73</v>
      </c>
      <c r="H13">
        <v>6</v>
      </c>
    </row>
    <row r="14" spans="1:8">
      <c r="A14" t="s">
        <v>80</v>
      </c>
      <c r="B14">
        <f>COUNTIF(H18:I91, "*zebra*")</f>
        <v>22</v>
      </c>
      <c r="D14" t="s">
        <v>80</v>
      </c>
      <c r="E14">
        <v>7</v>
      </c>
      <c r="G14" t="s">
        <v>80</v>
      </c>
      <c r="H14">
        <v>15</v>
      </c>
    </row>
    <row r="15" spans="1:8">
      <c r="A15" t="s">
        <v>357</v>
      </c>
      <c r="B15">
        <f>SUM(B2:B14)</f>
        <v>113</v>
      </c>
      <c r="D15" t="s">
        <v>357</v>
      </c>
      <c r="E15">
        <f>SUM(E2:E14)</f>
        <v>37</v>
      </c>
      <c r="G15" t="s">
        <v>357</v>
      </c>
      <c r="H15">
        <f>SUM(H2:H14)</f>
        <v>76</v>
      </c>
    </row>
    <row r="17" spans="1:9">
      <c r="A17" s="1" t="s">
        <v>0</v>
      </c>
      <c r="B17" s="1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</row>
    <row r="18" spans="1:9">
      <c r="A18" s="4">
        <v>3</v>
      </c>
      <c r="B18" t="s">
        <v>54</v>
      </c>
      <c r="C18" s="4" t="s">
        <v>20</v>
      </c>
      <c r="D18" s="5">
        <v>43617</v>
      </c>
      <c r="E18" s="8" t="s">
        <v>55</v>
      </c>
      <c r="F18" s="4">
        <v>28.467120000000001</v>
      </c>
      <c r="G18" s="4" t="s">
        <v>21</v>
      </c>
      <c r="H18" s="4" t="s">
        <v>44</v>
      </c>
      <c r="I18" s="4" t="s">
        <v>56</v>
      </c>
    </row>
    <row r="19" spans="1:9">
      <c r="A19" s="4">
        <v>7</v>
      </c>
      <c r="B19" t="s">
        <v>19</v>
      </c>
      <c r="C19" s="4" t="s">
        <v>20</v>
      </c>
      <c r="D19" s="5">
        <v>43355</v>
      </c>
      <c r="E19" s="4">
        <v>-22.371300000000002</v>
      </c>
      <c r="F19" s="4">
        <v>28.968209999999999</v>
      </c>
      <c r="G19" s="4" t="s">
        <v>21</v>
      </c>
      <c r="H19" t="s">
        <v>22</v>
      </c>
    </row>
    <row r="20" spans="1:9">
      <c r="A20" s="4">
        <v>9</v>
      </c>
      <c r="B20" s="4" t="s">
        <v>25</v>
      </c>
      <c r="C20" s="4" t="s">
        <v>20</v>
      </c>
      <c r="D20" s="5">
        <v>43355</v>
      </c>
      <c r="E20" s="4">
        <v>-22.367619999999999</v>
      </c>
      <c r="F20" s="10">
        <v>28.967400000000001</v>
      </c>
      <c r="G20" s="4" t="s">
        <v>21</v>
      </c>
      <c r="H20" t="s">
        <v>22</v>
      </c>
      <c r="I20" t="s">
        <v>26</v>
      </c>
    </row>
    <row r="21" spans="1:9">
      <c r="A21" s="4">
        <v>12</v>
      </c>
      <c r="B21" t="s">
        <v>28</v>
      </c>
      <c r="C21" s="4" t="s">
        <v>20</v>
      </c>
      <c r="D21" s="5">
        <v>43357</v>
      </c>
      <c r="E21" s="4">
        <v>-22.359120000000001</v>
      </c>
      <c r="F21" s="4">
        <v>28.939859999999999</v>
      </c>
      <c r="G21" s="4" t="s">
        <v>21</v>
      </c>
      <c r="H21" t="s">
        <v>29</v>
      </c>
      <c r="I21" s="4" t="s">
        <v>26</v>
      </c>
    </row>
    <row r="22" spans="1:9">
      <c r="A22" s="4">
        <v>16</v>
      </c>
      <c r="B22" t="s">
        <v>31</v>
      </c>
      <c r="C22" s="4" t="s">
        <v>20</v>
      </c>
      <c r="D22" s="5">
        <v>43368</v>
      </c>
      <c r="E22" s="4">
        <v>-22.365320000000001</v>
      </c>
      <c r="F22" s="4">
        <v>28.907150000000001</v>
      </c>
      <c r="G22" s="4" t="s">
        <v>21</v>
      </c>
      <c r="H22" t="s">
        <v>22</v>
      </c>
      <c r="I22" t="s">
        <v>26</v>
      </c>
    </row>
    <row r="23" spans="1:9">
      <c r="A23" s="4">
        <v>19</v>
      </c>
      <c r="B23" t="s">
        <v>33</v>
      </c>
      <c r="C23" s="4" t="s">
        <v>20</v>
      </c>
      <c r="D23" s="5">
        <v>43404</v>
      </c>
      <c r="E23" s="4">
        <v>-22.33775</v>
      </c>
      <c r="F23" s="10">
        <v>28.934999999999999</v>
      </c>
      <c r="G23" s="4" t="s">
        <v>21</v>
      </c>
      <c r="H23" t="s">
        <v>26</v>
      </c>
    </row>
    <row r="24" spans="1:9">
      <c r="A24" s="4">
        <v>20</v>
      </c>
      <c r="B24" s="1" t="s">
        <v>36</v>
      </c>
      <c r="C24" t="s">
        <v>20</v>
      </c>
      <c r="D24" s="5">
        <v>43409</v>
      </c>
      <c r="E24" s="4">
        <v>-22.36524</v>
      </c>
      <c r="F24" s="4">
        <v>28.967120000000001</v>
      </c>
      <c r="G24" s="4" t="s">
        <v>21</v>
      </c>
      <c r="H24" t="s">
        <v>37</v>
      </c>
      <c r="I24" t="s">
        <v>26</v>
      </c>
    </row>
    <row r="25" spans="1:9">
      <c r="A25" s="4">
        <v>24</v>
      </c>
      <c r="B25" t="s">
        <v>39</v>
      </c>
      <c r="C25" s="4" t="s">
        <v>20</v>
      </c>
      <c r="D25" s="5">
        <v>43499</v>
      </c>
      <c r="E25" s="4">
        <v>-22.373169999999998</v>
      </c>
      <c r="F25" s="4">
        <v>28.967040000000001</v>
      </c>
      <c r="G25" s="4" t="s">
        <v>40</v>
      </c>
      <c r="H25" t="s">
        <v>26</v>
      </c>
    </row>
    <row r="26" spans="1:9">
      <c r="A26" s="4">
        <v>26</v>
      </c>
      <c r="B26" t="s">
        <v>43</v>
      </c>
      <c r="C26" s="4" t="s">
        <v>20</v>
      </c>
      <c r="D26" s="5">
        <v>43508</v>
      </c>
      <c r="E26" s="4">
        <v>-22.38776</v>
      </c>
      <c r="F26" s="4">
        <v>28.941939999999999</v>
      </c>
      <c r="G26" s="4" t="s">
        <v>40</v>
      </c>
      <c r="H26" t="s">
        <v>44</v>
      </c>
      <c r="I26" t="s">
        <v>45</v>
      </c>
    </row>
    <row r="27" spans="1:9">
      <c r="A27" s="4">
        <v>29</v>
      </c>
      <c r="B27" t="s">
        <v>48</v>
      </c>
      <c r="C27" s="4" t="s">
        <v>20</v>
      </c>
      <c r="D27" s="12">
        <v>43497</v>
      </c>
      <c r="E27" s="4">
        <v>-22.38317</v>
      </c>
      <c r="F27" s="4">
        <v>28.968530000000001</v>
      </c>
      <c r="G27" s="4" t="s">
        <v>40</v>
      </c>
      <c r="H27" t="s">
        <v>26</v>
      </c>
      <c r="I27" t="s">
        <v>49</v>
      </c>
    </row>
    <row r="28" spans="1:9">
      <c r="A28" s="4">
        <v>32</v>
      </c>
      <c r="B28" t="s">
        <v>51</v>
      </c>
      <c r="C28" s="4" t="s">
        <v>20</v>
      </c>
      <c r="D28" s="5">
        <v>43581</v>
      </c>
      <c r="E28" s="4">
        <v>-23.36262</v>
      </c>
      <c r="F28" s="4">
        <v>28.96733</v>
      </c>
      <c r="G28" s="4" t="s">
        <v>40</v>
      </c>
      <c r="H28" t="s">
        <v>52</v>
      </c>
      <c r="I28" t="s">
        <v>26</v>
      </c>
    </row>
    <row r="29" spans="1:9">
      <c r="A29" s="4">
        <v>35</v>
      </c>
      <c r="B29" s="1" t="s">
        <v>58</v>
      </c>
      <c r="C29" t="s">
        <v>20</v>
      </c>
      <c r="D29" s="5">
        <v>43617</v>
      </c>
      <c r="E29" s="4">
        <v>-22.379549999999998</v>
      </c>
      <c r="F29" s="4">
        <v>28.96686</v>
      </c>
      <c r="G29" s="4" t="s">
        <v>21</v>
      </c>
      <c r="H29" t="s">
        <v>22</v>
      </c>
    </row>
    <row r="30" spans="1:9">
      <c r="A30" s="4">
        <v>36</v>
      </c>
      <c r="B30" t="s">
        <v>61</v>
      </c>
      <c r="C30" s="4" t="s">
        <v>20</v>
      </c>
      <c r="D30" s="5">
        <v>43681</v>
      </c>
      <c r="E30" s="4">
        <v>-22.3307</v>
      </c>
      <c r="F30" s="4">
        <v>28.929600000000001</v>
      </c>
      <c r="G30" s="4" t="s">
        <v>21</v>
      </c>
      <c r="H30" t="s">
        <v>26</v>
      </c>
    </row>
    <row r="31" spans="1:9">
      <c r="A31" s="4">
        <v>37</v>
      </c>
      <c r="B31" t="s">
        <v>63</v>
      </c>
      <c r="C31" s="4" t="s">
        <v>20</v>
      </c>
      <c r="D31" s="5">
        <v>43681</v>
      </c>
      <c r="E31" s="4">
        <v>-22.3292</v>
      </c>
      <c r="F31" s="4">
        <v>28.928100000000001</v>
      </c>
      <c r="G31" s="4" t="s">
        <v>21</v>
      </c>
      <c r="H31" t="s">
        <v>26</v>
      </c>
      <c r="I31" t="s">
        <v>52</v>
      </c>
    </row>
    <row r="32" spans="1:9">
      <c r="A32" s="4">
        <v>38</v>
      </c>
      <c r="B32" t="s">
        <v>66</v>
      </c>
      <c r="C32" s="4" t="s">
        <v>20</v>
      </c>
      <c r="D32" s="5">
        <v>43682</v>
      </c>
      <c r="E32" s="4">
        <v>-22.214020000000001</v>
      </c>
      <c r="F32" s="4">
        <v>28.537649999999999</v>
      </c>
      <c r="G32" s="4" t="s">
        <v>21</v>
      </c>
      <c r="H32" t="s">
        <v>26</v>
      </c>
      <c r="I32" t="s">
        <v>22</v>
      </c>
    </row>
    <row r="33" spans="1:9">
      <c r="A33" s="4">
        <v>39</v>
      </c>
      <c r="B33" t="s">
        <v>69</v>
      </c>
      <c r="C33" s="4" t="s">
        <v>20</v>
      </c>
      <c r="D33" s="5">
        <v>43692</v>
      </c>
      <c r="E33" s="4">
        <v>-22.35427</v>
      </c>
      <c r="F33" s="4">
        <v>28.93347</v>
      </c>
      <c r="G33" s="4" t="s">
        <v>21</v>
      </c>
      <c r="H33" t="s">
        <v>26</v>
      </c>
      <c r="I33" t="s">
        <v>22</v>
      </c>
    </row>
    <row r="34" spans="1:9">
      <c r="A34" s="4">
        <v>40</v>
      </c>
      <c r="B34" s="1" t="s">
        <v>71</v>
      </c>
      <c r="C34" s="4" t="s">
        <v>20</v>
      </c>
      <c r="D34" s="5">
        <v>43692</v>
      </c>
      <c r="E34" s="4">
        <v>-22.399650000000001</v>
      </c>
      <c r="F34" s="4">
        <v>28.92051</v>
      </c>
      <c r="G34" s="4" t="s">
        <v>21</v>
      </c>
      <c r="H34" t="s">
        <v>72</v>
      </c>
    </row>
    <row r="35" spans="1:9">
      <c r="A35" s="4">
        <v>41</v>
      </c>
      <c r="B35" t="s">
        <v>74</v>
      </c>
      <c r="C35" s="4" t="s">
        <v>20</v>
      </c>
      <c r="D35" s="5">
        <v>43705</v>
      </c>
      <c r="E35" s="4">
        <v>-22.361560000000001</v>
      </c>
      <c r="F35" s="4">
        <v>28.966629999999999</v>
      </c>
      <c r="G35" s="4" t="s">
        <v>21</v>
      </c>
      <c r="H35" t="s">
        <v>22</v>
      </c>
    </row>
    <row r="36" spans="1:9">
      <c r="A36" s="4">
        <v>42</v>
      </c>
      <c r="B36" t="s">
        <v>76</v>
      </c>
      <c r="C36" s="4" t="s">
        <v>20</v>
      </c>
      <c r="D36" s="5">
        <v>43708</v>
      </c>
      <c r="E36" s="4">
        <v>-22.358930000000001</v>
      </c>
      <c r="F36" s="4">
        <v>28.939830000000001</v>
      </c>
      <c r="G36" s="4" t="s">
        <v>21</v>
      </c>
      <c r="H36" t="s">
        <v>44</v>
      </c>
      <c r="I36" t="s">
        <v>26</v>
      </c>
    </row>
    <row r="37" spans="1:9">
      <c r="A37" s="4">
        <v>61</v>
      </c>
      <c r="B37" t="s">
        <v>83</v>
      </c>
      <c r="C37" t="s">
        <v>20</v>
      </c>
      <c r="D37" s="5">
        <v>43732</v>
      </c>
      <c r="E37" s="4">
        <v>-22.354800000000001</v>
      </c>
      <c r="F37" s="4">
        <v>28.950399999999998</v>
      </c>
      <c r="G37" s="4" t="s">
        <v>21</v>
      </c>
      <c r="H37" t="s">
        <v>26</v>
      </c>
      <c r="I37" t="s">
        <v>29</v>
      </c>
    </row>
    <row r="38" spans="1:9">
      <c r="A38" s="4">
        <v>69</v>
      </c>
      <c r="B38" t="s">
        <v>81</v>
      </c>
      <c r="C38" t="s">
        <v>20</v>
      </c>
      <c r="D38" s="5">
        <v>43718</v>
      </c>
      <c r="E38" s="4">
        <v>-22.3675</v>
      </c>
      <c r="F38" s="4">
        <v>28.967400000000001</v>
      </c>
      <c r="G38" s="4" t="s">
        <v>21</v>
      </c>
      <c r="H38" t="s">
        <v>26</v>
      </c>
      <c r="I38" t="s">
        <v>72</v>
      </c>
    </row>
    <row r="39" spans="1:9">
      <c r="A39" s="4">
        <v>70</v>
      </c>
      <c r="B39" s="1" t="s">
        <v>79</v>
      </c>
      <c r="C39" t="s">
        <v>20</v>
      </c>
      <c r="D39" s="5">
        <v>43714</v>
      </c>
      <c r="E39" s="4">
        <v>-22.299700000000001</v>
      </c>
      <c r="F39" s="4">
        <v>28.8749</v>
      </c>
      <c r="G39" s="4" t="s">
        <v>21</v>
      </c>
      <c r="H39" t="s">
        <v>22</v>
      </c>
    </row>
    <row r="40" spans="1:9">
      <c r="A40" s="4">
        <v>74</v>
      </c>
      <c r="B40" t="s">
        <v>85</v>
      </c>
      <c r="C40" t="s">
        <v>20</v>
      </c>
      <c r="D40" s="5">
        <v>43749</v>
      </c>
      <c r="E40" s="4">
        <v>-22.380700000000001</v>
      </c>
      <c r="F40" s="4">
        <v>28.965399999999999</v>
      </c>
      <c r="G40" s="4" t="s">
        <v>21</v>
      </c>
      <c r="H40" s="4" t="s">
        <v>22</v>
      </c>
    </row>
    <row r="41" spans="1:9">
      <c r="A41" s="4">
        <v>126</v>
      </c>
      <c r="B41" t="s">
        <v>87</v>
      </c>
      <c r="C41" t="s">
        <v>20</v>
      </c>
      <c r="D41" s="5">
        <v>43741</v>
      </c>
      <c r="E41" s="4">
        <v>-22.323899999999998</v>
      </c>
      <c r="F41" s="4">
        <v>28.886900000000001</v>
      </c>
      <c r="G41" s="4" t="s">
        <v>88</v>
      </c>
      <c r="H41" t="s">
        <v>26</v>
      </c>
    </row>
    <row r="42" spans="1:9">
      <c r="A42" s="4">
        <v>137</v>
      </c>
      <c r="B42" t="s">
        <v>90</v>
      </c>
      <c r="C42" t="s">
        <v>20</v>
      </c>
      <c r="D42" s="5">
        <v>43777</v>
      </c>
      <c r="E42" s="4">
        <v>-22.351179999999999</v>
      </c>
      <c r="F42" s="4">
        <v>28.914380000000001</v>
      </c>
      <c r="G42" s="4" t="s">
        <v>88</v>
      </c>
      <c r="H42" t="s">
        <v>26</v>
      </c>
      <c r="I42" t="s">
        <v>29</v>
      </c>
    </row>
    <row r="43" spans="1:9">
      <c r="A43" s="4">
        <v>138</v>
      </c>
      <c r="B43" t="s">
        <v>92</v>
      </c>
      <c r="C43" t="s">
        <v>20</v>
      </c>
      <c r="D43" s="5">
        <v>43778</v>
      </c>
      <c r="E43" s="4">
        <v>-22.365359999999999</v>
      </c>
      <c r="F43" s="4">
        <v>28.967140000000001</v>
      </c>
      <c r="G43" s="4" t="s">
        <v>88</v>
      </c>
      <c r="H43" t="s">
        <v>26</v>
      </c>
      <c r="I43" t="s">
        <v>49</v>
      </c>
    </row>
    <row r="44" spans="1:9">
      <c r="A44" s="4">
        <v>139</v>
      </c>
      <c r="B44" t="s">
        <v>93</v>
      </c>
      <c r="C44" t="s">
        <v>20</v>
      </c>
      <c r="D44" s="5">
        <v>43777</v>
      </c>
      <c r="E44" s="4">
        <v>-22.36655</v>
      </c>
      <c r="F44" s="4">
        <v>28.95872</v>
      </c>
      <c r="G44" s="4" t="s">
        <v>88</v>
      </c>
      <c r="H44" t="s">
        <v>26</v>
      </c>
      <c r="I44" t="s">
        <v>45</v>
      </c>
    </row>
    <row r="45" spans="1:9">
      <c r="A45" s="4">
        <v>140</v>
      </c>
      <c r="B45" t="s">
        <v>95</v>
      </c>
      <c r="C45" t="s">
        <v>20</v>
      </c>
      <c r="D45" s="5">
        <v>43777</v>
      </c>
      <c r="E45" s="4">
        <v>-22.372</v>
      </c>
      <c r="F45" s="4">
        <v>28.968669999999999</v>
      </c>
      <c r="G45" s="4" t="s">
        <v>88</v>
      </c>
      <c r="H45" t="s">
        <v>96</v>
      </c>
    </row>
    <row r="46" spans="1:9">
      <c r="A46" s="4">
        <v>142</v>
      </c>
      <c r="B46" t="s">
        <v>98</v>
      </c>
      <c r="C46" t="s">
        <v>20</v>
      </c>
      <c r="D46" s="5">
        <v>43778</v>
      </c>
      <c r="E46" s="4">
        <v>-22.351179999999999</v>
      </c>
      <c r="F46" s="4">
        <v>28.914380000000001</v>
      </c>
      <c r="G46" s="4" t="s">
        <v>88</v>
      </c>
      <c r="H46" t="s">
        <v>37</v>
      </c>
    </row>
    <row r="47" spans="1:9">
      <c r="A47" s="4">
        <v>143</v>
      </c>
      <c r="B47" t="s">
        <v>99</v>
      </c>
      <c r="C47" t="s">
        <v>20</v>
      </c>
      <c r="D47" s="5">
        <v>43777</v>
      </c>
      <c r="E47" s="4">
        <v>-22.367619999999999</v>
      </c>
      <c r="F47" s="4">
        <v>28.948090000000001</v>
      </c>
      <c r="G47" s="4" t="s">
        <v>88</v>
      </c>
      <c r="H47" t="s">
        <v>26</v>
      </c>
      <c r="I47" t="s">
        <v>37</v>
      </c>
    </row>
    <row r="48" spans="1:9">
      <c r="A48" s="4">
        <v>144</v>
      </c>
      <c r="B48" t="s">
        <v>101</v>
      </c>
      <c r="C48" t="s">
        <v>20</v>
      </c>
      <c r="D48" s="5">
        <v>43777</v>
      </c>
      <c r="E48" s="4">
        <v>-22.367609999999999</v>
      </c>
      <c r="F48" s="4">
        <v>28.948090000000001</v>
      </c>
      <c r="G48" s="4" t="s">
        <v>88</v>
      </c>
      <c r="H48" t="s">
        <v>22</v>
      </c>
    </row>
    <row r="49" spans="1:9">
      <c r="A49" s="4">
        <v>145</v>
      </c>
      <c r="B49" t="s">
        <v>102</v>
      </c>
      <c r="C49" t="s">
        <v>20</v>
      </c>
      <c r="D49" s="5">
        <v>43778</v>
      </c>
      <c r="E49" s="4">
        <v>-22.365359999999999</v>
      </c>
      <c r="F49" s="4">
        <v>28.967140000000001</v>
      </c>
      <c r="G49" s="4" t="s">
        <v>88</v>
      </c>
      <c r="H49" t="s">
        <v>26</v>
      </c>
    </row>
    <row r="50" spans="1:9">
      <c r="A50" s="4">
        <v>146</v>
      </c>
      <c r="B50" t="s">
        <v>103</v>
      </c>
      <c r="C50" t="s">
        <v>20</v>
      </c>
      <c r="D50" s="5">
        <v>43778</v>
      </c>
      <c r="E50" s="4">
        <v>-22.367599999999999</v>
      </c>
      <c r="F50" s="4">
        <v>28.967410000000001</v>
      </c>
      <c r="G50" s="4" t="s">
        <v>88</v>
      </c>
      <c r="H50" t="s">
        <v>29</v>
      </c>
    </row>
    <row r="51" spans="1:9">
      <c r="A51" s="4">
        <v>147</v>
      </c>
      <c r="B51" t="s">
        <v>105</v>
      </c>
      <c r="C51" t="s">
        <v>20</v>
      </c>
      <c r="D51" s="5">
        <v>43778</v>
      </c>
      <c r="E51" s="4">
        <v>-22.351179999999999</v>
      </c>
      <c r="F51" s="4">
        <v>28.914380000000001</v>
      </c>
      <c r="G51" s="4" t="s">
        <v>88</v>
      </c>
      <c r="H51" t="s">
        <v>22</v>
      </c>
    </row>
    <row r="52" spans="1:9">
      <c r="A52" s="4">
        <v>148</v>
      </c>
      <c r="B52" t="s">
        <v>107</v>
      </c>
      <c r="C52" t="s">
        <v>20</v>
      </c>
      <c r="D52" s="5">
        <v>43777</v>
      </c>
      <c r="E52" s="4">
        <v>-22.37283</v>
      </c>
      <c r="F52" s="4">
        <v>28.96941</v>
      </c>
      <c r="G52" s="4" t="s">
        <v>88</v>
      </c>
      <c r="H52" t="s">
        <v>26</v>
      </c>
      <c r="I52" t="s">
        <v>44</v>
      </c>
    </row>
    <row r="53" spans="1:9">
      <c r="A53" s="4">
        <v>149</v>
      </c>
      <c r="B53" t="s">
        <v>109</v>
      </c>
      <c r="C53" t="s">
        <v>20</v>
      </c>
      <c r="D53" s="5">
        <v>43778</v>
      </c>
      <c r="E53" s="4">
        <v>-22.981999999999999</v>
      </c>
      <c r="F53" s="4">
        <v>28.90851</v>
      </c>
      <c r="G53" s="4" t="s">
        <v>88</v>
      </c>
      <c r="H53" t="s">
        <v>26</v>
      </c>
    </row>
    <row r="54" spans="1:9">
      <c r="A54" s="4">
        <v>151</v>
      </c>
      <c r="B54" t="s">
        <v>111</v>
      </c>
      <c r="C54" t="s">
        <v>20</v>
      </c>
      <c r="D54" s="5">
        <v>43777</v>
      </c>
      <c r="E54" s="4">
        <v>-22.367619999999999</v>
      </c>
      <c r="F54" s="4">
        <v>28.948090000000001</v>
      </c>
      <c r="G54" s="4" t="s">
        <v>88</v>
      </c>
      <c r="H54" t="s">
        <v>112</v>
      </c>
    </row>
    <row r="55" spans="1:9">
      <c r="A55" s="4">
        <v>153</v>
      </c>
      <c r="B55" t="s">
        <v>113</v>
      </c>
      <c r="C55" t="s">
        <v>20</v>
      </c>
      <c r="D55" s="5">
        <v>43778</v>
      </c>
      <c r="E55" s="4">
        <v>-22.358499999999999</v>
      </c>
      <c r="F55" s="4">
        <v>28.96519</v>
      </c>
      <c r="G55" s="4" t="s">
        <v>88</v>
      </c>
      <c r="H55" t="s">
        <v>44</v>
      </c>
    </row>
    <row r="56" spans="1:9">
      <c r="A56" s="4">
        <v>154</v>
      </c>
      <c r="B56" t="s">
        <v>115</v>
      </c>
      <c r="C56" t="s">
        <v>20</v>
      </c>
      <c r="D56" s="5">
        <v>43782</v>
      </c>
      <c r="E56" s="4">
        <v>-22.355899999999998</v>
      </c>
      <c r="F56" s="4">
        <v>28.945499999999999</v>
      </c>
      <c r="G56" s="4" t="s">
        <v>88</v>
      </c>
      <c r="H56" t="s">
        <v>37</v>
      </c>
    </row>
    <row r="57" spans="1:9">
      <c r="A57" s="4">
        <v>155</v>
      </c>
      <c r="B57" t="s">
        <v>116</v>
      </c>
      <c r="C57" t="s">
        <v>20</v>
      </c>
      <c r="D57" s="5">
        <v>43782</v>
      </c>
      <c r="E57" s="4">
        <v>-22.355899999999998</v>
      </c>
      <c r="F57" s="4">
        <v>28.945499999999999</v>
      </c>
      <c r="G57" s="4" t="s">
        <v>88</v>
      </c>
      <c r="H57" t="s">
        <v>37</v>
      </c>
      <c r="I57" t="s">
        <v>117</v>
      </c>
    </row>
    <row r="58" spans="1:9">
      <c r="A58" s="4">
        <v>156</v>
      </c>
      <c r="B58" t="s">
        <v>119</v>
      </c>
      <c r="C58" t="s">
        <v>20</v>
      </c>
      <c r="D58" s="5">
        <v>43778</v>
      </c>
      <c r="E58" s="4">
        <v>-22.340389999999999</v>
      </c>
      <c r="F58" s="4">
        <v>28.91808</v>
      </c>
      <c r="G58" s="4" t="s">
        <v>88</v>
      </c>
      <c r="H58" t="s">
        <v>37</v>
      </c>
    </row>
    <row r="59" spans="1:9">
      <c r="A59" s="4">
        <v>160</v>
      </c>
      <c r="B59" t="s">
        <v>120</v>
      </c>
      <c r="C59" t="s">
        <v>20</v>
      </c>
      <c r="D59" s="5">
        <v>43828</v>
      </c>
      <c r="E59" s="4">
        <v>-22.402149999999999</v>
      </c>
      <c r="F59" s="4">
        <v>28.948149999999998</v>
      </c>
      <c r="G59" s="4" t="s">
        <v>40</v>
      </c>
      <c r="H59" t="s">
        <v>26</v>
      </c>
      <c r="I59" t="s">
        <v>49</v>
      </c>
    </row>
    <row r="60" spans="1:9">
      <c r="A60" s="4">
        <v>169</v>
      </c>
      <c r="B60" t="s">
        <v>121</v>
      </c>
      <c r="C60" t="s">
        <v>20</v>
      </c>
      <c r="D60" s="5">
        <v>43897</v>
      </c>
      <c r="E60" s="4"/>
      <c r="F60" s="4"/>
      <c r="G60" s="4" t="s">
        <v>40</v>
      </c>
      <c r="H60" t="s">
        <v>26</v>
      </c>
      <c r="I60" t="s">
        <v>45</v>
      </c>
    </row>
    <row r="61" spans="1:9">
      <c r="A61" s="4">
        <v>170</v>
      </c>
      <c r="B61" t="s">
        <v>123</v>
      </c>
      <c r="C61" t="s">
        <v>20</v>
      </c>
      <c r="D61" s="5">
        <v>43881</v>
      </c>
      <c r="E61" s="4"/>
      <c r="F61" s="4"/>
      <c r="G61" s="4" t="s">
        <v>40</v>
      </c>
      <c r="H61" t="s">
        <v>37</v>
      </c>
      <c r="I61" t="s">
        <v>29</v>
      </c>
    </row>
    <row r="62" spans="1:9">
      <c r="A62" s="4">
        <v>171</v>
      </c>
      <c r="B62" t="s">
        <v>124</v>
      </c>
      <c r="C62" t="s">
        <v>20</v>
      </c>
      <c r="D62" s="5">
        <v>43881</v>
      </c>
      <c r="E62" s="4"/>
      <c r="F62" s="4"/>
      <c r="G62" s="4" t="s">
        <v>40</v>
      </c>
      <c r="H62" t="s">
        <v>22</v>
      </c>
    </row>
    <row r="63" spans="1:9">
      <c r="A63" s="4">
        <v>173</v>
      </c>
      <c r="B63" t="s">
        <v>125</v>
      </c>
      <c r="C63" t="s">
        <v>20</v>
      </c>
      <c r="D63" s="5">
        <v>43881</v>
      </c>
      <c r="E63" s="4"/>
      <c r="F63" s="4"/>
      <c r="G63" s="4" t="s">
        <v>40</v>
      </c>
      <c r="H63" t="s">
        <v>26</v>
      </c>
      <c r="I63" t="s">
        <v>29</v>
      </c>
    </row>
    <row r="64" spans="1:9">
      <c r="A64" s="4">
        <v>175</v>
      </c>
      <c r="B64" t="s">
        <v>126</v>
      </c>
      <c r="C64" t="s">
        <v>20</v>
      </c>
      <c r="D64" s="5">
        <v>43897</v>
      </c>
      <c r="E64" s="4"/>
      <c r="F64" s="4"/>
      <c r="G64" s="4" t="s">
        <v>40</v>
      </c>
      <c r="H64" t="s">
        <v>44</v>
      </c>
    </row>
    <row r="65" spans="1:9">
      <c r="A65" s="4">
        <v>176</v>
      </c>
      <c r="B65" t="s">
        <v>127</v>
      </c>
      <c r="C65" t="s">
        <v>20</v>
      </c>
      <c r="D65" s="5">
        <v>43887</v>
      </c>
      <c r="E65" s="4"/>
      <c r="F65" s="4"/>
      <c r="G65" s="4" t="s">
        <v>40</v>
      </c>
      <c r="H65" t="s">
        <v>22</v>
      </c>
    </row>
    <row r="66" spans="1:9">
      <c r="A66" s="4">
        <v>180</v>
      </c>
      <c r="B66" t="s">
        <v>128</v>
      </c>
      <c r="C66" t="s">
        <v>20</v>
      </c>
      <c r="D66" s="5">
        <v>43897</v>
      </c>
      <c r="E66" s="4"/>
      <c r="F66" s="4"/>
      <c r="G66" s="4" t="s">
        <v>40</v>
      </c>
      <c r="H66" t="s">
        <v>26</v>
      </c>
      <c r="I66" t="s">
        <v>22</v>
      </c>
    </row>
    <row r="67" spans="1:9">
      <c r="A67" s="4">
        <v>181</v>
      </c>
      <c r="B67" t="s">
        <v>129</v>
      </c>
      <c r="C67" t="s">
        <v>20</v>
      </c>
      <c r="D67" s="5">
        <v>43897</v>
      </c>
      <c r="E67" s="4"/>
      <c r="F67" s="4"/>
      <c r="G67" s="4" t="s">
        <v>40</v>
      </c>
      <c r="H67" t="s">
        <v>45</v>
      </c>
      <c r="I67" t="s">
        <v>22</v>
      </c>
    </row>
    <row r="68" spans="1:9">
      <c r="A68" s="4">
        <v>193</v>
      </c>
      <c r="B68" t="s">
        <v>130</v>
      </c>
      <c r="C68" t="s">
        <v>20</v>
      </c>
      <c r="D68" s="4">
        <v>2020</v>
      </c>
      <c r="E68" s="4"/>
      <c r="F68" s="4"/>
      <c r="G68" s="4" t="s">
        <v>88</v>
      </c>
      <c r="H68" t="s">
        <v>26</v>
      </c>
    </row>
    <row r="69" spans="1:9">
      <c r="A69" s="4">
        <v>194</v>
      </c>
      <c r="B69" t="s">
        <v>131</v>
      </c>
      <c r="C69" t="s">
        <v>20</v>
      </c>
      <c r="D69" s="4">
        <v>2020</v>
      </c>
      <c r="E69" s="4"/>
      <c r="F69" s="4"/>
      <c r="G69" s="4" t="s">
        <v>88</v>
      </c>
      <c r="H69" t="s">
        <v>44</v>
      </c>
    </row>
    <row r="70" spans="1:9">
      <c r="A70" s="4">
        <v>195</v>
      </c>
      <c r="B70" t="s">
        <v>132</v>
      </c>
      <c r="C70" t="s">
        <v>20</v>
      </c>
      <c r="D70" s="4">
        <v>2020</v>
      </c>
      <c r="E70" s="4"/>
      <c r="F70" s="4"/>
      <c r="G70" s="4" t="s">
        <v>88</v>
      </c>
      <c r="H70" t="s">
        <v>26</v>
      </c>
      <c r="I70" t="s">
        <v>22</v>
      </c>
    </row>
    <row r="71" spans="1:9">
      <c r="A71" s="4">
        <v>196</v>
      </c>
      <c r="B71" t="s">
        <v>133</v>
      </c>
      <c r="C71" t="s">
        <v>20</v>
      </c>
      <c r="D71" s="4">
        <v>2020</v>
      </c>
      <c r="E71" s="4"/>
      <c r="F71" s="4"/>
      <c r="G71" s="4" t="s">
        <v>88</v>
      </c>
      <c r="H71" t="s">
        <v>29</v>
      </c>
      <c r="I71" t="s">
        <v>26</v>
      </c>
    </row>
    <row r="72" spans="1:9">
      <c r="A72" s="4">
        <v>197</v>
      </c>
      <c r="B72" t="s">
        <v>134</v>
      </c>
      <c r="C72" t="s">
        <v>20</v>
      </c>
      <c r="D72" s="4">
        <v>2020</v>
      </c>
      <c r="E72" s="4"/>
      <c r="F72" s="4"/>
      <c r="G72" s="4" t="s">
        <v>88</v>
      </c>
      <c r="H72" t="s">
        <v>44</v>
      </c>
    </row>
    <row r="73" spans="1:9">
      <c r="A73" s="4">
        <v>198</v>
      </c>
      <c r="B73" t="s">
        <v>135</v>
      </c>
      <c r="C73" t="s">
        <v>20</v>
      </c>
      <c r="D73" s="4">
        <v>2020</v>
      </c>
      <c r="E73" s="4"/>
      <c r="F73" s="4"/>
      <c r="G73" s="4" t="s">
        <v>21</v>
      </c>
      <c r="H73" t="s">
        <v>26</v>
      </c>
      <c r="I73" t="s">
        <v>29</v>
      </c>
    </row>
    <row r="74" spans="1:9">
      <c r="A74" s="4">
        <v>199</v>
      </c>
      <c r="B74" t="s">
        <v>136</v>
      </c>
      <c r="C74" t="s">
        <v>20</v>
      </c>
      <c r="D74" s="4">
        <v>2020</v>
      </c>
      <c r="E74" s="4"/>
      <c r="F74" s="4"/>
      <c r="G74" s="4" t="s">
        <v>88</v>
      </c>
      <c r="H74" t="s">
        <v>44</v>
      </c>
      <c r="I74" t="s">
        <v>56</v>
      </c>
    </row>
    <row r="75" spans="1:9">
      <c r="A75" s="4">
        <v>200</v>
      </c>
      <c r="B75" t="s">
        <v>137</v>
      </c>
      <c r="C75" t="s">
        <v>20</v>
      </c>
      <c r="D75" s="4">
        <v>2020</v>
      </c>
      <c r="E75" s="4"/>
      <c r="F75" s="4"/>
      <c r="G75" s="4" t="s">
        <v>88</v>
      </c>
      <c r="H75" t="s">
        <v>44</v>
      </c>
      <c r="I75" t="s">
        <v>138</v>
      </c>
    </row>
    <row r="76" spans="1:9">
      <c r="A76" s="4">
        <v>203</v>
      </c>
      <c r="B76" t="s">
        <v>139</v>
      </c>
      <c r="C76" t="s">
        <v>20</v>
      </c>
      <c r="D76" s="4">
        <v>2020</v>
      </c>
      <c r="E76" s="4"/>
      <c r="F76" s="4"/>
      <c r="G76" s="4" t="s">
        <v>88</v>
      </c>
      <c r="H76" t="s">
        <v>44</v>
      </c>
    </row>
    <row r="77" spans="1:9">
      <c r="A77" s="4">
        <v>204</v>
      </c>
      <c r="B77" t="s">
        <v>140</v>
      </c>
      <c r="C77" t="s">
        <v>20</v>
      </c>
      <c r="D77" s="4">
        <v>2020</v>
      </c>
      <c r="E77" s="4"/>
      <c r="F77" s="4"/>
      <c r="G77" s="4" t="s">
        <v>40</v>
      </c>
      <c r="H77" t="s">
        <v>44</v>
      </c>
    </row>
    <row r="78" spans="1:9">
      <c r="A78" s="4">
        <v>205</v>
      </c>
      <c r="B78" t="s">
        <v>141</v>
      </c>
      <c r="C78" t="s">
        <v>20</v>
      </c>
      <c r="D78" s="4">
        <v>2020</v>
      </c>
      <c r="E78" s="4"/>
      <c r="F78" s="4"/>
      <c r="G78" s="4" t="s">
        <v>142</v>
      </c>
      <c r="H78" t="s">
        <v>22</v>
      </c>
    </row>
    <row r="79" spans="1:9">
      <c r="A79" s="4">
        <v>206</v>
      </c>
      <c r="B79" t="s">
        <v>143</v>
      </c>
      <c r="C79" t="s">
        <v>20</v>
      </c>
      <c r="D79" s="4">
        <v>2020</v>
      </c>
      <c r="E79" s="4"/>
      <c r="F79" s="4"/>
      <c r="G79" s="4" t="s">
        <v>40</v>
      </c>
      <c r="H79" t="s">
        <v>26</v>
      </c>
      <c r="I79" t="s">
        <v>44</v>
      </c>
    </row>
    <row r="80" spans="1:9">
      <c r="A80" s="4">
        <v>207</v>
      </c>
      <c r="B80" t="s">
        <v>144</v>
      </c>
      <c r="C80" t="s">
        <v>20</v>
      </c>
      <c r="D80" s="4">
        <v>2020</v>
      </c>
      <c r="E80" s="4"/>
      <c r="F80" s="4"/>
      <c r="G80" s="4" t="s">
        <v>40</v>
      </c>
      <c r="H80" t="s">
        <v>26</v>
      </c>
      <c r="I80" t="s">
        <v>44</v>
      </c>
    </row>
    <row r="81" spans="1:9">
      <c r="A81" s="4">
        <v>211</v>
      </c>
      <c r="B81" t="s">
        <v>145</v>
      </c>
      <c r="C81" t="s">
        <v>20</v>
      </c>
      <c r="D81" s="4">
        <v>2020</v>
      </c>
      <c r="E81" s="4"/>
      <c r="F81" s="4"/>
      <c r="G81" s="4" t="s">
        <v>88</v>
      </c>
      <c r="H81" t="s">
        <v>26</v>
      </c>
      <c r="I81" t="s">
        <v>72</v>
      </c>
    </row>
    <row r="82" spans="1:9">
      <c r="A82" s="4">
        <v>212</v>
      </c>
      <c r="B82" t="s">
        <v>146</v>
      </c>
      <c r="C82" t="s">
        <v>20</v>
      </c>
      <c r="D82" s="4">
        <v>2020</v>
      </c>
      <c r="E82" s="4"/>
      <c r="F82" s="4"/>
      <c r="G82" s="4" t="s">
        <v>88</v>
      </c>
      <c r="H82" t="s">
        <v>26</v>
      </c>
    </row>
    <row r="83" spans="1:9">
      <c r="A83" s="4">
        <v>213</v>
      </c>
      <c r="B83" t="s">
        <v>147</v>
      </c>
      <c r="C83" t="s">
        <v>20</v>
      </c>
      <c r="D83" s="4">
        <v>2020</v>
      </c>
      <c r="E83" s="4"/>
      <c r="F83" s="4"/>
      <c r="G83" s="4" t="s">
        <v>88</v>
      </c>
      <c r="H83" t="s">
        <v>22</v>
      </c>
      <c r="I83" t="s">
        <v>72</v>
      </c>
    </row>
    <row r="84" spans="1:9">
      <c r="A84" s="4">
        <v>214</v>
      </c>
      <c r="B84" t="s">
        <v>148</v>
      </c>
      <c r="C84" t="s">
        <v>20</v>
      </c>
      <c r="D84" s="4">
        <v>2020</v>
      </c>
      <c r="E84" s="4"/>
      <c r="F84" s="4"/>
      <c r="G84" s="4" t="s">
        <v>88</v>
      </c>
      <c r="H84" t="s">
        <v>26</v>
      </c>
    </row>
    <row r="85" spans="1:9">
      <c r="A85" s="4">
        <v>215</v>
      </c>
      <c r="B85" t="s">
        <v>149</v>
      </c>
      <c r="C85" t="s">
        <v>20</v>
      </c>
      <c r="D85" s="4">
        <v>2020</v>
      </c>
      <c r="E85" s="4"/>
      <c r="F85" s="4"/>
      <c r="G85" s="4" t="s">
        <v>88</v>
      </c>
      <c r="H85" t="s">
        <v>26</v>
      </c>
    </row>
    <row r="86" spans="1:9">
      <c r="A86" s="4">
        <v>216</v>
      </c>
      <c r="B86" t="s">
        <v>150</v>
      </c>
      <c r="C86" t="s">
        <v>20</v>
      </c>
      <c r="D86" s="4">
        <v>2020</v>
      </c>
      <c r="E86" s="4"/>
      <c r="F86" s="4"/>
      <c r="G86" s="4" t="s">
        <v>88</v>
      </c>
      <c r="H86" t="s">
        <v>22</v>
      </c>
    </row>
    <row r="87" spans="1:9">
      <c r="A87" s="4">
        <v>217</v>
      </c>
      <c r="B87" t="s">
        <v>151</v>
      </c>
      <c r="C87" t="s">
        <v>20</v>
      </c>
      <c r="D87" s="4">
        <v>2020</v>
      </c>
      <c r="E87" s="4"/>
      <c r="F87" s="4"/>
      <c r="G87" s="4" t="s">
        <v>40</v>
      </c>
      <c r="H87" t="s">
        <v>37</v>
      </c>
      <c r="I87" t="s">
        <v>29</v>
      </c>
    </row>
    <row r="88" spans="1:9">
      <c r="A88" s="4">
        <v>218</v>
      </c>
      <c r="B88" t="s">
        <v>152</v>
      </c>
      <c r="C88" t="s">
        <v>20</v>
      </c>
      <c r="D88" s="4">
        <v>2020</v>
      </c>
      <c r="E88" s="4"/>
      <c r="F88" s="4"/>
      <c r="G88" s="4" t="s">
        <v>40</v>
      </c>
      <c r="H88" t="s">
        <v>26</v>
      </c>
      <c r="I88" t="s">
        <v>153</v>
      </c>
    </row>
    <row r="89" spans="1:9">
      <c r="A89" s="4">
        <v>219</v>
      </c>
      <c r="B89" t="s">
        <v>154</v>
      </c>
      <c r="C89" t="s">
        <v>20</v>
      </c>
      <c r="D89" s="4">
        <v>2020</v>
      </c>
      <c r="E89" s="4"/>
      <c r="F89" s="4"/>
      <c r="G89" s="4" t="s">
        <v>40</v>
      </c>
      <c r="H89" t="s">
        <v>56</v>
      </c>
      <c r="I89" t="s">
        <v>117</v>
      </c>
    </row>
    <row r="90" spans="1:9">
      <c r="A90" s="4">
        <v>220</v>
      </c>
      <c r="B90" t="s">
        <v>155</v>
      </c>
      <c r="C90" t="s">
        <v>20</v>
      </c>
      <c r="D90" s="4">
        <v>2020</v>
      </c>
      <c r="E90" s="4"/>
      <c r="F90" s="4"/>
      <c r="G90" s="4" t="s">
        <v>40</v>
      </c>
      <c r="H90" t="s">
        <v>45</v>
      </c>
    </row>
    <row r="91" spans="1:9">
      <c r="A91" s="4">
        <v>221</v>
      </c>
      <c r="B91" t="s">
        <v>156</v>
      </c>
      <c r="C91" t="s">
        <v>20</v>
      </c>
      <c r="D91" s="4">
        <v>2020</v>
      </c>
      <c r="E91" s="4"/>
      <c r="F91" s="4"/>
      <c r="G91" s="4" t="s">
        <v>142</v>
      </c>
      <c r="H91" t="s">
        <v>72</v>
      </c>
      <c r="I91" t="s">
        <v>29</v>
      </c>
    </row>
  </sheetData>
  <autoFilter ref="A17:I91" xr:uid="{28A63341-0D9D-1341-B738-E1C60CD3AD14}"/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3B402-9786-2B4E-ADDC-647AE534A835}">
  <dimension ref="A1:K39"/>
  <sheetViews>
    <sheetView workbookViewId="0">
      <selection activeCell="H2" sqref="H2:H10"/>
    </sheetView>
  </sheetViews>
  <sheetFormatPr defaultColWidth="11.42578125" defaultRowHeight="15"/>
  <sheetData>
    <row r="1" spans="1:11" ht="15.95">
      <c r="A1" s="23" t="s">
        <v>354</v>
      </c>
      <c r="D1" s="22" t="s">
        <v>355</v>
      </c>
      <c r="G1" s="21" t="s">
        <v>356</v>
      </c>
    </row>
    <row r="2" spans="1:11">
      <c r="A2" t="s">
        <v>30</v>
      </c>
      <c r="B2">
        <f>COUNTIF(H13:K39, "bushbuck")</f>
        <v>2</v>
      </c>
      <c r="D2" t="s">
        <v>30</v>
      </c>
      <c r="E2">
        <v>1</v>
      </c>
      <c r="G2" t="s">
        <v>30</v>
      </c>
      <c r="H2">
        <v>1</v>
      </c>
    </row>
    <row r="3" spans="1:11">
      <c r="A3" t="s">
        <v>50</v>
      </c>
      <c r="B3">
        <f>COUNTIF(H13:K39, "goat")</f>
        <v>1</v>
      </c>
      <c r="D3" t="s">
        <v>50</v>
      </c>
      <c r="E3">
        <v>1</v>
      </c>
      <c r="G3" t="s">
        <v>50</v>
      </c>
      <c r="H3">
        <v>0</v>
      </c>
    </row>
    <row r="4" spans="1:11">
      <c r="A4" t="s">
        <v>57</v>
      </c>
      <c r="B4">
        <f>COUNTIF(H13:K39, "*impala*")</f>
        <v>21</v>
      </c>
      <c r="D4" t="s">
        <v>57</v>
      </c>
      <c r="E4">
        <v>14</v>
      </c>
      <c r="G4" t="s">
        <v>57</v>
      </c>
      <c r="H4">
        <v>7</v>
      </c>
    </row>
    <row r="5" spans="1:11">
      <c r="A5" t="s">
        <v>62</v>
      </c>
      <c r="B5">
        <f>COUNTIF(H13:K39, "*kudu*")</f>
        <v>9</v>
      </c>
      <c r="D5" t="s">
        <v>62</v>
      </c>
      <c r="E5">
        <v>4</v>
      </c>
      <c r="G5" t="s">
        <v>62</v>
      </c>
      <c r="H5">
        <v>5</v>
      </c>
    </row>
    <row r="6" spans="1:11">
      <c r="A6" t="s">
        <v>70</v>
      </c>
      <c r="B6">
        <f>COUNTIF(H13:K39, "*springhare*")</f>
        <v>1</v>
      </c>
      <c r="D6" t="s">
        <v>70</v>
      </c>
      <c r="E6">
        <v>0</v>
      </c>
      <c r="G6" t="s">
        <v>70</v>
      </c>
      <c r="H6">
        <v>1</v>
      </c>
    </row>
    <row r="7" spans="1:11">
      <c r="A7" t="s">
        <v>78</v>
      </c>
      <c r="B7">
        <f>COUNTIF(H13:K39, "*waterbuck*")</f>
        <v>5</v>
      </c>
      <c r="D7" t="s">
        <v>78</v>
      </c>
      <c r="E7">
        <v>3</v>
      </c>
      <c r="G7" t="s">
        <v>78</v>
      </c>
      <c r="H7">
        <v>2</v>
      </c>
    </row>
    <row r="8" spans="1:11">
      <c r="A8" t="s">
        <v>73</v>
      </c>
      <c r="B8">
        <f>COUNTIF(H13:K39, "*wildebeest*")</f>
        <v>5</v>
      </c>
      <c r="D8" t="s">
        <v>73</v>
      </c>
      <c r="E8">
        <v>2</v>
      </c>
      <c r="G8" t="s">
        <v>73</v>
      </c>
      <c r="H8">
        <v>3</v>
      </c>
    </row>
    <row r="9" spans="1:11">
      <c r="A9" t="s">
        <v>80</v>
      </c>
      <c r="B9">
        <f>COUNTIF(H13:K39, "*zebra*")</f>
        <v>3</v>
      </c>
      <c r="D9" t="s">
        <v>80</v>
      </c>
      <c r="E9">
        <v>2</v>
      </c>
      <c r="G9" t="s">
        <v>80</v>
      </c>
      <c r="H9">
        <v>1</v>
      </c>
    </row>
    <row r="10" spans="1:11">
      <c r="A10" t="s">
        <v>357</v>
      </c>
      <c r="B10">
        <f>SUM(B2:B9)</f>
        <v>47</v>
      </c>
      <c r="D10" t="s">
        <v>357</v>
      </c>
      <c r="E10">
        <f>SUM(E2:E9)</f>
        <v>27</v>
      </c>
      <c r="G10" t="s">
        <v>357</v>
      </c>
      <c r="H10">
        <f>SUM(H2:H9)</f>
        <v>20</v>
      </c>
    </row>
    <row r="12" spans="1:11">
      <c r="A12" s="1" t="s">
        <v>0</v>
      </c>
      <c r="B12" s="1" t="s">
        <v>1</v>
      </c>
      <c r="C12" s="2" t="s">
        <v>2</v>
      </c>
      <c r="D12" s="2" t="s">
        <v>3</v>
      </c>
      <c r="E12" s="2" t="s">
        <v>4</v>
      </c>
      <c r="F12" s="2" t="s">
        <v>5</v>
      </c>
      <c r="G12" s="2" t="s">
        <v>6</v>
      </c>
      <c r="H12" s="2" t="s">
        <v>7</v>
      </c>
      <c r="I12" s="2" t="s">
        <v>8</v>
      </c>
      <c r="J12" s="2" t="s">
        <v>9</v>
      </c>
      <c r="K12" s="2" t="s">
        <v>10</v>
      </c>
    </row>
    <row r="13" spans="1:11">
      <c r="A13" s="4">
        <v>100</v>
      </c>
      <c r="B13" t="s">
        <v>325</v>
      </c>
      <c r="C13" t="s">
        <v>326</v>
      </c>
      <c r="D13" s="5">
        <v>43101</v>
      </c>
      <c r="E13" s="4"/>
      <c r="F13" s="4"/>
      <c r="G13" s="4" t="s">
        <v>40</v>
      </c>
      <c r="H13" t="s">
        <v>26</v>
      </c>
    </row>
    <row r="14" spans="1:11">
      <c r="A14" s="4">
        <v>101</v>
      </c>
      <c r="B14" t="s">
        <v>327</v>
      </c>
      <c r="C14" t="s">
        <v>326</v>
      </c>
      <c r="D14" s="5">
        <v>43101</v>
      </c>
      <c r="E14" s="4"/>
      <c r="F14" s="4"/>
      <c r="G14" s="4" t="s">
        <v>142</v>
      </c>
      <c r="H14" t="s">
        <v>26</v>
      </c>
    </row>
    <row r="15" spans="1:11">
      <c r="A15" s="4">
        <v>102</v>
      </c>
      <c r="B15" t="s">
        <v>328</v>
      </c>
      <c r="C15" t="s">
        <v>326</v>
      </c>
      <c r="D15" s="5">
        <v>43104</v>
      </c>
      <c r="E15" s="4"/>
      <c r="F15" s="4"/>
      <c r="G15" s="4" t="s">
        <v>40</v>
      </c>
      <c r="H15" t="s">
        <v>26</v>
      </c>
    </row>
    <row r="16" spans="1:11">
      <c r="A16" s="4">
        <v>103</v>
      </c>
      <c r="B16" t="s">
        <v>329</v>
      </c>
      <c r="C16" t="s">
        <v>326</v>
      </c>
      <c r="D16" s="5">
        <v>43127</v>
      </c>
      <c r="E16" s="4">
        <v>-22.376429999999999</v>
      </c>
      <c r="F16" s="4">
        <v>28.969190000000001</v>
      </c>
      <c r="G16" s="4" t="s">
        <v>40</v>
      </c>
      <c r="H16" t="s">
        <v>26</v>
      </c>
    </row>
    <row r="17" spans="1:11">
      <c r="A17" s="4">
        <v>104</v>
      </c>
      <c r="B17" t="s">
        <v>330</v>
      </c>
      <c r="C17" t="s">
        <v>326</v>
      </c>
      <c r="D17" s="5">
        <v>43127</v>
      </c>
      <c r="E17" s="4">
        <v>-22.376429999999999</v>
      </c>
      <c r="F17" s="4">
        <v>28.969190000000001</v>
      </c>
      <c r="G17" s="4" t="s">
        <v>40</v>
      </c>
      <c r="H17" t="s">
        <v>26</v>
      </c>
    </row>
    <row r="18" spans="1:11">
      <c r="A18" s="4">
        <v>105</v>
      </c>
      <c r="B18" t="s">
        <v>331</v>
      </c>
      <c r="C18" t="s">
        <v>326</v>
      </c>
      <c r="D18" s="5">
        <v>43567</v>
      </c>
      <c r="E18" s="4"/>
      <c r="F18" s="4"/>
      <c r="G18" s="4" t="s">
        <v>40</v>
      </c>
      <c r="H18" t="s">
        <v>26</v>
      </c>
    </row>
    <row r="19" spans="1:11">
      <c r="A19" s="4">
        <v>106</v>
      </c>
      <c r="B19" t="s">
        <v>332</v>
      </c>
      <c r="C19" t="s">
        <v>326</v>
      </c>
      <c r="D19" s="5">
        <v>43207</v>
      </c>
      <c r="E19" s="4">
        <v>-22.38569</v>
      </c>
      <c r="F19" s="4">
        <v>28.95712</v>
      </c>
      <c r="G19" s="4" t="s">
        <v>40</v>
      </c>
      <c r="H19" t="s">
        <v>26</v>
      </c>
    </row>
    <row r="20" spans="1:11">
      <c r="A20" s="4">
        <v>107</v>
      </c>
      <c r="B20" t="s">
        <v>333</v>
      </c>
      <c r="C20" t="s">
        <v>326</v>
      </c>
      <c r="D20" s="5">
        <v>43208</v>
      </c>
      <c r="E20" s="4">
        <v>-22.374230000000001</v>
      </c>
      <c r="F20" s="4">
        <v>28.95506</v>
      </c>
      <c r="G20" s="4" t="s">
        <v>40</v>
      </c>
      <c r="H20" t="s">
        <v>44</v>
      </c>
      <c r="I20" t="s">
        <v>29</v>
      </c>
    </row>
    <row r="21" spans="1:11">
      <c r="A21" s="4">
        <v>108</v>
      </c>
      <c r="B21" t="s">
        <v>334</v>
      </c>
      <c r="C21" t="s">
        <v>326</v>
      </c>
      <c r="D21" s="5">
        <v>43208</v>
      </c>
      <c r="E21" s="4">
        <v>-22.374230000000001</v>
      </c>
      <c r="F21" s="4">
        <v>28.95506</v>
      </c>
      <c r="G21" s="4" t="s">
        <v>40</v>
      </c>
      <c r="H21" t="s">
        <v>26</v>
      </c>
      <c r="I21" t="s">
        <v>44</v>
      </c>
      <c r="J21" t="s">
        <v>22</v>
      </c>
    </row>
    <row r="22" spans="1:11">
      <c r="A22" s="4">
        <v>109</v>
      </c>
      <c r="B22" t="s">
        <v>335</v>
      </c>
      <c r="C22" t="s">
        <v>326</v>
      </c>
      <c r="D22" s="5">
        <v>43209</v>
      </c>
      <c r="E22" s="10">
        <v>-22.385960000000001</v>
      </c>
      <c r="F22" s="4">
        <v>28.94014</v>
      </c>
      <c r="G22" s="4" t="s">
        <v>40</v>
      </c>
      <c r="H22" t="s">
        <v>29</v>
      </c>
      <c r="I22" t="s">
        <v>117</v>
      </c>
    </row>
    <row r="23" spans="1:11">
      <c r="A23" s="4">
        <v>110</v>
      </c>
      <c r="B23" t="s">
        <v>336</v>
      </c>
      <c r="C23" t="s">
        <v>326</v>
      </c>
      <c r="D23" s="5">
        <v>43209</v>
      </c>
      <c r="E23" s="4">
        <v>-22.391559999999998</v>
      </c>
      <c r="F23" s="4">
        <v>28.95532</v>
      </c>
      <c r="G23" s="4" t="s">
        <v>40</v>
      </c>
      <c r="H23" t="s">
        <v>26</v>
      </c>
      <c r="I23" t="s">
        <v>44</v>
      </c>
    </row>
    <row r="24" spans="1:11">
      <c r="A24" s="4">
        <v>111</v>
      </c>
      <c r="B24" t="s">
        <v>337</v>
      </c>
      <c r="C24" t="s">
        <v>326</v>
      </c>
      <c r="D24" s="5">
        <v>43235</v>
      </c>
      <c r="E24" s="4">
        <v>-22.38531</v>
      </c>
      <c r="F24" s="4">
        <v>28.9602</v>
      </c>
      <c r="G24" s="4" t="s">
        <v>88</v>
      </c>
      <c r="H24" t="s">
        <v>26</v>
      </c>
      <c r="I24" t="s">
        <v>29</v>
      </c>
    </row>
    <row r="25" spans="1:11">
      <c r="A25" s="4">
        <v>112</v>
      </c>
      <c r="B25" t="s">
        <v>338</v>
      </c>
      <c r="C25" t="s">
        <v>326</v>
      </c>
      <c r="D25" s="5">
        <v>43262</v>
      </c>
      <c r="E25" s="4">
        <v>-22.421130000000002</v>
      </c>
      <c r="F25" s="4">
        <v>28.934329999999999</v>
      </c>
      <c r="G25" s="4" t="s">
        <v>88</v>
      </c>
      <c r="H25" t="s">
        <v>45</v>
      </c>
      <c r="I25" t="s">
        <v>138</v>
      </c>
    </row>
    <row r="26" spans="1:11">
      <c r="A26" s="4">
        <v>113</v>
      </c>
      <c r="B26" t="s">
        <v>339</v>
      </c>
      <c r="C26" t="s">
        <v>326</v>
      </c>
      <c r="D26" s="5">
        <v>43262</v>
      </c>
      <c r="E26" s="4">
        <v>-22.42061</v>
      </c>
      <c r="F26" s="4">
        <v>28.93375</v>
      </c>
      <c r="G26" s="4" t="s">
        <v>88</v>
      </c>
      <c r="H26" t="s">
        <v>26</v>
      </c>
      <c r="I26" t="s">
        <v>29</v>
      </c>
    </row>
    <row r="27" spans="1:11">
      <c r="A27" s="4">
        <v>114</v>
      </c>
      <c r="B27" t="s">
        <v>340</v>
      </c>
      <c r="C27" t="s">
        <v>326</v>
      </c>
      <c r="D27" s="5">
        <v>43265</v>
      </c>
      <c r="E27" s="4">
        <v>-22.419609999999999</v>
      </c>
      <c r="F27" s="4">
        <v>28.929569999999998</v>
      </c>
      <c r="G27" s="4" t="s">
        <v>88</v>
      </c>
      <c r="H27" t="s">
        <v>44</v>
      </c>
      <c r="I27" t="s">
        <v>29</v>
      </c>
    </row>
    <row r="28" spans="1:11">
      <c r="A28" s="4">
        <v>115</v>
      </c>
      <c r="B28" t="s">
        <v>341</v>
      </c>
      <c r="C28" t="s">
        <v>326</v>
      </c>
      <c r="D28" s="5">
        <v>43357</v>
      </c>
      <c r="E28" s="4">
        <v>-22.337980000000002</v>
      </c>
      <c r="F28" s="4">
        <v>28.900279999999999</v>
      </c>
      <c r="G28" s="4" t="s">
        <v>88</v>
      </c>
      <c r="H28" t="s">
        <v>29</v>
      </c>
      <c r="I28" t="s">
        <v>44</v>
      </c>
      <c r="J28" t="s">
        <v>22</v>
      </c>
      <c r="K28" t="s">
        <v>37</v>
      </c>
    </row>
    <row r="29" spans="1:11">
      <c r="A29" s="4">
        <v>116</v>
      </c>
      <c r="B29" t="s">
        <v>342</v>
      </c>
      <c r="C29" t="s">
        <v>326</v>
      </c>
      <c r="D29" s="5">
        <v>43361</v>
      </c>
      <c r="E29" s="4">
        <v>-22.358740000000001</v>
      </c>
      <c r="F29" s="4">
        <v>28.965129999999998</v>
      </c>
      <c r="G29" s="4" t="s">
        <v>88</v>
      </c>
      <c r="H29" t="s">
        <v>26</v>
      </c>
      <c r="I29" t="s">
        <v>37</v>
      </c>
    </row>
    <row r="30" spans="1:11">
      <c r="A30" s="4">
        <v>117</v>
      </c>
      <c r="B30" t="s">
        <v>343</v>
      </c>
      <c r="C30" t="s">
        <v>326</v>
      </c>
      <c r="D30" s="5">
        <v>43424</v>
      </c>
      <c r="E30" s="4">
        <v>-22.3523</v>
      </c>
      <c r="F30" s="4">
        <v>28.917300000000001</v>
      </c>
      <c r="G30" s="4" t="s">
        <v>88</v>
      </c>
      <c r="H30" t="s">
        <v>26</v>
      </c>
      <c r="I30" t="s">
        <v>37</v>
      </c>
    </row>
    <row r="31" spans="1:11">
      <c r="A31" s="4">
        <v>118</v>
      </c>
      <c r="B31" t="s">
        <v>344</v>
      </c>
      <c r="C31" t="s">
        <v>326</v>
      </c>
      <c r="D31" s="5">
        <v>43424</v>
      </c>
      <c r="E31" s="4">
        <v>-22.3523</v>
      </c>
      <c r="F31" s="4">
        <v>28.917300000000001</v>
      </c>
      <c r="G31" s="4" t="s">
        <v>88</v>
      </c>
      <c r="H31" t="s">
        <v>26</v>
      </c>
    </row>
    <row r="32" spans="1:11">
      <c r="A32" s="4">
        <v>119</v>
      </c>
      <c r="B32" t="s">
        <v>345</v>
      </c>
      <c r="C32" t="s">
        <v>326</v>
      </c>
      <c r="D32" s="4">
        <v>2018</v>
      </c>
      <c r="E32" s="4"/>
      <c r="F32" s="4"/>
      <c r="G32" s="4" t="s">
        <v>40</v>
      </c>
      <c r="H32" t="s">
        <v>26</v>
      </c>
      <c r="I32" t="s">
        <v>29</v>
      </c>
      <c r="J32" t="s">
        <v>22</v>
      </c>
    </row>
    <row r="33" spans="1:10">
      <c r="A33" s="4">
        <v>120</v>
      </c>
      <c r="B33" t="s">
        <v>346</v>
      </c>
      <c r="C33" t="s">
        <v>326</v>
      </c>
      <c r="D33" s="4">
        <v>2018</v>
      </c>
      <c r="E33" s="4"/>
      <c r="F33" s="4"/>
      <c r="G33" s="4" t="s">
        <v>40</v>
      </c>
      <c r="H33" t="s">
        <v>37</v>
      </c>
      <c r="I33" t="s">
        <v>117</v>
      </c>
    </row>
    <row r="34" spans="1:10">
      <c r="A34" s="4">
        <v>121</v>
      </c>
      <c r="B34" t="s">
        <v>347</v>
      </c>
      <c r="C34" t="s">
        <v>326</v>
      </c>
      <c r="D34" s="5">
        <v>43479</v>
      </c>
      <c r="E34" s="4">
        <v>-22.336780000000001</v>
      </c>
      <c r="F34" s="4">
        <v>28.894400000000001</v>
      </c>
      <c r="G34" s="4" t="s">
        <v>40</v>
      </c>
      <c r="H34" t="s">
        <v>26</v>
      </c>
      <c r="I34" t="s">
        <v>45</v>
      </c>
      <c r="J34" t="s">
        <v>37</v>
      </c>
    </row>
    <row r="35" spans="1:10">
      <c r="A35" s="4">
        <v>122</v>
      </c>
      <c r="B35" t="s">
        <v>348</v>
      </c>
      <c r="C35" t="s">
        <v>326</v>
      </c>
      <c r="D35" s="5">
        <v>43479</v>
      </c>
      <c r="E35" s="4">
        <v>-22.336780000000001</v>
      </c>
      <c r="F35" s="4">
        <v>28.894400000000001</v>
      </c>
      <c r="G35" s="4" t="s">
        <v>40</v>
      </c>
      <c r="H35" t="s">
        <v>26</v>
      </c>
      <c r="I35" t="s">
        <v>29</v>
      </c>
    </row>
    <row r="36" spans="1:10">
      <c r="A36" s="4">
        <v>123</v>
      </c>
      <c r="B36" t="s">
        <v>349</v>
      </c>
      <c r="C36" t="s">
        <v>326</v>
      </c>
      <c r="D36" s="5">
        <v>43481</v>
      </c>
      <c r="E36" s="4"/>
      <c r="F36" s="4"/>
      <c r="G36" s="4" t="s">
        <v>40</v>
      </c>
      <c r="H36" t="s">
        <v>350</v>
      </c>
    </row>
    <row r="37" spans="1:10">
      <c r="A37" s="4">
        <v>132</v>
      </c>
      <c r="B37" t="s">
        <v>351</v>
      </c>
      <c r="C37" t="s">
        <v>326</v>
      </c>
      <c r="D37" s="5">
        <v>43747</v>
      </c>
      <c r="E37" s="4">
        <v>-22.381599999999999</v>
      </c>
      <c r="F37" s="4">
        <v>28.965299999999999</v>
      </c>
      <c r="G37" s="4" t="s">
        <v>88</v>
      </c>
      <c r="H37" t="s">
        <v>26</v>
      </c>
    </row>
    <row r="38" spans="1:10">
      <c r="A38" s="4">
        <v>133</v>
      </c>
      <c r="B38" t="s">
        <v>352</v>
      </c>
      <c r="C38" t="s">
        <v>326</v>
      </c>
      <c r="D38" s="5">
        <v>43748</v>
      </c>
      <c r="E38" s="4">
        <v>-22.391100000000002</v>
      </c>
      <c r="F38" s="4">
        <v>28.954999999999998</v>
      </c>
      <c r="G38" s="4" t="s">
        <v>88</v>
      </c>
      <c r="H38" t="s">
        <v>29</v>
      </c>
    </row>
    <row r="39" spans="1:10">
      <c r="A39" s="4">
        <v>134</v>
      </c>
      <c r="B39" t="s">
        <v>353</v>
      </c>
      <c r="C39" t="s">
        <v>326</v>
      </c>
      <c r="D39" s="5">
        <v>43749</v>
      </c>
      <c r="E39" s="4">
        <v>-22.392600000000002</v>
      </c>
      <c r="F39" s="4">
        <v>28.950800000000001</v>
      </c>
      <c r="G39" s="4" t="s">
        <v>88</v>
      </c>
      <c r="H39" t="s">
        <v>26</v>
      </c>
    </row>
  </sheetData>
  <autoFilter ref="A12:K39" xr:uid="{C1FDD560-7496-1242-9F45-1A98FC7A77F1}"/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88F3D-0E54-574F-AC5D-772694ABF075}">
  <dimension ref="A1:Y85"/>
  <sheetViews>
    <sheetView zoomScale="75" workbookViewId="0">
      <selection activeCell="G90" sqref="G90"/>
    </sheetView>
  </sheetViews>
  <sheetFormatPr defaultColWidth="11.42578125" defaultRowHeight="15"/>
  <cols>
    <col min="1" max="1" width="18.42578125" customWidth="1"/>
    <col min="3" max="3" width="13.140625" customWidth="1"/>
    <col min="4" max="4" width="14.140625" customWidth="1"/>
    <col min="5" max="5" width="21" customWidth="1"/>
    <col min="6" max="7" width="18" customWidth="1"/>
    <col min="11" max="11" width="21.42578125" customWidth="1"/>
    <col min="12" max="12" width="15.7109375" customWidth="1"/>
    <col min="13" max="13" width="13.140625" customWidth="1"/>
    <col min="14" max="14" width="18.140625" customWidth="1"/>
    <col min="15" max="15" width="12" bestFit="1" customWidth="1"/>
    <col min="16" max="17" width="12" customWidth="1"/>
    <col min="18" max="18" width="21.7109375" customWidth="1"/>
  </cols>
  <sheetData>
    <row r="1" spans="1:19">
      <c r="A1" t="s">
        <v>359</v>
      </c>
      <c r="B1" t="s">
        <v>360</v>
      </c>
      <c r="C1" t="s">
        <v>361</v>
      </c>
      <c r="E1" s="4" t="s">
        <v>362</v>
      </c>
      <c r="F1" t="s">
        <v>360</v>
      </c>
      <c r="G1" t="s">
        <v>363</v>
      </c>
      <c r="I1" t="s">
        <v>364</v>
      </c>
      <c r="J1" t="s">
        <v>360</v>
      </c>
      <c r="K1" t="s">
        <v>361</v>
      </c>
      <c r="M1" s="1" t="s">
        <v>365</v>
      </c>
      <c r="N1" t="s">
        <v>360</v>
      </c>
      <c r="O1" s="1" t="s">
        <v>361</v>
      </c>
      <c r="P1" s="1"/>
      <c r="Q1" s="1" t="s">
        <v>366</v>
      </c>
      <c r="R1" s="1" t="s">
        <v>367</v>
      </c>
      <c r="S1" s="1" t="s">
        <v>368</v>
      </c>
    </row>
    <row r="2" spans="1:19">
      <c r="A2" t="s">
        <v>17</v>
      </c>
      <c r="B2">
        <v>9</v>
      </c>
      <c r="C2" s="19">
        <f>B2/B19</f>
        <v>7.0477682067345341E-4</v>
      </c>
      <c r="E2" t="s">
        <v>17</v>
      </c>
      <c r="F2">
        <v>12</v>
      </c>
      <c r="G2" s="19">
        <f>F2/F19</f>
        <v>8.1185305459711792E-4</v>
      </c>
      <c r="I2" t="s">
        <v>17</v>
      </c>
      <c r="J2">
        <v>8</v>
      </c>
      <c r="K2" s="19">
        <v>3.8535645472061657E-3</v>
      </c>
      <c r="L2" s="19"/>
      <c r="M2" t="s">
        <v>17</v>
      </c>
      <c r="N2">
        <f t="shared" ref="N2:N6" si="0">F2+J2</f>
        <v>20</v>
      </c>
      <c r="O2" s="19">
        <f>N2/N19</f>
        <v>1.1864507326333274E-3</v>
      </c>
      <c r="Q2" t="s">
        <v>17</v>
      </c>
      <c r="R2">
        <v>1</v>
      </c>
    </row>
    <row r="3" spans="1:19">
      <c r="A3" t="s">
        <v>24</v>
      </c>
      <c r="B3">
        <v>384</v>
      </c>
      <c r="C3" s="19">
        <f>B3/B19</f>
        <v>3.0070477682067345E-2</v>
      </c>
      <c r="E3" t="s">
        <v>24</v>
      </c>
      <c r="F3">
        <v>589</v>
      </c>
      <c r="G3" s="19">
        <f>F3/F19</f>
        <v>3.9848454096475201E-2</v>
      </c>
      <c r="I3" t="s">
        <v>24</v>
      </c>
      <c r="J3">
        <v>71</v>
      </c>
      <c r="K3" s="19">
        <v>3.420038535645472E-2</v>
      </c>
      <c r="L3" s="19"/>
      <c r="M3" t="s">
        <v>24</v>
      </c>
      <c r="N3">
        <f t="shared" si="0"/>
        <v>660</v>
      </c>
      <c r="O3" s="19">
        <f>N3/N19</f>
        <v>3.9152874176899805E-2</v>
      </c>
      <c r="Q3" t="s">
        <v>24</v>
      </c>
      <c r="R3">
        <v>1</v>
      </c>
    </row>
    <row r="4" spans="1:19">
      <c r="A4" t="s">
        <v>369</v>
      </c>
      <c r="B4">
        <v>4</v>
      </c>
      <c r="C4" s="19">
        <f>B4/B19</f>
        <v>3.1323414252153485E-4</v>
      </c>
      <c r="E4" t="s">
        <v>369</v>
      </c>
      <c r="F4">
        <v>5</v>
      </c>
      <c r="G4" s="19">
        <f>F4/F19</f>
        <v>3.3827210608213247E-4</v>
      </c>
      <c r="I4" t="s">
        <v>369</v>
      </c>
      <c r="J4">
        <v>17</v>
      </c>
      <c r="K4" s="19">
        <v>8.1888246628131021E-3</v>
      </c>
      <c r="L4" s="19"/>
      <c r="M4" t="s">
        <v>369</v>
      </c>
      <c r="N4">
        <f t="shared" si="0"/>
        <v>22</v>
      </c>
      <c r="O4" s="19">
        <f>N4/N19</f>
        <v>1.3050958058966602E-3</v>
      </c>
      <c r="Q4" t="s">
        <v>27</v>
      </c>
      <c r="R4">
        <f>SUM(H30)</f>
        <v>2</v>
      </c>
    </row>
    <row r="5" spans="1:19">
      <c r="A5" t="s">
        <v>32</v>
      </c>
      <c r="B5">
        <v>23</v>
      </c>
      <c r="C5" s="19">
        <f>B5/B19</f>
        <v>1.8010963194988255E-3</v>
      </c>
      <c r="E5" t="s">
        <v>32</v>
      </c>
      <c r="F5">
        <v>23</v>
      </c>
      <c r="G5" s="19">
        <f>F5/F19</f>
        <v>1.5560516879778094E-3</v>
      </c>
      <c r="I5" t="s">
        <v>32</v>
      </c>
      <c r="J5">
        <v>9</v>
      </c>
      <c r="K5" s="19">
        <v>4.335260115606936E-3</v>
      </c>
      <c r="L5" s="19"/>
      <c r="M5" t="s">
        <v>32</v>
      </c>
      <c r="N5">
        <f t="shared" si="0"/>
        <v>32</v>
      </c>
      <c r="O5" s="19">
        <f>N5/N19</f>
        <v>1.8983211722133238E-3</v>
      </c>
      <c r="Q5" t="s">
        <v>30</v>
      </c>
      <c r="R5">
        <f>SUM(H31+H44+H59+H74)</f>
        <v>12</v>
      </c>
    </row>
    <row r="6" spans="1:19">
      <c r="A6" t="s">
        <v>35</v>
      </c>
      <c r="B6">
        <v>6</v>
      </c>
      <c r="C6" s="19">
        <f>B6/B19</f>
        <v>4.6985121378230227E-4</v>
      </c>
      <c r="E6" t="s">
        <v>35</v>
      </c>
      <c r="F6">
        <v>8</v>
      </c>
      <c r="G6" s="19">
        <f>F6/F19</f>
        <v>5.4123536973141198E-4</v>
      </c>
      <c r="I6" t="s">
        <v>35</v>
      </c>
      <c r="J6">
        <v>0</v>
      </c>
      <c r="K6" s="19">
        <v>0</v>
      </c>
      <c r="L6" s="19"/>
      <c r="M6" t="s">
        <v>35</v>
      </c>
      <c r="N6">
        <f t="shared" si="0"/>
        <v>8</v>
      </c>
      <c r="O6" s="19">
        <f>N6/N19</f>
        <v>4.7458029305333095E-4</v>
      </c>
      <c r="Q6" t="s">
        <v>32</v>
      </c>
      <c r="R6">
        <f>SUM(H45)</f>
        <v>1</v>
      </c>
    </row>
    <row r="7" spans="1:19">
      <c r="A7" t="s">
        <v>42</v>
      </c>
      <c r="B7">
        <v>93</v>
      </c>
      <c r="C7" s="19">
        <f>B7/B19</f>
        <v>7.2826938136256849E-3</v>
      </c>
      <c r="E7" t="s">
        <v>42</v>
      </c>
      <c r="F7">
        <v>101</v>
      </c>
      <c r="G7" s="19">
        <f>F7/F19</f>
        <v>6.8330965428590757E-3</v>
      </c>
      <c r="I7" t="s">
        <v>42</v>
      </c>
      <c r="J7">
        <v>9</v>
      </c>
      <c r="K7" s="19">
        <v>4.335260115606936E-3</v>
      </c>
      <c r="L7" s="19"/>
      <c r="M7" t="s">
        <v>42</v>
      </c>
      <c r="N7">
        <f t="shared" ref="N7:N19" si="1">F7+J7</f>
        <v>110</v>
      </c>
      <c r="O7" s="19">
        <f>N7/N19</f>
        <v>6.525479029483301E-3</v>
      </c>
      <c r="Q7" t="s">
        <v>35</v>
      </c>
      <c r="R7">
        <f>SUM(H46)</f>
        <v>1</v>
      </c>
    </row>
    <row r="8" spans="1:19">
      <c r="A8" t="s">
        <v>47</v>
      </c>
      <c r="B8">
        <v>445</v>
      </c>
      <c r="C8" s="19">
        <f>B8/B19</f>
        <v>3.4847298355520751E-2</v>
      </c>
      <c r="E8" t="s">
        <v>47</v>
      </c>
      <c r="F8">
        <v>537</v>
      </c>
      <c r="G8" s="19">
        <f>F8/F19</f>
        <v>3.633042419322103E-2</v>
      </c>
      <c r="I8" t="s">
        <v>47</v>
      </c>
      <c r="J8">
        <v>43</v>
      </c>
      <c r="K8" s="19">
        <v>2.0712909441233142E-2</v>
      </c>
      <c r="L8" s="19"/>
      <c r="M8" t="s">
        <v>47</v>
      </c>
      <c r="N8">
        <f t="shared" si="1"/>
        <v>580</v>
      </c>
      <c r="O8" s="19">
        <f>N8/N19</f>
        <v>3.4407071246366494E-2</v>
      </c>
      <c r="Q8" t="s">
        <v>38</v>
      </c>
      <c r="R8">
        <f>SUM(H32+H47+H60)</f>
        <v>10</v>
      </c>
    </row>
    <row r="9" spans="1:19">
      <c r="A9" t="s">
        <v>53</v>
      </c>
      <c r="B9">
        <v>1504</v>
      </c>
      <c r="C9" s="19">
        <f>B9/B19</f>
        <v>0.1177760375880971</v>
      </c>
      <c r="E9" t="s">
        <v>53</v>
      </c>
      <c r="F9">
        <v>2578</v>
      </c>
      <c r="G9" s="19">
        <f>F9/F19</f>
        <v>0.1744130978959475</v>
      </c>
      <c r="I9" t="s">
        <v>53</v>
      </c>
      <c r="J9">
        <v>390</v>
      </c>
      <c r="K9" s="19">
        <v>0.18786127167630057</v>
      </c>
      <c r="L9" s="19"/>
      <c r="M9" t="s">
        <v>53</v>
      </c>
      <c r="N9">
        <f t="shared" si="1"/>
        <v>2968</v>
      </c>
      <c r="O9" s="19">
        <f>N9/N19</f>
        <v>0.17606928872278579</v>
      </c>
      <c r="Q9" t="s">
        <v>42</v>
      </c>
      <c r="R9">
        <f>SUM(H33+H48+H61)</f>
        <v>6</v>
      </c>
    </row>
    <row r="10" spans="1:19">
      <c r="A10" t="s">
        <v>57</v>
      </c>
      <c r="B10">
        <v>4871</v>
      </c>
      <c r="C10" s="19">
        <f>B10/B19</f>
        <v>0.38144087705559904</v>
      </c>
      <c r="E10" t="s">
        <v>57</v>
      </c>
      <c r="F10">
        <v>5393</v>
      </c>
      <c r="G10" s="19">
        <f>F10/F19</f>
        <v>0.36486029362018807</v>
      </c>
      <c r="I10" t="s">
        <v>57</v>
      </c>
      <c r="J10">
        <v>600</v>
      </c>
      <c r="K10" s="19">
        <v>0.28901734104046245</v>
      </c>
      <c r="L10" s="19"/>
      <c r="M10" t="s">
        <v>57</v>
      </c>
      <c r="N10">
        <f t="shared" si="1"/>
        <v>5993</v>
      </c>
      <c r="O10" s="19">
        <f>N10/N19</f>
        <v>0.35551996203357655</v>
      </c>
      <c r="Q10" t="s">
        <v>47</v>
      </c>
      <c r="R10">
        <f>SUM(H49)</f>
        <v>1</v>
      </c>
    </row>
    <row r="11" spans="1:19">
      <c r="A11" t="s">
        <v>60</v>
      </c>
      <c r="B11">
        <v>64</v>
      </c>
      <c r="C11" s="19">
        <f>B11/B19</f>
        <v>5.0117462803445575E-3</v>
      </c>
      <c r="E11" t="s">
        <v>60</v>
      </c>
      <c r="F11">
        <v>52</v>
      </c>
      <c r="G11" s="19">
        <f>F11/F19</f>
        <v>3.5180299032541778E-3</v>
      </c>
      <c r="I11" t="s">
        <v>60</v>
      </c>
      <c r="J11">
        <v>8</v>
      </c>
      <c r="K11" s="19">
        <v>3.8535645472061657E-3</v>
      </c>
      <c r="L11" s="19"/>
      <c r="M11" t="s">
        <v>60</v>
      </c>
      <c r="N11">
        <f t="shared" si="1"/>
        <v>60</v>
      </c>
      <c r="O11" s="19">
        <f>N11/N19</f>
        <v>3.559352197899982E-3</v>
      </c>
      <c r="Q11" t="s">
        <v>50</v>
      </c>
      <c r="R11">
        <v>1</v>
      </c>
    </row>
    <row r="12" spans="1:19">
      <c r="A12" t="s">
        <v>68</v>
      </c>
      <c r="B12">
        <v>0</v>
      </c>
      <c r="C12" s="19">
        <f>B12/B19</f>
        <v>0</v>
      </c>
      <c r="E12" t="s">
        <v>68</v>
      </c>
      <c r="F12">
        <v>6</v>
      </c>
      <c r="G12" s="19">
        <f>F12/F19</f>
        <v>4.0592652729855896E-4</v>
      </c>
      <c r="I12" t="s">
        <v>68</v>
      </c>
      <c r="J12">
        <v>1</v>
      </c>
      <c r="K12" s="19">
        <v>4.8169556840077071E-4</v>
      </c>
      <c r="L12" s="19"/>
      <c r="M12" t="s">
        <v>68</v>
      </c>
      <c r="N12">
        <f t="shared" si="1"/>
        <v>7</v>
      </c>
      <c r="O12" s="19">
        <f>N12/N19</f>
        <v>4.152577564216646E-4</v>
      </c>
      <c r="Q12" t="s">
        <v>53</v>
      </c>
      <c r="R12">
        <f>SUM(H50)</f>
        <v>1</v>
      </c>
    </row>
    <row r="13" spans="1:19">
      <c r="A13" t="s">
        <v>62</v>
      </c>
      <c r="B13">
        <v>445</v>
      </c>
      <c r="C13" s="19">
        <f>B13/B19</f>
        <v>3.4847298355520751E-2</v>
      </c>
      <c r="E13" t="s">
        <v>62</v>
      </c>
      <c r="F13">
        <v>471</v>
      </c>
      <c r="G13" s="19">
        <f>F13/F19</f>
        <v>3.1865232392936878E-2</v>
      </c>
      <c r="I13" t="s">
        <v>62</v>
      </c>
      <c r="J13">
        <v>124</v>
      </c>
      <c r="K13" s="19">
        <v>5.9730250481695571E-2</v>
      </c>
      <c r="L13" s="19"/>
      <c r="M13" t="s">
        <v>62</v>
      </c>
      <c r="N13">
        <f t="shared" si="1"/>
        <v>595</v>
      </c>
      <c r="O13" s="19">
        <f>N13/N19</f>
        <v>3.5296909295841492E-2</v>
      </c>
      <c r="Q13" t="s">
        <v>57</v>
      </c>
      <c r="R13">
        <f>SUM(H34+H51+H62+H76)</f>
        <v>121</v>
      </c>
    </row>
    <row r="14" spans="1:19">
      <c r="A14" t="s">
        <v>370</v>
      </c>
      <c r="B14">
        <v>58</v>
      </c>
      <c r="C14" s="19">
        <f>B14/B19</f>
        <v>4.5418950665622555E-3</v>
      </c>
      <c r="E14" t="s">
        <v>370</v>
      </c>
      <c r="F14">
        <v>91</v>
      </c>
      <c r="G14" s="19">
        <f>F14/F19</f>
        <v>6.156552330694811E-3</v>
      </c>
      <c r="I14" t="s">
        <v>370</v>
      </c>
      <c r="J14">
        <v>63</v>
      </c>
      <c r="K14" s="19">
        <v>3.0346820809248554E-2</v>
      </c>
      <c r="L14" s="19"/>
      <c r="M14" t="s">
        <v>370</v>
      </c>
      <c r="N14">
        <f t="shared" si="1"/>
        <v>154</v>
      </c>
      <c r="O14" s="19">
        <f>N14/N19</f>
        <v>9.1356706412766206E-3</v>
      </c>
      <c r="Q14" t="s">
        <v>60</v>
      </c>
      <c r="R14">
        <v>1</v>
      </c>
    </row>
    <row r="15" spans="1:19">
      <c r="A15" t="s">
        <v>78</v>
      </c>
      <c r="B15">
        <v>51</v>
      </c>
      <c r="C15" s="19">
        <f>B15/B19</f>
        <v>3.9937353171495696E-3</v>
      </c>
      <c r="E15" t="s">
        <v>78</v>
      </c>
      <c r="F15">
        <v>51</v>
      </c>
      <c r="G15" s="19">
        <f>F15/F19</f>
        <v>3.4503754820377512E-3</v>
      </c>
      <c r="I15" t="s">
        <v>78</v>
      </c>
      <c r="J15">
        <v>9</v>
      </c>
      <c r="K15" s="19">
        <v>4.335260115606936E-3</v>
      </c>
      <c r="L15" s="19"/>
      <c r="M15" t="s">
        <v>78</v>
      </c>
      <c r="N15">
        <f t="shared" si="1"/>
        <v>60</v>
      </c>
      <c r="O15" s="19">
        <f>N15/N19</f>
        <v>3.559352197899982E-3</v>
      </c>
      <c r="Q15" t="s">
        <v>62</v>
      </c>
      <c r="R15">
        <f>SUM(H35+H52+H64+H77)</f>
        <v>37</v>
      </c>
    </row>
    <row r="16" spans="1:19">
      <c r="A16" t="s">
        <v>75</v>
      </c>
      <c r="B16">
        <v>94</v>
      </c>
      <c r="C16" s="19">
        <f>B16/B19</f>
        <v>7.3610023492560687E-3</v>
      </c>
      <c r="E16" t="s">
        <v>75</v>
      </c>
      <c r="F16">
        <v>0</v>
      </c>
      <c r="G16" s="19">
        <f>F16/F19</f>
        <v>0</v>
      </c>
      <c r="I16" t="s">
        <v>75</v>
      </c>
      <c r="J16">
        <v>103</v>
      </c>
      <c r="K16" s="19">
        <v>4.9614643545279384E-2</v>
      </c>
      <c r="L16" s="19"/>
      <c r="M16" t="s">
        <v>75</v>
      </c>
      <c r="N16">
        <f t="shared" si="1"/>
        <v>103</v>
      </c>
      <c r="O16" s="19">
        <f>N16/N19</f>
        <v>6.1102212730616357E-3</v>
      </c>
      <c r="Q16" t="s">
        <v>65</v>
      </c>
      <c r="R16">
        <f>SUM(H66)</f>
        <v>1</v>
      </c>
    </row>
    <row r="17" spans="1:25">
      <c r="A17" t="s">
        <v>73</v>
      </c>
      <c r="B17">
        <v>601</v>
      </c>
      <c r="C17" s="19">
        <f>B17/B19</f>
        <v>4.7063429913860609E-2</v>
      </c>
      <c r="E17" t="s">
        <v>73</v>
      </c>
      <c r="F17">
        <v>598</v>
      </c>
      <c r="G17" s="19">
        <f>F17/F19</f>
        <v>4.0457343887423045E-2</v>
      </c>
      <c r="I17" t="s">
        <v>73</v>
      </c>
      <c r="J17">
        <v>90</v>
      </c>
      <c r="K17" s="19">
        <v>4.3352601156069363E-2</v>
      </c>
      <c r="L17" s="19"/>
      <c r="M17" t="s">
        <v>73</v>
      </c>
      <c r="N17">
        <f t="shared" si="1"/>
        <v>688</v>
      </c>
      <c r="O17" s="19">
        <f>N17/N19</f>
        <v>4.0813905202586466E-2</v>
      </c>
      <c r="Q17" t="s">
        <v>68</v>
      </c>
      <c r="R17">
        <f>SUM(H36+H53+H65)</f>
        <v>5</v>
      </c>
    </row>
    <row r="18" spans="1:25">
      <c r="A18" t="s">
        <v>80</v>
      </c>
      <c r="B18">
        <v>4118</v>
      </c>
      <c r="C18" s="19">
        <f>B18/B19</f>
        <v>0.3224745497259201</v>
      </c>
      <c r="E18" t="s">
        <v>80</v>
      </c>
      <c r="F18">
        <v>4266</v>
      </c>
      <c r="G18" s="19">
        <f>F18/F19</f>
        <v>0.28861376090927543</v>
      </c>
      <c r="I18" t="s">
        <v>80</v>
      </c>
      <c r="J18">
        <v>531</v>
      </c>
      <c r="K18" s="19">
        <v>0.25578034682080925</v>
      </c>
      <c r="L18" s="19"/>
      <c r="M18" t="s">
        <v>80</v>
      </c>
      <c r="N18">
        <f t="shared" si="1"/>
        <v>4797</v>
      </c>
      <c r="O18" s="19">
        <f>N18/N19</f>
        <v>0.2845702082221036</v>
      </c>
      <c r="Q18" t="s">
        <v>70</v>
      </c>
      <c r="R18">
        <f>SUM(H67+H78+H37)</f>
        <v>3</v>
      </c>
    </row>
    <row r="19" spans="1:25">
      <c r="A19" t="s">
        <v>357</v>
      </c>
      <c r="B19">
        <f>SUM(B2:B18)</f>
        <v>12770</v>
      </c>
      <c r="C19" s="19">
        <f>SUM(C2:C18)</f>
        <v>0.99999999999999978</v>
      </c>
      <c r="E19" t="s">
        <v>357</v>
      </c>
      <c r="F19">
        <f>SUM(F2:F18)</f>
        <v>14781</v>
      </c>
      <c r="G19" s="19">
        <f>SUM(G2:G18)</f>
        <v>1</v>
      </c>
      <c r="I19" t="s">
        <v>357</v>
      </c>
      <c r="J19">
        <v>2076</v>
      </c>
      <c r="K19">
        <v>1</v>
      </c>
      <c r="M19" t="s">
        <v>357</v>
      </c>
      <c r="N19">
        <f t="shared" si="1"/>
        <v>16857</v>
      </c>
      <c r="O19" s="19">
        <f>SUM(O2:O18)</f>
        <v>1</v>
      </c>
      <c r="Q19" t="s">
        <v>73</v>
      </c>
      <c r="R19">
        <f>SUM(H38+H55+H70+H80)</f>
        <v>21</v>
      </c>
    </row>
    <row r="20" spans="1:25">
      <c r="G20" s="19"/>
      <c r="Q20" t="s">
        <v>75</v>
      </c>
      <c r="R20">
        <v>1</v>
      </c>
    </row>
    <row r="21" spans="1:25">
      <c r="A21" t="s">
        <v>371</v>
      </c>
      <c r="B21" t="s">
        <v>357</v>
      </c>
      <c r="E21" t="s">
        <v>371</v>
      </c>
      <c r="F21" t="s">
        <v>357</v>
      </c>
      <c r="G21" s="19"/>
      <c r="I21" t="s">
        <v>371</v>
      </c>
      <c r="J21" t="s">
        <v>357</v>
      </c>
      <c r="M21" t="s">
        <v>371</v>
      </c>
      <c r="N21" t="s">
        <v>357</v>
      </c>
      <c r="Q21" t="s">
        <v>78</v>
      </c>
      <c r="R21">
        <f>SUM(H39+H54+H69+H79)</f>
        <v>37</v>
      </c>
    </row>
    <row r="22" spans="1:25">
      <c r="A22" t="s">
        <v>372</v>
      </c>
      <c r="B22">
        <f>SUM(B2+B4+B12+B7+B10+B13+B14+B17+B15+B18)</f>
        <v>10250</v>
      </c>
      <c r="E22" t="s">
        <v>372</v>
      </c>
      <c r="F22">
        <f>SUM(F2+F4+F12+F7+F10+F13+F14+F17+F15+F18)</f>
        <v>10994</v>
      </c>
      <c r="G22" s="19"/>
      <c r="I22" t="s">
        <v>372</v>
      </c>
      <c r="J22">
        <f>SUM(J2+J4+J12+J7+J10+J13+J14+J17+J15+J18)</f>
        <v>1452</v>
      </c>
      <c r="M22" t="s">
        <v>372</v>
      </c>
      <c r="N22">
        <f>SUM(N2+N4+N12+N7+N10+N13+N14+N17+N15+N18)</f>
        <v>12446</v>
      </c>
      <c r="Q22" t="s">
        <v>80</v>
      </c>
      <c r="R22">
        <f>SUM(H40+H56+H71+H81)</f>
        <v>59</v>
      </c>
    </row>
    <row r="23" spans="1:25">
      <c r="A23" t="s">
        <v>373</v>
      </c>
      <c r="B23">
        <f>SUM(B3+B5+B6+B7+B8+B9+B10+B13+B15+B17+B18)</f>
        <v>12541</v>
      </c>
      <c r="E23" t="s">
        <v>373</v>
      </c>
      <c r="F23">
        <f>SUM(F3+F5+F6+F7+F8+F9+F10+F13+F12+F15+F17+F18)</f>
        <v>14621</v>
      </c>
      <c r="G23" s="19"/>
      <c r="I23" t="s">
        <v>373</v>
      </c>
      <c r="J23">
        <f>SUM(J3+J5+J6+J7+J8+J9+J10+J13+J15+J17+J18+J12)</f>
        <v>1877</v>
      </c>
      <c r="M23" t="s">
        <v>373</v>
      </c>
      <c r="N23">
        <f>SUM(N3+N5+N6+N7+N8+N9+N10+N13+N15+N17+N18+N12)</f>
        <v>16498</v>
      </c>
      <c r="Q23" t="s">
        <v>357</v>
      </c>
      <c r="R23">
        <f>SUM(R2:R22)</f>
        <v>323</v>
      </c>
    </row>
    <row r="24" spans="1:25">
      <c r="A24" t="s">
        <v>374</v>
      </c>
      <c r="B24">
        <f>SUM(B7+B10+B11+B13+B12+B14+B15+B18+B16+B17)</f>
        <v>10395</v>
      </c>
      <c r="E24" t="s">
        <v>374</v>
      </c>
      <c r="F24">
        <f>SUM(F7+F10+F11+F13+F12+F14+F15+F18+F16+F17)</f>
        <v>11029</v>
      </c>
      <c r="G24" s="19"/>
      <c r="I24" t="s">
        <v>374</v>
      </c>
      <c r="J24">
        <f>SUM(J7+J10+J11+J13+J12+J14+J15+J18+J16+J17)</f>
        <v>1538</v>
      </c>
      <c r="M24" t="s">
        <v>374</v>
      </c>
      <c r="N24">
        <f>SUM(N7+N10+N11+N13+N12+N14+N15+N18+N16+N17)</f>
        <v>12567</v>
      </c>
    </row>
    <row r="25" spans="1:25">
      <c r="A25" t="s">
        <v>375</v>
      </c>
      <c r="B25">
        <f>SUM(B10+B13+B14+B15+B17+B18)</f>
        <v>10144</v>
      </c>
      <c r="E25" t="s">
        <v>375</v>
      </c>
      <c r="F25">
        <f>SUM(F10+F13+F14+F15+F17+F18)</f>
        <v>10870</v>
      </c>
      <c r="G25" s="19"/>
      <c r="I25" t="s">
        <v>375</v>
      </c>
      <c r="J25">
        <f>SUM(J10+J13+J14+J15+J17+J18)</f>
        <v>1417</v>
      </c>
      <c r="M25" t="s">
        <v>375</v>
      </c>
      <c r="N25">
        <f>SUM(N10+N13+N14+N15+N17+N18)</f>
        <v>12287</v>
      </c>
    </row>
    <row r="26" spans="1:25">
      <c r="G26" s="19"/>
    </row>
    <row r="27" spans="1:25">
      <c r="Q27" s="19"/>
    </row>
    <row r="28" spans="1:25" ht="15.95">
      <c r="A28" s="1" t="s">
        <v>376</v>
      </c>
      <c r="B28" s="1" t="s">
        <v>366</v>
      </c>
      <c r="C28" s="33" t="s">
        <v>377</v>
      </c>
      <c r="D28" s="24" t="s">
        <v>378</v>
      </c>
      <c r="E28" s="34" t="s">
        <v>379</v>
      </c>
      <c r="F28" s="22" t="s">
        <v>380</v>
      </c>
      <c r="G28" s="48" t="s">
        <v>381</v>
      </c>
      <c r="H28" s="1" t="s">
        <v>382</v>
      </c>
      <c r="I28" s="1" t="s">
        <v>383</v>
      </c>
      <c r="J28" s="1" t="s">
        <v>384</v>
      </c>
      <c r="K28" s="1" t="s">
        <v>385</v>
      </c>
      <c r="L28" s="1" t="s">
        <v>386</v>
      </c>
      <c r="M28" s="1" t="s">
        <v>387</v>
      </c>
      <c r="N28" s="1" t="s">
        <v>388</v>
      </c>
      <c r="O28" s="1" t="s">
        <v>389</v>
      </c>
      <c r="P28" s="1" t="s">
        <v>390</v>
      </c>
      <c r="Q28" s="1" t="s">
        <v>391</v>
      </c>
      <c r="R28" s="1" t="s">
        <v>392</v>
      </c>
      <c r="S28" s="1" t="s">
        <v>393</v>
      </c>
      <c r="W28" t="s">
        <v>394</v>
      </c>
      <c r="X28" t="s">
        <v>40</v>
      </c>
      <c r="Y28" t="s">
        <v>88</v>
      </c>
    </row>
    <row r="29" spans="1:25">
      <c r="A29" t="s">
        <v>395</v>
      </c>
      <c r="B29" s="4" t="s">
        <v>17</v>
      </c>
      <c r="C29" s="20">
        <f>(O29-K29)/(O29+K29-2*O29*K29)</f>
        <v>0.85412797568799592</v>
      </c>
      <c r="D29" s="20">
        <f>(O29-L29)/(O29+L29-2*O29*L29)</f>
        <v>0.88098080631830278</v>
      </c>
      <c r="E29" s="20">
        <f>(O29-N29)/(O29+N29-2*O29*N29)</f>
        <v>0.79229770662051047</v>
      </c>
      <c r="F29" s="20">
        <f>(P29-N29)/(P29+N29-2*P29*N29)</f>
        <v>-1</v>
      </c>
      <c r="G29" s="20">
        <f>(Q29-N29)/(Q29+N29-2*Q29*N29)</f>
        <v>0.85656656207978499</v>
      </c>
      <c r="H29">
        <v>1</v>
      </c>
      <c r="I29">
        <v>0</v>
      </c>
      <c r="J29">
        <v>1</v>
      </c>
      <c r="K29" s="19">
        <f>SUM(F2/F22)</f>
        <v>1.0915044569765327E-3</v>
      </c>
      <c r="L29" s="19">
        <f>SUM(B2/B22)</f>
        <v>8.780487804878049E-4</v>
      </c>
      <c r="M29" s="19">
        <f>J2/J22</f>
        <v>5.5096418732782371E-3</v>
      </c>
      <c r="N29" s="19">
        <f>SUM(N2/N22)</f>
        <v>1.6069419893941829E-3</v>
      </c>
      <c r="O29" s="19">
        <f>H29/H41</f>
        <v>1.3698630136986301E-2</v>
      </c>
      <c r="P29" s="19">
        <f>I29/I41</f>
        <v>0</v>
      </c>
      <c r="Q29" s="19">
        <f>J29/J41</f>
        <v>2.0408163265306121E-2</v>
      </c>
      <c r="R29">
        <v>53</v>
      </c>
      <c r="S29">
        <v>1</v>
      </c>
      <c r="V29" s="4" t="s">
        <v>17</v>
      </c>
      <c r="W29">
        <v>0.86698922366395414</v>
      </c>
      <c r="X29">
        <v>-1</v>
      </c>
      <c r="Y29" s="20">
        <v>0.90931582025100099</v>
      </c>
    </row>
    <row r="30" spans="1:25">
      <c r="B30" t="s">
        <v>27</v>
      </c>
      <c r="C30" s="20">
        <f t="shared" ref="C30:C40" si="2">(O30-K30)/(O30+K30-2*O30*K30)</f>
        <v>0.96820848072359278</v>
      </c>
      <c r="D30" s="20">
        <f>(O30-L30)/(O30+L30-2*O30*L30)</f>
        <v>0.9726607624181749</v>
      </c>
      <c r="E30" s="20">
        <f>(O30-N30)/(O30+N30-2*O30*N30)</f>
        <v>0.88171147292692154</v>
      </c>
      <c r="F30" s="20">
        <f t="shared" ref="F30:F40" si="3">(P30-N30)/(P30+N30-2*P30*N30)</f>
        <v>0.9217324052590874</v>
      </c>
      <c r="G30" s="20">
        <f>(Q30-N30)/(Q30+N30-2*Q30*N30)</f>
        <v>0.84332344213649846</v>
      </c>
      <c r="H30">
        <v>2</v>
      </c>
      <c r="I30">
        <v>1</v>
      </c>
      <c r="J30">
        <v>1</v>
      </c>
      <c r="K30" s="19">
        <f>F4/F22</f>
        <v>4.5479352374022192E-4</v>
      </c>
      <c r="L30" s="19">
        <f>SUM(B4/B22)</f>
        <v>3.9024390243902441E-4</v>
      </c>
      <c r="M30" s="19">
        <f>J4/J22</f>
        <v>1.1707988980716254E-2</v>
      </c>
      <c r="N30" s="19">
        <f>SUM(N4/N22)</f>
        <v>1.7676361883336013E-3</v>
      </c>
      <c r="O30" s="19">
        <f>H30/H41</f>
        <v>2.7397260273972601E-2</v>
      </c>
      <c r="P30" s="19">
        <f>I30/I41</f>
        <v>4.1666666666666664E-2</v>
      </c>
      <c r="Q30" s="19">
        <f>J30/J41</f>
        <v>2.0408163265306121E-2</v>
      </c>
      <c r="R30">
        <v>3.6</v>
      </c>
      <c r="S30">
        <v>2</v>
      </c>
      <c r="V30" t="s">
        <v>27</v>
      </c>
      <c r="W30">
        <v>0.97035421837667324</v>
      </c>
      <c r="X30">
        <v>0.98069209961757287</v>
      </c>
      <c r="Y30" s="20">
        <v>0.9601236904047632</v>
      </c>
    </row>
    <row r="31" spans="1:25">
      <c r="B31" t="s">
        <v>30</v>
      </c>
      <c r="C31" s="20">
        <f t="shared" si="2"/>
        <v>1</v>
      </c>
      <c r="D31" s="20">
        <f t="shared" ref="D31:D40" si="4">(O31-L31)/(O31+L31-2*O31*L31)</f>
        <v>1</v>
      </c>
      <c r="E31" s="20">
        <f t="shared" ref="E31:E40" si="5">(O31-N31)/(O31+N31-2*O31*N31)</f>
        <v>1</v>
      </c>
      <c r="F31" s="19" t="e">
        <f t="shared" si="3"/>
        <v>#DIV/0!</v>
      </c>
      <c r="G31" s="20">
        <f>(Q31-N31)/(Q31+N31-2*Q31*N31)</f>
        <v>1</v>
      </c>
      <c r="H31">
        <v>1</v>
      </c>
      <c r="I31">
        <v>0</v>
      </c>
      <c r="J31">
        <v>1</v>
      </c>
      <c r="K31" s="19">
        <v>0</v>
      </c>
      <c r="L31" s="19">
        <v>0</v>
      </c>
      <c r="M31" s="19">
        <f>0</f>
        <v>0</v>
      </c>
      <c r="N31" s="19">
        <v>0</v>
      </c>
      <c r="O31" s="19">
        <f>H31/H41</f>
        <v>1.3698630136986301E-2</v>
      </c>
      <c r="P31" s="19">
        <f>I31/I41</f>
        <v>0</v>
      </c>
      <c r="Q31" s="19">
        <f>J31/J41</f>
        <v>2.0408163265306121E-2</v>
      </c>
      <c r="R31">
        <v>35</v>
      </c>
      <c r="S31">
        <v>1</v>
      </c>
      <c r="V31" t="s">
        <v>30</v>
      </c>
      <c r="W31">
        <v>1</v>
      </c>
      <c r="Y31" s="20">
        <v>1</v>
      </c>
    </row>
    <row r="32" spans="1:25">
      <c r="B32" t="s">
        <v>38</v>
      </c>
      <c r="C32" s="20">
        <f t="shared" si="2"/>
        <v>1</v>
      </c>
      <c r="D32" s="20">
        <f t="shared" si="4"/>
        <v>1</v>
      </c>
      <c r="E32" s="20">
        <f t="shared" si="5"/>
        <v>1</v>
      </c>
      <c r="F32" s="20" t="e">
        <f t="shared" si="3"/>
        <v>#DIV/0!</v>
      </c>
      <c r="G32" s="20">
        <f t="shared" ref="G32:G40" si="6">(Q32-N32)/(Q32+N32-2*Q32*N32)</f>
        <v>1</v>
      </c>
      <c r="H32">
        <v>3</v>
      </c>
      <c r="I32">
        <v>0</v>
      </c>
      <c r="J32">
        <v>3</v>
      </c>
      <c r="K32" s="19">
        <v>0</v>
      </c>
      <c r="L32" s="19">
        <v>0</v>
      </c>
      <c r="M32" s="19">
        <f>0</f>
        <v>0</v>
      </c>
      <c r="N32" s="19">
        <v>0</v>
      </c>
      <c r="O32" s="19">
        <f>H32/H41</f>
        <v>4.1095890410958902E-2</v>
      </c>
      <c r="P32" s="19">
        <f>I32/I41</f>
        <v>0</v>
      </c>
      <c r="Q32" s="19">
        <f>J32/J41</f>
        <v>6.1224489795918366E-2</v>
      </c>
      <c r="R32">
        <v>280</v>
      </c>
      <c r="V32" t="s">
        <v>38</v>
      </c>
      <c r="W32">
        <v>1</v>
      </c>
      <c r="Y32" s="20">
        <v>1</v>
      </c>
    </row>
    <row r="33" spans="1:25">
      <c r="B33" t="s">
        <v>42</v>
      </c>
      <c r="C33" s="20">
        <f t="shared" si="2"/>
        <v>0.5047138861069862</v>
      </c>
      <c r="D33" s="20">
        <f t="shared" si="4"/>
        <v>0.50938068878403975</v>
      </c>
      <c r="E33" s="20">
        <f t="shared" si="5"/>
        <v>0.51911828089403356</v>
      </c>
      <c r="F33" s="20">
        <f t="shared" si="3"/>
        <v>0.65962599219695961</v>
      </c>
      <c r="G33" s="20">
        <f t="shared" si="6"/>
        <v>0.40054495912806537</v>
      </c>
      <c r="H33">
        <v>2</v>
      </c>
      <c r="I33">
        <v>1</v>
      </c>
      <c r="J33">
        <v>1</v>
      </c>
      <c r="K33" s="19">
        <f>SUM(F7/F22)</f>
        <v>9.1868291795524828E-3</v>
      </c>
      <c r="L33" s="19">
        <f>SUM(B7/B22)</f>
        <v>9.0731707317073165E-3</v>
      </c>
      <c r="M33" s="19">
        <f>J7/J22</f>
        <v>6.1983471074380167E-3</v>
      </c>
      <c r="N33" s="19">
        <f>SUM(N7/N22)</f>
        <v>8.838180941668005E-3</v>
      </c>
      <c r="O33" s="19">
        <f>H33/H41</f>
        <v>2.7397260273972601E-2</v>
      </c>
      <c r="P33" s="19">
        <f>I33/I41</f>
        <v>4.1666666666666664E-2</v>
      </c>
      <c r="Q33" s="19">
        <f>J33/J41</f>
        <v>2.0408163265306121E-2</v>
      </c>
      <c r="R33">
        <v>19.7</v>
      </c>
      <c r="S33">
        <v>1</v>
      </c>
      <c r="V33" t="s">
        <v>42</v>
      </c>
      <c r="W33">
        <v>0.50696209328131159</v>
      </c>
      <c r="X33">
        <v>0.65020382565067414</v>
      </c>
      <c r="Y33" s="20">
        <v>0.38660167314406163</v>
      </c>
    </row>
    <row r="34" spans="1:25">
      <c r="B34" t="s">
        <v>57</v>
      </c>
      <c r="C34" s="20">
        <f t="shared" si="2"/>
        <v>-4.9638063584031396E-2</v>
      </c>
      <c r="D34" s="20">
        <f t="shared" si="4"/>
        <v>-1.8996660900350008E-2</v>
      </c>
      <c r="E34" s="20">
        <f t="shared" si="5"/>
        <v>-3.1613514032427868E-2</v>
      </c>
      <c r="F34" s="20">
        <f t="shared" si="3"/>
        <v>-0.13051094103697308</v>
      </c>
      <c r="G34" s="20">
        <f t="shared" si="6"/>
        <v>1.6563996363600571E-2</v>
      </c>
      <c r="H34">
        <v>34</v>
      </c>
      <c r="I34">
        <v>10</v>
      </c>
      <c r="J34">
        <v>24</v>
      </c>
      <c r="K34" s="19">
        <f>F10/F22</f>
        <v>0.49054029470620336</v>
      </c>
      <c r="L34" s="19">
        <f>SUM(B10/B22)</f>
        <v>0.47521951219512193</v>
      </c>
      <c r="M34" s="19">
        <f>J10/J22</f>
        <v>0.41322314049586778</v>
      </c>
      <c r="N34" s="19">
        <f>SUM(N10/N22)</f>
        <v>0.48152016712196688</v>
      </c>
      <c r="O34" s="19">
        <f>H34/H41</f>
        <v>0.46575342465753422</v>
      </c>
      <c r="P34" s="19">
        <f>I34/I41</f>
        <v>0.41666666666666669</v>
      </c>
      <c r="Q34" s="19">
        <f>J34/J41</f>
        <v>0.48979591836734693</v>
      </c>
      <c r="R34">
        <v>47.7</v>
      </c>
      <c r="S34">
        <v>5</v>
      </c>
      <c r="V34" t="s">
        <v>57</v>
      </c>
      <c r="W34">
        <v>-3.4870013029720176E-2</v>
      </c>
      <c r="X34">
        <v>-0.13371414144601879</v>
      </c>
      <c r="Y34" s="20">
        <v>1.3304622010305339E-2</v>
      </c>
    </row>
    <row r="35" spans="1:25">
      <c r="B35" t="s">
        <v>62</v>
      </c>
      <c r="C35" s="20">
        <f t="shared" si="2"/>
        <v>0.12860800900912972</v>
      </c>
      <c r="D35" s="20">
        <f t="shared" si="4"/>
        <v>0.12177332856632107</v>
      </c>
      <c r="E35" s="20">
        <f t="shared" si="5"/>
        <v>7.1773363931312742E-2</v>
      </c>
      <c r="F35" s="20">
        <f t="shared" si="3"/>
        <v>-7.1820175438596548E-2</v>
      </c>
      <c r="G35" s="20">
        <f t="shared" si="6"/>
        <v>0.13004783624429855</v>
      </c>
      <c r="H35">
        <v>4</v>
      </c>
      <c r="I35">
        <v>1</v>
      </c>
      <c r="J35">
        <v>3</v>
      </c>
      <c r="K35" s="19">
        <f>F13/F22</f>
        <v>4.284154993632891E-2</v>
      </c>
      <c r="L35" s="19">
        <f>SUM(B13/B22)</f>
        <v>4.341463414634146E-2</v>
      </c>
      <c r="M35" s="19">
        <f>J13/J22</f>
        <v>8.5399449035812675E-2</v>
      </c>
      <c r="N35" s="19">
        <f>SUM(N13/N22)</f>
        <v>4.7806524184476944E-2</v>
      </c>
      <c r="O35" s="19">
        <f>H35/H41</f>
        <v>5.4794520547945202E-2</v>
      </c>
      <c r="P35" s="19">
        <f>I35/I41</f>
        <v>4.1666666666666664E-2</v>
      </c>
      <c r="Q35" s="19">
        <f>J35/J41</f>
        <v>6.1224489795918366E-2</v>
      </c>
      <c r="R35">
        <v>193.5</v>
      </c>
      <c r="S35">
        <v>3</v>
      </c>
      <c r="V35" t="s">
        <v>62</v>
      </c>
      <c r="W35">
        <v>0.12530100473303993</v>
      </c>
      <c r="X35">
        <v>-1.7876123296936924E-2</v>
      </c>
      <c r="Y35" s="20">
        <v>0.18277734678044996</v>
      </c>
    </row>
    <row r="36" spans="1:25">
      <c r="B36" t="s">
        <v>68</v>
      </c>
      <c r="C36" s="20">
        <f t="shared" si="2"/>
        <v>0.92434325744308232</v>
      </c>
      <c r="D36" s="20">
        <f t="shared" si="4"/>
        <v>1</v>
      </c>
      <c r="E36" s="20">
        <f t="shared" si="5"/>
        <v>0.9221200648999458</v>
      </c>
      <c r="F36" s="20">
        <f t="shared" si="3"/>
        <v>-1</v>
      </c>
      <c r="G36" s="20">
        <f t="shared" si="6"/>
        <v>0.94739726027397253</v>
      </c>
      <c r="H36">
        <v>1</v>
      </c>
      <c r="I36">
        <v>0</v>
      </c>
      <c r="J36">
        <v>1</v>
      </c>
      <c r="K36" s="19">
        <f>F12/F22</f>
        <v>5.4575222848826633E-4</v>
      </c>
      <c r="L36" s="19">
        <f>SUM(B12/B22)</f>
        <v>0</v>
      </c>
      <c r="M36" s="19">
        <f>J12/J22</f>
        <v>6.8870523415977963E-4</v>
      </c>
      <c r="N36" s="19">
        <f>SUM(N12/N22)</f>
        <v>5.6242969628796406E-4</v>
      </c>
      <c r="O36" s="19">
        <f>H36/H41</f>
        <v>1.3698630136986301E-2</v>
      </c>
      <c r="P36" s="19">
        <f>I36/I41</f>
        <v>0</v>
      </c>
      <c r="Q36" s="19">
        <f>J36/J41</f>
        <v>2.0408163265306121E-2</v>
      </c>
      <c r="R36">
        <v>3.55</v>
      </c>
      <c r="S36">
        <v>4</v>
      </c>
      <c r="V36" t="s">
        <v>68</v>
      </c>
      <c r="W36">
        <v>0.96012921089063219</v>
      </c>
      <c r="X36">
        <v>-1</v>
      </c>
      <c r="Y36" s="20">
        <v>0.97324166124686429</v>
      </c>
    </row>
    <row r="37" spans="1:25">
      <c r="B37" t="s">
        <v>70</v>
      </c>
      <c r="C37" s="20">
        <f t="shared" si="2"/>
        <v>0.2492695502721283</v>
      </c>
      <c r="D37" s="20">
        <f t="shared" si="4"/>
        <v>0.41870824053452116</v>
      </c>
      <c r="E37" s="20">
        <f t="shared" si="5"/>
        <v>5.1497005988023911E-2</v>
      </c>
      <c r="F37" s="20">
        <f t="shared" si="3"/>
        <v>0.55260831122900089</v>
      </c>
      <c r="G37" s="20">
        <f t="shared" si="6"/>
        <v>-1</v>
      </c>
      <c r="H37">
        <v>1</v>
      </c>
      <c r="I37">
        <v>1</v>
      </c>
      <c r="J37">
        <v>0</v>
      </c>
      <c r="K37" s="19">
        <f>F14/F22</f>
        <v>8.2772421320720397E-3</v>
      </c>
      <c r="L37" s="19">
        <f>SUM(B14/B22)</f>
        <v>5.6585365853658535E-3</v>
      </c>
      <c r="M37" s="19">
        <f>J14/J22</f>
        <v>4.3388429752066117E-2</v>
      </c>
      <c r="N37" s="19">
        <f>SUM(N14/N22)</f>
        <v>1.2373453318335208E-2</v>
      </c>
      <c r="O37" s="19">
        <f>H37/H41</f>
        <v>1.3698630136986301E-2</v>
      </c>
      <c r="P37" s="19">
        <f>I37/I41</f>
        <v>4.1666666666666664E-2</v>
      </c>
      <c r="Q37" s="19">
        <f>J37/J41</f>
        <v>0</v>
      </c>
      <c r="R37">
        <v>3.1</v>
      </c>
      <c r="S37">
        <v>3</v>
      </c>
      <c r="V37" t="s">
        <v>70</v>
      </c>
      <c r="W37">
        <v>0.32577066901297802</v>
      </c>
      <c r="X37">
        <v>0.72049588124949016</v>
      </c>
      <c r="Y37" s="20">
        <v>-1</v>
      </c>
    </row>
    <row r="38" spans="1:25">
      <c r="B38" t="s">
        <v>73</v>
      </c>
      <c r="C38" s="20">
        <f t="shared" si="2"/>
        <v>-0.3425454545454546</v>
      </c>
      <c r="D38" s="20">
        <f t="shared" si="4"/>
        <v>-0.37717245719634013</v>
      </c>
      <c r="E38" s="20">
        <f t="shared" si="5"/>
        <v>-0.3500635675197612</v>
      </c>
      <c r="F38" s="20">
        <f t="shared" si="3"/>
        <v>0.21680637483183274</v>
      </c>
      <c r="G38" s="20">
        <f t="shared" si="6"/>
        <v>-1</v>
      </c>
      <c r="H38">
        <v>2</v>
      </c>
      <c r="I38">
        <v>2</v>
      </c>
      <c r="J38">
        <v>0</v>
      </c>
      <c r="K38" s="19">
        <f>F17/F22</f>
        <v>5.4393305439330547E-2</v>
      </c>
      <c r="L38" s="19">
        <f>SUM(B17/B22)</f>
        <v>5.8634146341463411E-2</v>
      </c>
      <c r="M38" s="19">
        <f>J17/J22</f>
        <v>6.1983471074380167E-2</v>
      </c>
      <c r="N38" s="19">
        <f>SUM(N17/N22)</f>
        <v>5.5278804435159888E-2</v>
      </c>
      <c r="O38" s="19">
        <f>H38/H41</f>
        <v>2.7397260273972601E-2</v>
      </c>
      <c r="P38" s="19">
        <f>I38/I41</f>
        <v>8.3333333333333329E-2</v>
      </c>
      <c r="Q38" s="19">
        <f>J38/J41</f>
        <v>0</v>
      </c>
      <c r="R38">
        <v>222</v>
      </c>
      <c r="S38">
        <v>4</v>
      </c>
      <c r="V38" t="s">
        <v>73</v>
      </c>
      <c r="W38">
        <v>-0.35968183742083876</v>
      </c>
      <c r="X38">
        <v>0.20629475837997224</v>
      </c>
      <c r="Y38" s="20">
        <v>-1</v>
      </c>
    </row>
    <row r="39" spans="1:25">
      <c r="B39" t="s">
        <v>78</v>
      </c>
      <c r="C39" s="20">
        <f t="shared" si="2"/>
        <v>0.90106406080347434</v>
      </c>
      <c r="D39" s="20">
        <f t="shared" si="4"/>
        <v>0.89422853693643489</v>
      </c>
      <c r="E39" s="20">
        <f t="shared" si="5"/>
        <v>0.89736519607843135</v>
      </c>
      <c r="F39" s="20">
        <f t="shared" si="3"/>
        <v>0.89881956155143339</v>
      </c>
      <c r="G39" s="20">
        <f t="shared" si="6"/>
        <v>0.89663884848020825</v>
      </c>
      <c r="H39">
        <v>6</v>
      </c>
      <c r="I39">
        <v>2</v>
      </c>
      <c r="J39">
        <v>4</v>
      </c>
      <c r="K39" s="19">
        <f>F15/F22</f>
        <v>4.6388939421502639E-3</v>
      </c>
      <c r="L39" s="19">
        <f>SUM(B15/B22)</f>
        <v>4.9756097560975611E-3</v>
      </c>
      <c r="M39" s="19">
        <f>J15/J22</f>
        <v>6.1983471074380167E-3</v>
      </c>
      <c r="N39" s="19">
        <f>SUM(N15/N22)</f>
        <v>4.8208259681825488E-3</v>
      </c>
      <c r="O39" s="19">
        <f>H39/H41</f>
        <v>8.2191780821917804E-2</v>
      </c>
      <c r="P39" s="19">
        <f>I39/I41</f>
        <v>8.3333333333333329E-2</v>
      </c>
      <c r="Q39" s="19">
        <f>J39/J41</f>
        <v>8.1632653061224483E-2</v>
      </c>
      <c r="R39">
        <v>225</v>
      </c>
      <c r="S39">
        <v>4</v>
      </c>
      <c r="V39" t="s">
        <v>78</v>
      </c>
      <c r="W39">
        <v>0.89776042367936815</v>
      </c>
      <c r="X39">
        <v>0.89920948616600804</v>
      </c>
      <c r="Y39" s="20">
        <v>0.89703672132618506</v>
      </c>
    </row>
    <row r="40" spans="1:25">
      <c r="B40" t="s">
        <v>80</v>
      </c>
      <c r="C40" s="20">
        <f t="shared" si="2"/>
        <v>-0.38628887431943221</v>
      </c>
      <c r="D40" s="20">
        <f t="shared" si="4"/>
        <v>-0.41045193157031351</v>
      </c>
      <c r="E40" s="20">
        <f t="shared" si="5"/>
        <v>-0.38160697096861396</v>
      </c>
      <c r="F40" s="20">
        <f t="shared" si="3"/>
        <v>-0.30589836660617059</v>
      </c>
      <c r="G40" s="20">
        <f t="shared" si="6"/>
        <v>-0.41959153631062363</v>
      </c>
      <c r="H40">
        <v>16</v>
      </c>
      <c r="I40">
        <v>6</v>
      </c>
      <c r="J40">
        <v>10</v>
      </c>
      <c r="K40" s="19">
        <f>F18/F22</f>
        <v>0.38802983445515737</v>
      </c>
      <c r="L40" s="19">
        <f>SUM(B18/B22)</f>
        <v>0.40175609756097563</v>
      </c>
      <c r="M40" s="19">
        <f>J18/J22</f>
        <v>0.36570247933884298</v>
      </c>
      <c r="N40" s="19">
        <f>SUM(N18/N22)</f>
        <v>0.38542503615619478</v>
      </c>
      <c r="O40" s="19">
        <f>H40/H41</f>
        <v>0.21917808219178081</v>
      </c>
      <c r="P40" s="19">
        <f>I40/I41</f>
        <v>0.25</v>
      </c>
      <c r="Q40" s="19">
        <f>J40/J41</f>
        <v>0.20408163265306123</v>
      </c>
      <c r="R40">
        <v>290</v>
      </c>
      <c r="S40">
        <v>3</v>
      </c>
      <c r="V40" t="s">
        <v>80</v>
      </c>
      <c r="W40">
        <v>-0.39805279910129193</v>
      </c>
      <c r="X40">
        <v>-0.32337156687361884</v>
      </c>
      <c r="Y40" s="20">
        <v>-0.43543997049888489</v>
      </c>
    </row>
    <row r="41" spans="1:25">
      <c r="B41" t="s">
        <v>357</v>
      </c>
      <c r="C41" s="19"/>
      <c r="H41">
        <f t="shared" ref="H41:Q41" si="7">SUM(H29:H40)</f>
        <v>73</v>
      </c>
      <c r="I41">
        <f t="shared" si="7"/>
        <v>24</v>
      </c>
      <c r="J41">
        <f t="shared" si="7"/>
        <v>49</v>
      </c>
      <c r="K41" s="19">
        <f t="shared" si="7"/>
        <v>1</v>
      </c>
      <c r="L41" s="19">
        <f t="shared" si="7"/>
        <v>1</v>
      </c>
      <c r="M41" s="19">
        <f>SUM(M29:M40)</f>
        <v>1</v>
      </c>
      <c r="N41" s="19">
        <f t="shared" si="7"/>
        <v>1</v>
      </c>
      <c r="O41" s="19">
        <f t="shared" si="7"/>
        <v>1</v>
      </c>
      <c r="P41" s="19">
        <f t="shared" si="7"/>
        <v>1</v>
      </c>
      <c r="Q41" s="19">
        <f t="shared" si="7"/>
        <v>1</v>
      </c>
    </row>
    <row r="42" spans="1:25">
      <c r="N42" s="19"/>
    </row>
    <row r="43" spans="1:25">
      <c r="A43" t="s">
        <v>373</v>
      </c>
      <c r="B43" t="s">
        <v>24</v>
      </c>
      <c r="C43" s="20">
        <f t="shared" ref="C43:C56" si="8">(O43-K43)/(O43+K43-2*O43*K43)</f>
        <v>-0.57768648518501786</v>
      </c>
      <c r="D43" s="20">
        <f>(O43-L43)/(O43+L43-2*O43*L43)</f>
        <v>-0.47523363477435093</v>
      </c>
      <c r="E43" s="20">
        <f t="shared" ref="E43:E56" si="9">(O43-N43)/(O43+N43-2*O43*N43)</f>
        <v>-0.57526348252835946</v>
      </c>
      <c r="F43" s="20">
        <f>(P43-N43)/(P43+N43-2*P43*N43)</f>
        <v>-0.26159727726234322</v>
      </c>
      <c r="G43" s="20">
        <f>(Q43-N43)/(Q43+N43-2*Q43*N43)</f>
        <v>-1</v>
      </c>
      <c r="H43">
        <v>1</v>
      </c>
      <c r="I43">
        <v>1</v>
      </c>
      <c r="J43">
        <v>0</v>
      </c>
      <c r="K43" s="19">
        <f>F3/F23</f>
        <v>4.0284522262499144E-2</v>
      </c>
      <c r="L43" s="19">
        <f>SUM(B3/B23)</f>
        <v>3.0619567817558407E-2</v>
      </c>
      <c r="M43" s="19">
        <f>J3/J23</f>
        <v>3.7826318593500267E-2</v>
      </c>
      <c r="N43" s="19">
        <f>SUM(N3/N23)</f>
        <v>4.0004849072614861E-2</v>
      </c>
      <c r="O43" s="19">
        <f>H43/H57</f>
        <v>1.1111111111111112E-2</v>
      </c>
      <c r="P43" s="19">
        <f>I43/I57</f>
        <v>2.3809523809523808E-2</v>
      </c>
      <c r="Q43" s="19">
        <f>J43/J57</f>
        <v>0</v>
      </c>
      <c r="R43">
        <v>25.25</v>
      </c>
      <c r="S43">
        <v>5</v>
      </c>
    </row>
    <row r="44" spans="1:25">
      <c r="B44" t="s">
        <v>30</v>
      </c>
      <c r="C44" s="20">
        <f t="shared" si="8"/>
        <v>1</v>
      </c>
      <c r="D44" s="20">
        <f t="shared" ref="D44:D56" si="10">(O44-L44)/(O44+L44-2*O44*L44)</f>
        <v>1</v>
      </c>
      <c r="E44" s="20">
        <f t="shared" si="9"/>
        <v>1</v>
      </c>
      <c r="F44" s="20">
        <f t="shared" ref="F44:F56" si="11">(P44-N44)/(P44+N44-2*P44*N44)</f>
        <v>1</v>
      </c>
      <c r="G44" s="20">
        <f>(Q44-N44)/(Q44+N44-2*Q44*N44)</f>
        <v>1</v>
      </c>
      <c r="H44">
        <v>4</v>
      </c>
      <c r="I44">
        <v>2</v>
      </c>
      <c r="J44">
        <v>2</v>
      </c>
      <c r="K44" s="19">
        <v>0</v>
      </c>
      <c r="L44" s="19">
        <v>0</v>
      </c>
      <c r="M44" s="19">
        <v>0</v>
      </c>
      <c r="N44" s="19">
        <v>0</v>
      </c>
      <c r="O44" s="19">
        <f>H44/H57</f>
        <v>4.4444444444444446E-2</v>
      </c>
      <c r="P44" s="19">
        <f>I44/I57</f>
        <v>4.7619047619047616E-2</v>
      </c>
      <c r="Q44" s="19">
        <f>J44/J57</f>
        <v>4.1666666666666664E-2</v>
      </c>
      <c r="R44">
        <v>35</v>
      </c>
      <c r="S44">
        <v>1</v>
      </c>
    </row>
    <row r="45" spans="1:25">
      <c r="B45" t="s">
        <v>32</v>
      </c>
      <c r="C45" s="20">
        <f t="shared" si="8"/>
        <v>0.75404025232802641</v>
      </c>
      <c r="D45" s="20">
        <f t="shared" si="10"/>
        <v>0.7189152076896671</v>
      </c>
      <c r="E45" s="20">
        <f t="shared" si="9"/>
        <v>0.70508439473956719</v>
      </c>
      <c r="F45" s="20">
        <f t="shared" si="11"/>
        <v>0.85240184497693794</v>
      </c>
      <c r="G45" s="20">
        <f>(Q45-N45)/(Q45+N45-2*Q45*N45)</f>
        <v>-1</v>
      </c>
      <c r="H45">
        <v>1</v>
      </c>
      <c r="I45">
        <v>1</v>
      </c>
      <c r="J45">
        <v>0</v>
      </c>
      <c r="K45" s="19">
        <f>F5/F23</f>
        <v>1.573079816702004E-3</v>
      </c>
      <c r="L45" s="19">
        <f>SUM(B5/B23)</f>
        <v>1.8339845307391756E-3</v>
      </c>
      <c r="M45" s="19">
        <f>J5/J23</f>
        <v>4.7948854555141182E-3</v>
      </c>
      <c r="N45" s="19">
        <f>SUM(N5/N23)</f>
        <v>1.9396290459449631E-3</v>
      </c>
      <c r="O45" s="19">
        <f>H45/H57</f>
        <v>1.1111111111111112E-2</v>
      </c>
      <c r="P45" s="19">
        <f>I45/I57</f>
        <v>2.3809523809523808E-2</v>
      </c>
      <c r="Q45" s="19">
        <f>J45/J57</f>
        <v>0</v>
      </c>
      <c r="R45">
        <v>910</v>
      </c>
    </row>
    <row r="46" spans="1:25">
      <c r="B46" t="s">
        <v>35</v>
      </c>
      <c r="C46" s="20">
        <f t="shared" si="8"/>
        <v>0.9070799347471451</v>
      </c>
      <c r="D46" s="20">
        <f t="shared" si="10"/>
        <v>0.91827989899762807</v>
      </c>
      <c r="E46" s="20">
        <f t="shared" si="9"/>
        <v>0.9172189280316243</v>
      </c>
      <c r="F46" s="20">
        <f>(P46-N46)/(P46+N46-2*P46*N46)</f>
        <v>0.96099417290997735</v>
      </c>
      <c r="G46" s="20">
        <f t="shared" ref="G46:G56" si="12">(Q46-N46)/(Q46+N46-2*Q46*N46)</f>
        <v>-1</v>
      </c>
      <c r="H46">
        <v>1</v>
      </c>
      <c r="I46">
        <v>1</v>
      </c>
      <c r="J46">
        <v>0</v>
      </c>
      <c r="K46" s="19">
        <f>F6/F23</f>
        <v>5.4715819711374054E-4</v>
      </c>
      <c r="L46" s="19">
        <f>SUM(B6/B23)</f>
        <v>4.784307471493501E-4</v>
      </c>
      <c r="M46" s="19">
        <v>0</v>
      </c>
      <c r="N46" s="19">
        <f>SUM(N6/N23)</f>
        <v>4.8490726148624078E-4</v>
      </c>
      <c r="O46" s="19">
        <f>H46/H57</f>
        <v>1.1111111111111112E-2</v>
      </c>
      <c r="P46" s="19">
        <f>I46/I57</f>
        <v>2.3809523809523808E-2</v>
      </c>
      <c r="Q46" s="19">
        <f>J46/J57</f>
        <v>0</v>
      </c>
      <c r="R46">
        <v>40</v>
      </c>
    </row>
    <row r="47" spans="1:25">
      <c r="B47" t="s">
        <v>38</v>
      </c>
      <c r="C47" s="20">
        <f t="shared" si="8"/>
        <v>1</v>
      </c>
      <c r="D47" s="20">
        <f t="shared" si="10"/>
        <v>1</v>
      </c>
      <c r="E47" s="20">
        <f t="shared" si="9"/>
        <v>1</v>
      </c>
      <c r="F47" s="20" t="e">
        <f t="shared" si="11"/>
        <v>#DIV/0!</v>
      </c>
      <c r="G47" s="20">
        <f t="shared" si="12"/>
        <v>1</v>
      </c>
      <c r="H47">
        <v>2</v>
      </c>
      <c r="I47">
        <v>0</v>
      </c>
      <c r="J47">
        <v>2</v>
      </c>
      <c r="K47" s="19">
        <v>0</v>
      </c>
      <c r="L47" s="19">
        <v>0</v>
      </c>
      <c r="M47" s="19">
        <v>0</v>
      </c>
      <c r="N47" s="19">
        <v>0</v>
      </c>
      <c r="O47" s="19">
        <f>H47/H57</f>
        <v>2.2222222222222223E-2</v>
      </c>
      <c r="P47" s="19">
        <f>I47/I57</f>
        <v>0</v>
      </c>
      <c r="Q47" s="19">
        <f>J47/J57</f>
        <v>4.1666666666666664E-2</v>
      </c>
      <c r="R47">
        <v>280</v>
      </c>
    </row>
    <row r="48" spans="1:25">
      <c r="B48" t="s">
        <v>42</v>
      </c>
      <c r="C48" s="20">
        <f t="shared" si="8"/>
        <v>0.53132250580046403</v>
      </c>
      <c r="D48" s="20">
        <f t="shared" si="10"/>
        <v>0.5051995163240629</v>
      </c>
      <c r="E48" s="20">
        <f t="shared" si="9"/>
        <v>0.54399849255700017</v>
      </c>
      <c r="F48" s="20">
        <f t="shared" si="11"/>
        <v>0.56837974925830215</v>
      </c>
      <c r="G48" s="20">
        <f t="shared" si="12"/>
        <v>0.52036367009926698</v>
      </c>
      <c r="H48">
        <v>2</v>
      </c>
      <c r="I48">
        <v>1</v>
      </c>
      <c r="J48">
        <v>1</v>
      </c>
      <c r="K48" s="19">
        <f>F7/F23</f>
        <v>6.9078722385609737E-3</v>
      </c>
      <c r="L48" s="19">
        <f>SUM(B7/B23)</f>
        <v>7.4156765808149269E-3</v>
      </c>
      <c r="M48" s="19">
        <f>J7/J23</f>
        <v>4.7948854555141182E-3</v>
      </c>
      <c r="N48" s="19">
        <f>SUM(N7/N23)</f>
        <v>6.6674748454358104E-3</v>
      </c>
      <c r="O48" s="19">
        <f>H48/H57</f>
        <v>2.2222222222222223E-2</v>
      </c>
      <c r="P48" s="19">
        <f>I48/I57</f>
        <v>2.3809523809523808E-2</v>
      </c>
      <c r="Q48" s="19">
        <f>J48/J57</f>
        <v>2.0833333333333332E-2</v>
      </c>
      <c r="R48">
        <v>19.7</v>
      </c>
      <c r="S48">
        <v>1</v>
      </c>
    </row>
    <row r="49" spans="1:19">
      <c r="B49" t="s">
        <v>47</v>
      </c>
      <c r="C49" s="20">
        <f t="shared" si="8"/>
        <v>-0.54477431032532275</v>
      </c>
      <c r="D49" s="20">
        <f t="shared" si="10"/>
        <v>-0.53207868319761698</v>
      </c>
      <c r="E49" s="20">
        <f t="shared" si="9"/>
        <v>-0.52862092451656839</v>
      </c>
      <c r="F49" s="20">
        <f t="shared" si="11"/>
        <v>-0.19804524157388284</v>
      </c>
      <c r="G49" s="20">
        <f t="shared" si="12"/>
        <v>-1</v>
      </c>
      <c r="H49">
        <v>1</v>
      </c>
      <c r="I49">
        <v>1</v>
      </c>
      <c r="J49">
        <v>0</v>
      </c>
      <c r="K49" s="19">
        <f>F8/F23</f>
        <v>3.6727993981259831E-2</v>
      </c>
      <c r="L49" s="19">
        <f>SUM(B8/B23)</f>
        <v>3.5483613746910135E-2</v>
      </c>
      <c r="M49" s="19">
        <f>J8/J23</f>
        <v>2.2908897176345231E-2</v>
      </c>
      <c r="N49" s="19">
        <f>SUM(N8/N23)</f>
        <v>3.5155776457752454E-2</v>
      </c>
      <c r="O49" s="19">
        <f>H49/H57</f>
        <v>1.1111111111111112E-2</v>
      </c>
      <c r="P49" s="19">
        <f>I49/I57</f>
        <v>2.3809523809523808E-2</v>
      </c>
      <c r="Q49" s="19">
        <f>J49/J57</f>
        <v>0</v>
      </c>
      <c r="R49">
        <v>560</v>
      </c>
      <c r="S49">
        <v>1</v>
      </c>
    </row>
    <row r="50" spans="1:19">
      <c r="B50" t="s">
        <v>53</v>
      </c>
      <c r="C50" s="20">
        <f t="shared" si="8"/>
        <v>-0.90025881524732398</v>
      </c>
      <c r="D50" s="20">
        <f t="shared" si="10"/>
        <v>-0.84765309573271319</v>
      </c>
      <c r="E50" s="20">
        <f t="shared" si="9"/>
        <v>-0.90255039937770565</v>
      </c>
      <c r="F50" s="20">
        <f t="shared" si="11"/>
        <v>-1</v>
      </c>
      <c r="G50" s="20">
        <f t="shared" si="12"/>
        <v>-0.82316730490243484</v>
      </c>
      <c r="H50">
        <v>1</v>
      </c>
      <c r="I50">
        <v>0</v>
      </c>
      <c r="J50">
        <v>1</v>
      </c>
      <c r="K50" s="19">
        <f>F9/F23</f>
        <v>0.17632172901990287</v>
      </c>
      <c r="L50" s="19">
        <f>SUM(B9/B23)</f>
        <v>0.11992664061877044</v>
      </c>
      <c r="M50" s="19">
        <f>J9/J23</f>
        <v>0.20777836973894512</v>
      </c>
      <c r="N50" s="19">
        <f>SUM(N9/N23)</f>
        <v>0.17990059401139533</v>
      </c>
      <c r="O50" s="19">
        <f>H50/H57</f>
        <v>1.1111111111111112E-2</v>
      </c>
      <c r="P50" s="19">
        <f>I50/I57</f>
        <v>0</v>
      </c>
      <c r="Q50" s="19">
        <f>J50/J57</f>
        <v>2.0833333333333332E-2</v>
      </c>
      <c r="R50">
        <v>100</v>
      </c>
      <c r="S50">
        <v>4</v>
      </c>
    </row>
    <row r="51" spans="1:19">
      <c r="B51" t="s">
        <v>57</v>
      </c>
      <c r="C51" s="20">
        <f t="shared" si="8"/>
        <v>-0.17984549121487667</v>
      </c>
      <c r="D51" s="20">
        <f t="shared" si="10"/>
        <v>-0.21974160934651121</v>
      </c>
      <c r="E51" s="20">
        <f t="shared" si="9"/>
        <v>-0.16815140357128722</v>
      </c>
      <c r="F51" s="20">
        <f t="shared" si="11"/>
        <v>-0.29217790894328666</v>
      </c>
      <c r="G51" s="20">
        <f t="shared" si="12"/>
        <v>-6.5848561646880979E-2</v>
      </c>
      <c r="H51">
        <v>26</v>
      </c>
      <c r="I51">
        <v>10</v>
      </c>
      <c r="J51">
        <v>16</v>
      </c>
      <c r="K51" s="19">
        <f>F10/F23</f>
        <v>0.36885301962930034</v>
      </c>
      <c r="L51" s="19">
        <f>SUM(B10/B23)</f>
        <v>0.3884060282274141</v>
      </c>
      <c r="M51" s="19">
        <f>J10/J23</f>
        <v>0.3196590303676079</v>
      </c>
      <c r="N51" s="19">
        <f>SUM(N10/N23)</f>
        <v>0.36325615226088009</v>
      </c>
      <c r="O51" s="19">
        <f>H51/H57</f>
        <v>0.28888888888888886</v>
      </c>
      <c r="P51" s="19">
        <f>I51/I57</f>
        <v>0.23809523809523808</v>
      </c>
      <c r="Q51" s="19">
        <f>J51/J57</f>
        <v>0.33333333333333331</v>
      </c>
      <c r="R51">
        <v>47.7</v>
      </c>
      <c r="S51">
        <v>5</v>
      </c>
    </row>
    <row r="52" spans="1:19">
      <c r="B52" t="s">
        <v>62</v>
      </c>
      <c r="C52" s="20">
        <f t="shared" si="8"/>
        <v>0.6939152443821186</v>
      </c>
      <c r="D52" s="20">
        <f t="shared" si="10"/>
        <v>0.6670670000590655</v>
      </c>
      <c r="E52" s="20">
        <f t="shared" si="9"/>
        <v>0.66236345580933464</v>
      </c>
      <c r="F52" s="20">
        <f t="shared" si="11"/>
        <v>0.56633507337732691</v>
      </c>
      <c r="G52" s="20">
        <f t="shared" si="12"/>
        <v>0.72097972729240301</v>
      </c>
      <c r="H52">
        <v>14</v>
      </c>
      <c r="I52">
        <v>5</v>
      </c>
      <c r="J52">
        <v>9</v>
      </c>
      <c r="K52" s="19">
        <f>F13/F23</f>
        <v>3.2213938855071469E-2</v>
      </c>
      <c r="L52" s="19">
        <f>SUM(B13/B23)</f>
        <v>3.5483613746910135E-2</v>
      </c>
      <c r="M52" s="19">
        <f>J13/J23</f>
        <v>6.6062866275972298E-2</v>
      </c>
      <c r="N52" s="19">
        <f>SUM(N13/N23)</f>
        <v>3.6064977573039156E-2</v>
      </c>
      <c r="O52" s="19">
        <f>H52/H57</f>
        <v>0.15555555555555556</v>
      </c>
      <c r="P52" s="19">
        <f>I52/I57</f>
        <v>0.11904761904761904</v>
      </c>
      <c r="Q52" s="19">
        <f>J52/J57</f>
        <v>0.1875</v>
      </c>
      <c r="R52">
        <v>193.5</v>
      </c>
      <c r="S52">
        <v>3</v>
      </c>
    </row>
    <row r="53" spans="1:19">
      <c r="B53" t="s">
        <v>68</v>
      </c>
      <c r="C53" s="20">
        <f t="shared" si="8"/>
        <v>0.92950029704931014</v>
      </c>
      <c r="D53" s="20">
        <f t="shared" si="10"/>
        <v>1</v>
      </c>
      <c r="E53" s="20">
        <f t="shared" si="9"/>
        <v>0.92719411008531039</v>
      </c>
      <c r="F53" s="20">
        <f t="shared" si="11"/>
        <v>0.9657885326022172</v>
      </c>
      <c r="G53" s="20">
        <f t="shared" si="12"/>
        <v>-1</v>
      </c>
      <c r="H53">
        <v>1</v>
      </c>
      <c r="I53">
        <v>1</v>
      </c>
      <c r="J53">
        <v>0</v>
      </c>
      <c r="K53" s="19">
        <f>F12/F23</f>
        <v>4.1036864783530541E-4</v>
      </c>
      <c r="L53" s="19">
        <f>SUM(B12/B23)</f>
        <v>0</v>
      </c>
      <c r="M53" s="19">
        <f>J12/J23</f>
        <v>5.3276505061267978E-4</v>
      </c>
      <c r="N53" s="19">
        <f>SUM(N12/N23)</f>
        <v>4.2429385380046068E-4</v>
      </c>
      <c r="O53" s="19">
        <f>H53/H57</f>
        <v>1.1111111111111112E-2</v>
      </c>
      <c r="P53" s="19">
        <f>I53/I57</f>
        <v>2.3809523809523808E-2</v>
      </c>
      <c r="Q53" s="19">
        <f>J53/J57</f>
        <v>0</v>
      </c>
      <c r="R53">
        <v>3.55</v>
      </c>
      <c r="S53">
        <v>4</v>
      </c>
    </row>
    <row r="54" spans="1:19">
      <c r="B54" t="s">
        <v>78</v>
      </c>
      <c r="C54" s="20">
        <f t="shared" si="8"/>
        <v>0.95550783478173318</v>
      </c>
      <c r="D54" s="20">
        <f t="shared" si="10"/>
        <v>0.94828998167141143</v>
      </c>
      <c r="E54" s="20">
        <f t="shared" si="9"/>
        <v>0.95364868077014497</v>
      </c>
      <c r="F54" s="20">
        <f t="shared" si="11"/>
        <v>0.94739959720412259</v>
      </c>
      <c r="G54" s="20">
        <f t="shared" si="12"/>
        <v>0.95813692289365759</v>
      </c>
      <c r="H54">
        <v>12</v>
      </c>
      <c r="I54">
        <v>5</v>
      </c>
      <c r="J54">
        <v>7</v>
      </c>
      <c r="K54" s="19">
        <f>F15/F23</f>
        <v>3.4881335066000957E-3</v>
      </c>
      <c r="L54" s="19">
        <f>SUM(B15/B23)</f>
        <v>4.066661350769476E-3</v>
      </c>
      <c r="M54" s="19">
        <f>J15/J23</f>
        <v>4.7948854555141182E-3</v>
      </c>
      <c r="N54" s="19">
        <f>SUM(N15/N23)</f>
        <v>3.6368044611468056E-3</v>
      </c>
      <c r="O54" s="19">
        <f>H54/H57</f>
        <v>0.13333333333333333</v>
      </c>
      <c r="P54" s="19">
        <f>I54/I57</f>
        <v>0.11904761904761904</v>
      </c>
      <c r="Q54" s="19">
        <f>J54/J57</f>
        <v>0.14583333333333334</v>
      </c>
      <c r="R54">
        <v>225</v>
      </c>
      <c r="S54">
        <v>4</v>
      </c>
    </row>
    <row r="55" spans="1:19">
      <c r="B55" t="s">
        <v>73</v>
      </c>
      <c r="C55" s="20">
        <f t="shared" si="8"/>
        <v>0.25233311006921183</v>
      </c>
      <c r="D55" s="20">
        <f t="shared" si="10"/>
        <v>0.17323376240542396</v>
      </c>
      <c r="E55" s="20">
        <f t="shared" si="9"/>
        <v>0.24282682179073969</v>
      </c>
      <c r="F55" s="20">
        <f t="shared" si="11"/>
        <v>6.9327020629015829E-2</v>
      </c>
      <c r="G55" s="20">
        <f t="shared" si="12"/>
        <v>0.35255368294978173</v>
      </c>
      <c r="H55">
        <v>6</v>
      </c>
      <c r="I55">
        <v>2</v>
      </c>
      <c r="J55">
        <v>4</v>
      </c>
      <c r="K55" s="19">
        <f>F17/F23</f>
        <v>4.0900075234252105E-2</v>
      </c>
      <c r="L55" s="19">
        <f>SUM(B17/B23)</f>
        <v>4.792281317279324E-2</v>
      </c>
      <c r="M55" s="19">
        <f>J17/J23</f>
        <v>4.7948854555141182E-2</v>
      </c>
      <c r="N55" s="19">
        <f>SUM(N17/N23)</f>
        <v>4.1702024487816708E-2</v>
      </c>
      <c r="O55" s="19">
        <f>H55/H57</f>
        <v>6.6666666666666666E-2</v>
      </c>
      <c r="P55" s="19">
        <f>I55/I57</f>
        <v>4.7619047619047616E-2</v>
      </c>
      <c r="Q55" s="19">
        <f>J55/J57</f>
        <v>8.3333333333333329E-2</v>
      </c>
      <c r="R55">
        <v>222</v>
      </c>
      <c r="S55">
        <v>4</v>
      </c>
    </row>
    <row r="56" spans="1:19">
      <c r="B56" t="s">
        <v>80</v>
      </c>
      <c r="C56" s="20">
        <f t="shared" si="8"/>
        <v>-0.24468434297385022</v>
      </c>
      <c r="D56" s="20">
        <f t="shared" si="10"/>
        <v>-0.32331793532837916</v>
      </c>
      <c r="E56" s="20">
        <f t="shared" si="9"/>
        <v>-0.24238402020136618</v>
      </c>
      <c r="F56" s="20">
        <f t="shared" si="11"/>
        <v>-1.2302952286492159E-2</v>
      </c>
      <c r="G56" s="20">
        <f t="shared" si="12"/>
        <v>-0.48317137809187283</v>
      </c>
      <c r="H56">
        <v>18</v>
      </c>
      <c r="I56">
        <v>12</v>
      </c>
      <c r="J56">
        <v>6</v>
      </c>
      <c r="K56" s="19">
        <f>F18/F23</f>
        <v>0.29177210861090214</v>
      </c>
      <c r="L56" s="19">
        <f>SUM(B18/B23)</f>
        <v>0.32836296946017063</v>
      </c>
      <c r="M56" s="19">
        <f>J18/J23</f>
        <v>0.28289824187533297</v>
      </c>
      <c r="N56" s="19">
        <f>SUM(N18/N23)</f>
        <v>0.29076251666868713</v>
      </c>
      <c r="O56" s="19">
        <f>H56/H57</f>
        <v>0.2</v>
      </c>
      <c r="P56" s="19">
        <f>I56/I57</f>
        <v>0.2857142857142857</v>
      </c>
      <c r="Q56" s="19">
        <f>J56/J57</f>
        <v>0.125</v>
      </c>
      <c r="R56">
        <v>290</v>
      </c>
      <c r="S56">
        <v>3</v>
      </c>
    </row>
    <row r="57" spans="1:19">
      <c r="B57" t="s">
        <v>357</v>
      </c>
      <c r="H57">
        <f t="shared" ref="H57:Q57" si="13">SUM(H43:H56)</f>
        <v>90</v>
      </c>
      <c r="I57">
        <f t="shared" si="13"/>
        <v>42</v>
      </c>
      <c r="J57">
        <f t="shared" si="13"/>
        <v>48</v>
      </c>
      <c r="K57" s="19">
        <f t="shared" si="13"/>
        <v>1</v>
      </c>
      <c r="L57" s="19">
        <f t="shared" si="13"/>
        <v>1</v>
      </c>
      <c r="M57" s="19">
        <f>SUM(M43:M56)</f>
        <v>1</v>
      </c>
      <c r="N57" s="19">
        <f t="shared" si="13"/>
        <v>1</v>
      </c>
      <c r="O57" s="19">
        <f t="shared" si="13"/>
        <v>0.99999999999999978</v>
      </c>
      <c r="P57" s="19">
        <f t="shared" si="13"/>
        <v>1</v>
      </c>
      <c r="Q57" s="19">
        <f t="shared" si="13"/>
        <v>1</v>
      </c>
    </row>
    <row r="58" spans="1:19">
      <c r="N58" s="19"/>
    </row>
    <row r="59" spans="1:19">
      <c r="A59" t="s">
        <v>396</v>
      </c>
      <c r="B59" s="4" t="s">
        <v>30</v>
      </c>
      <c r="C59" s="20">
        <v>1</v>
      </c>
      <c r="D59" s="20">
        <f>(O59-L59)/(O59+L59-2*O59*L59)</f>
        <v>1</v>
      </c>
      <c r="E59" s="20">
        <f>(O59-N59)/(O59+N59-2*O59*N59)</f>
        <v>1</v>
      </c>
      <c r="F59" s="20">
        <f>(P59-N59)/(P59+N59-2*P59*N59)</f>
        <v>1</v>
      </c>
      <c r="G59" s="20">
        <f>(Q59-N59)/(Q59+N59-2*Q59*N59)</f>
        <v>1</v>
      </c>
      <c r="H59">
        <v>5</v>
      </c>
      <c r="I59">
        <v>4</v>
      </c>
      <c r="J59">
        <v>1</v>
      </c>
      <c r="K59" s="19">
        <v>0</v>
      </c>
      <c r="L59" s="19">
        <v>0</v>
      </c>
      <c r="M59" s="19">
        <v>0</v>
      </c>
      <c r="N59" s="19">
        <v>0</v>
      </c>
      <c r="O59" s="19">
        <f>H59/H72</f>
        <v>4.4247787610619468E-2</v>
      </c>
      <c r="P59" s="19">
        <f>I59/I72</f>
        <v>0.10810810810810811</v>
      </c>
      <c r="Q59" s="19">
        <f>J59/J72</f>
        <v>1.3157894736842105E-2</v>
      </c>
      <c r="R59">
        <v>35</v>
      </c>
      <c r="S59">
        <v>1</v>
      </c>
    </row>
    <row r="60" spans="1:19">
      <c r="B60" t="s">
        <v>38</v>
      </c>
      <c r="C60" s="20">
        <f t="shared" ref="C60:C71" si="14">(O60-K60)/(O60+K60-2*O60*K60)</f>
        <v>1</v>
      </c>
      <c r="D60" s="20">
        <f t="shared" ref="D60:D71" si="15">(O60-L60)/(O60+L60-2*O60*L60)</f>
        <v>1</v>
      </c>
      <c r="E60" s="20">
        <f t="shared" ref="E60:E71" si="16">(O60-N60)/(O60+N60-2*O60*N60)</f>
        <v>1</v>
      </c>
      <c r="F60" s="20">
        <f>(P60-N60)/(P60+N60-2*P60*N60)</f>
        <v>1</v>
      </c>
      <c r="G60" s="20">
        <f t="shared" ref="G60:G71" si="17">(Q60-N60)/(Q60+N60-2*Q60*N60)</f>
        <v>1</v>
      </c>
      <c r="H60">
        <v>5</v>
      </c>
      <c r="I60">
        <v>1</v>
      </c>
      <c r="J60">
        <v>4</v>
      </c>
      <c r="K60" s="19">
        <f>0</f>
        <v>0</v>
      </c>
      <c r="L60" s="19">
        <v>0</v>
      </c>
      <c r="M60" s="19">
        <v>0</v>
      </c>
      <c r="N60" s="19">
        <v>0</v>
      </c>
      <c r="O60" s="19">
        <f>H60/H72</f>
        <v>4.4247787610619468E-2</v>
      </c>
      <c r="P60" s="19">
        <f>I60/I72</f>
        <v>2.7027027027027029E-2</v>
      </c>
      <c r="Q60" s="19">
        <f>J60/J72</f>
        <v>5.2631578947368418E-2</v>
      </c>
      <c r="R60">
        <v>280</v>
      </c>
    </row>
    <row r="61" spans="1:19">
      <c r="B61" t="s">
        <v>42</v>
      </c>
      <c r="C61" s="20">
        <f t="shared" si="14"/>
        <v>0.32192215804276164</v>
      </c>
      <c r="D61" s="20">
        <f t="shared" si="15"/>
        <v>0.33242797555533998</v>
      </c>
      <c r="E61" s="20">
        <f t="shared" si="16"/>
        <v>0.34220450382501894</v>
      </c>
      <c r="F61" s="20">
        <f t="shared" ref="F61:F71" si="18">(P61-N61)/(P61+N61-2*P61*N61)</f>
        <v>0.51757324724371079</v>
      </c>
      <c r="G61" s="20">
        <f t="shared" si="17"/>
        <v>0.20316801081759792</v>
      </c>
      <c r="H61">
        <v>2</v>
      </c>
      <c r="I61">
        <v>1</v>
      </c>
      <c r="J61">
        <v>1</v>
      </c>
      <c r="K61" s="19">
        <f>F7/F24</f>
        <v>9.1576752198748758E-3</v>
      </c>
      <c r="L61" s="19">
        <f>B7/B24</f>
        <v>8.9466089466089475E-3</v>
      </c>
      <c r="M61" s="19">
        <f>J7/J24</f>
        <v>5.8517555266579977E-3</v>
      </c>
      <c r="N61" s="19">
        <f>N7/N24</f>
        <v>8.7530834725869332E-3</v>
      </c>
      <c r="O61" s="19">
        <f>H61/H72</f>
        <v>1.7699115044247787E-2</v>
      </c>
      <c r="P61" s="19">
        <f>I61/I72</f>
        <v>2.7027027027027029E-2</v>
      </c>
      <c r="Q61" s="19">
        <f>J61/J72</f>
        <v>1.3157894736842105E-2</v>
      </c>
      <c r="R61">
        <v>19.7</v>
      </c>
      <c r="S61">
        <v>1</v>
      </c>
    </row>
    <row r="62" spans="1:19">
      <c r="B62" s="4" t="s">
        <v>57</v>
      </c>
      <c r="C62" s="20">
        <f t="shared" si="14"/>
        <v>-0.27175112133335699</v>
      </c>
      <c r="D62" s="20">
        <f t="shared" si="15"/>
        <v>-0.23350036337272337</v>
      </c>
      <c r="E62" s="20">
        <f t="shared" si="16"/>
        <v>-0.24916731981914453</v>
      </c>
      <c r="F62" s="20">
        <f t="shared" si="18"/>
        <v>-0.36603369978784206</v>
      </c>
      <c r="G62" s="20">
        <f t="shared" si="17"/>
        <v>-0.19272014346297078</v>
      </c>
      <c r="H62">
        <v>40</v>
      </c>
      <c r="I62">
        <v>11</v>
      </c>
      <c r="J62">
        <v>29</v>
      </c>
      <c r="K62" s="19">
        <f>F10/F24</f>
        <v>0.48898358872064557</v>
      </c>
      <c r="L62" s="19">
        <f>SUM(B10/B24)</f>
        <v>0.46859066859066861</v>
      </c>
      <c r="M62" s="19">
        <f>J10/J24</f>
        <v>0.39011703511053314</v>
      </c>
      <c r="N62" s="19">
        <f>N10/N24</f>
        <v>0.47688390228375904</v>
      </c>
      <c r="O62" s="19">
        <f>H62/H72</f>
        <v>0.35398230088495575</v>
      </c>
      <c r="P62" s="19">
        <f>I62/I72</f>
        <v>0.29729729729729731</v>
      </c>
      <c r="Q62" s="19">
        <f>J62/J72</f>
        <v>0.38157894736842107</v>
      </c>
      <c r="R62">
        <v>47.7</v>
      </c>
      <c r="S62">
        <v>5</v>
      </c>
    </row>
    <row r="63" spans="1:19">
      <c r="B63" t="s">
        <v>60</v>
      </c>
      <c r="C63" s="20">
        <f t="shared" si="14"/>
        <v>0.30670793405154456</v>
      </c>
      <c r="D63" s="20">
        <f t="shared" si="15"/>
        <v>0.18075318589633696</v>
      </c>
      <c r="E63" s="20">
        <f t="shared" si="16"/>
        <v>0.30098299266656259</v>
      </c>
      <c r="F63" s="20">
        <f t="shared" si="18"/>
        <v>-1</v>
      </c>
      <c r="G63" s="20">
        <f t="shared" si="17"/>
        <v>0.47080613864879156</v>
      </c>
      <c r="H63">
        <v>1</v>
      </c>
      <c r="I63">
        <v>0</v>
      </c>
      <c r="J63">
        <v>1</v>
      </c>
      <c r="K63" s="19">
        <f>F11/F24</f>
        <v>4.7148426874603321E-3</v>
      </c>
      <c r="L63" s="19">
        <f>B11/B24</f>
        <v>6.1568061568061565E-3</v>
      </c>
      <c r="M63" s="19">
        <f>J11/J24</f>
        <v>5.2015604681404422E-3</v>
      </c>
      <c r="N63" s="19">
        <f>N11/N24</f>
        <v>4.7744091668656006E-3</v>
      </c>
      <c r="O63" s="19">
        <f>H63/H72</f>
        <v>8.8495575221238937E-3</v>
      </c>
      <c r="P63" s="19">
        <f>I63/I72</f>
        <v>0</v>
      </c>
      <c r="Q63" s="19">
        <f>J63/J72</f>
        <v>1.3157894736842105E-2</v>
      </c>
      <c r="R63">
        <v>11.9</v>
      </c>
      <c r="S63">
        <v>2</v>
      </c>
    </row>
    <row r="64" spans="1:19">
      <c r="B64" t="s">
        <v>62</v>
      </c>
      <c r="C64" s="20">
        <f t="shared" si="14"/>
        <v>0.37034128740435973</v>
      </c>
      <c r="D64" s="20">
        <f t="shared" si="15"/>
        <v>0.36925035263357064</v>
      </c>
      <c r="E64" s="20">
        <f t="shared" si="16"/>
        <v>0.32283638573520068</v>
      </c>
      <c r="F64" s="20">
        <f t="shared" si="18"/>
        <v>0.41842039008930287</v>
      </c>
      <c r="G64" s="20">
        <f t="shared" si="17"/>
        <v>0.26596288398160056</v>
      </c>
      <c r="H64">
        <v>10</v>
      </c>
      <c r="I64">
        <v>4</v>
      </c>
      <c r="J64">
        <v>6</v>
      </c>
      <c r="K64" s="19">
        <f>F13/F24</f>
        <v>4.2705594342188777E-2</v>
      </c>
      <c r="L64" s="19">
        <f>SUM(B13/B24)</f>
        <v>4.280904280904281E-2</v>
      </c>
      <c r="M64" s="19">
        <f>J13/J24</f>
        <v>8.0624187256176857E-2</v>
      </c>
      <c r="N64" s="19">
        <f>N13/N24</f>
        <v>4.7346224238083871E-2</v>
      </c>
      <c r="O64" s="19">
        <f>H64/H72</f>
        <v>8.8495575221238937E-2</v>
      </c>
      <c r="P64" s="19">
        <f>I64/I72</f>
        <v>0.10810810810810811</v>
      </c>
      <c r="Q64" s="19">
        <f>J64/J72</f>
        <v>7.8947368421052627E-2</v>
      </c>
      <c r="R64">
        <v>193.5</v>
      </c>
      <c r="S64">
        <v>3</v>
      </c>
    </row>
    <row r="65" spans="1:19">
      <c r="B65" t="s">
        <v>68</v>
      </c>
      <c r="C65" s="20">
        <f t="shared" si="14"/>
        <v>0.96086453793471494</v>
      </c>
      <c r="D65" s="20">
        <f t="shared" si="15"/>
        <v>1</v>
      </c>
      <c r="E65" s="20">
        <f t="shared" si="16"/>
        <v>0.9599479843953187</v>
      </c>
      <c r="F65" s="20">
        <f t="shared" si="18"/>
        <v>0.96066187948798021</v>
      </c>
      <c r="G65" s="20">
        <f t="shared" si="17"/>
        <v>0.95959123176534833</v>
      </c>
      <c r="H65">
        <v>3</v>
      </c>
      <c r="I65">
        <v>1</v>
      </c>
      <c r="J65">
        <v>2</v>
      </c>
      <c r="K65" s="19">
        <f>F12/F24</f>
        <v>5.4402031009157675E-4</v>
      </c>
      <c r="L65" s="19">
        <f>B12/B24</f>
        <v>0</v>
      </c>
      <c r="M65" s="19">
        <f>J12/J24</f>
        <v>6.5019505851755528E-4</v>
      </c>
      <c r="N65" s="19">
        <f>N12/N24</f>
        <v>5.5701440280098667E-4</v>
      </c>
      <c r="O65" s="19">
        <f>H65/H72</f>
        <v>2.6548672566371681E-2</v>
      </c>
      <c r="P65" s="19">
        <f>I65/I72</f>
        <v>2.7027027027027029E-2</v>
      </c>
      <c r="Q65" s="19">
        <f>J65/J72</f>
        <v>2.6315789473684209E-2</v>
      </c>
      <c r="R65">
        <v>3.55</v>
      </c>
      <c r="S65">
        <v>4</v>
      </c>
    </row>
    <row r="66" spans="1:19">
      <c r="B66" t="s">
        <v>65</v>
      </c>
      <c r="C66" s="20">
        <f t="shared" si="14"/>
        <v>1</v>
      </c>
      <c r="D66" s="20">
        <f t="shared" si="15"/>
        <v>1</v>
      </c>
      <c r="E66" s="20">
        <f t="shared" si="16"/>
        <v>1</v>
      </c>
      <c r="F66" s="20" t="e">
        <f>(P66-N66)/(P66+N66-2*P66*N66)</f>
        <v>#DIV/0!</v>
      </c>
      <c r="G66" s="20">
        <f t="shared" si="17"/>
        <v>1</v>
      </c>
      <c r="H66">
        <v>1</v>
      </c>
      <c r="I66">
        <v>0</v>
      </c>
      <c r="J66">
        <v>1</v>
      </c>
      <c r="K66" s="19">
        <v>0</v>
      </c>
      <c r="L66" s="19">
        <v>0</v>
      </c>
      <c r="M66" s="19">
        <v>0</v>
      </c>
      <c r="N66" s="19">
        <v>0</v>
      </c>
      <c r="O66" s="19">
        <f>H66/H72</f>
        <v>8.8495575221238937E-3</v>
      </c>
      <c r="P66" s="19">
        <f>I66/I72</f>
        <v>0</v>
      </c>
      <c r="Q66" s="19">
        <f>J59/J72</f>
        <v>1.3157894736842105E-2</v>
      </c>
      <c r="R66">
        <v>87.5</v>
      </c>
    </row>
    <row r="67" spans="1:19">
      <c r="B67" t="s">
        <v>70</v>
      </c>
      <c r="C67" s="20">
        <f t="shared" si="14"/>
        <v>3.5305253194510201E-2</v>
      </c>
      <c r="D67" s="20">
        <f t="shared" si="15"/>
        <v>0.22818273629180777</v>
      </c>
      <c r="E67" s="20">
        <f t="shared" si="16"/>
        <v>-0.16300866457637977</v>
      </c>
      <c r="F67" s="20">
        <f t="shared" si="18"/>
        <v>-1</v>
      </c>
      <c r="G67" s="20">
        <f t="shared" si="17"/>
        <v>3.601385469265115E-2</v>
      </c>
      <c r="H67">
        <v>1</v>
      </c>
      <c r="I67">
        <v>0</v>
      </c>
      <c r="J67">
        <v>1</v>
      </c>
      <c r="K67" s="19">
        <f>F14/F24</f>
        <v>8.2509747030555802E-3</v>
      </c>
      <c r="L67" s="19">
        <f>B14/B24</f>
        <v>5.5796055796055793E-3</v>
      </c>
      <c r="M67" s="19">
        <f>J14/J24</f>
        <v>4.096228868660598E-2</v>
      </c>
      <c r="N67" s="19">
        <f>N14/N24</f>
        <v>1.2254316861621707E-2</v>
      </c>
      <c r="O67" s="19">
        <f>H67/H72</f>
        <v>8.8495575221238937E-3</v>
      </c>
      <c r="P67" s="19">
        <f>I67/I72</f>
        <v>0</v>
      </c>
      <c r="Q67" s="19">
        <f>J67/J72</f>
        <v>1.3157894736842105E-2</v>
      </c>
      <c r="R67">
        <v>3.1</v>
      </c>
      <c r="S67">
        <v>3</v>
      </c>
    </row>
    <row r="68" spans="1:19">
      <c r="B68" t="s">
        <v>75</v>
      </c>
      <c r="C68" s="20">
        <f t="shared" si="14"/>
        <v>1</v>
      </c>
      <c r="D68" s="20">
        <f t="shared" si="15"/>
        <v>-1.0898266839502655E-2</v>
      </c>
      <c r="E68" s="20">
        <f t="shared" si="16"/>
        <v>3.8666666666666613E-2</v>
      </c>
      <c r="F68" s="20">
        <f t="shared" si="18"/>
        <v>0.5414296314617858</v>
      </c>
      <c r="G68" s="20">
        <f t="shared" si="17"/>
        <v>-1</v>
      </c>
      <c r="H68">
        <v>1</v>
      </c>
      <c r="I68">
        <v>1</v>
      </c>
      <c r="J68">
        <v>0</v>
      </c>
      <c r="K68" s="19">
        <v>0</v>
      </c>
      <c r="L68" s="19">
        <f>SUM(B16/B24)</f>
        <v>9.0428090428090434E-3</v>
      </c>
      <c r="M68" s="19">
        <f>J16/J24</f>
        <v>6.6970091027308193E-2</v>
      </c>
      <c r="N68" s="19">
        <f>N16/N24</f>
        <v>8.1960690697859481E-3</v>
      </c>
      <c r="O68" s="19">
        <f>H68/H72</f>
        <v>8.8495575221238937E-3</v>
      </c>
      <c r="P68" s="19">
        <f>I68/I72</f>
        <v>2.7027027027027029E-2</v>
      </c>
      <c r="Q68" s="19">
        <f>J68/J72</f>
        <v>0</v>
      </c>
    </row>
    <row r="69" spans="1:19">
      <c r="B69" t="s">
        <v>78</v>
      </c>
      <c r="C69" s="20">
        <f t="shared" si="14"/>
        <v>0.93638694477167206</v>
      </c>
      <c r="D69" s="20">
        <f t="shared" si="15"/>
        <v>0.93261935742167956</v>
      </c>
      <c r="E69" s="20">
        <f t="shared" si="16"/>
        <v>0.93437841779074005</v>
      </c>
      <c r="F69" s="20">
        <f t="shared" si="18"/>
        <v>0.94042355131487076</v>
      </c>
      <c r="G69" s="20">
        <f t="shared" si="17"/>
        <v>0.93103625743032858</v>
      </c>
      <c r="H69">
        <v>14</v>
      </c>
      <c r="I69">
        <v>5</v>
      </c>
      <c r="J69">
        <v>9</v>
      </c>
      <c r="K69" s="19">
        <f>F15/F24</f>
        <v>4.6241726357784023E-3</v>
      </c>
      <c r="L69" s="19">
        <f>B15/B24</f>
        <v>4.9062049062049062E-3</v>
      </c>
      <c r="M69" s="19">
        <f>J15/J24</f>
        <v>5.8517555266579977E-3</v>
      </c>
      <c r="N69" s="19">
        <f>N15/N24</f>
        <v>4.7744091668656006E-3</v>
      </c>
      <c r="O69" s="19">
        <f>H69/H72</f>
        <v>0.12389380530973451</v>
      </c>
      <c r="P69" s="19">
        <f>I69/I72</f>
        <v>0.13513513513513514</v>
      </c>
      <c r="Q69" s="19">
        <f>J69/J72</f>
        <v>0.11842105263157894</v>
      </c>
      <c r="R69">
        <v>225</v>
      </c>
      <c r="S69">
        <v>4</v>
      </c>
    </row>
    <row r="70" spans="1:19">
      <c r="B70" t="s">
        <v>73</v>
      </c>
      <c r="C70" s="20">
        <f t="shared" si="14"/>
        <v>0.14126287285110573</v>
      </c>
      <c r="D70" s="20">
        <f t="shared" si="15"/>
        <v>0.10778540475197411</v>
      </c>
      <c r="E70" s="20">
        <f t="shared" si="16"/>
        <v>0.13625711416136591</v>
      </c>
      <c r="F70" s="20">
        <f t="shared" si="18"/>
        <v>-6.7310506292068972E-3</v>
      </c>
      <c r="G70" s="20">
        <f t="shared" si="17"/>
        <v>0.19352948071738363</v>
      </c>
      <c r="H70">
        <v>8</v>
      </c>
      <c r="I70">
        <v>2</v>
      </c>
      <c r="J70">
        <v>6</v>
      </c>
      <c r="K70" s="19">
        <f>F17/F24</f>
        <v>5.4220690905793817E-2</v>
      </c>
      <c r="L70" s="19">
        <f>SUM(B17/B24)</f>
        <v>5.7816257816257814E-2</v>
      </c>
      <c r="M70" s="19">
        <f>J17/J24</f>
        <v>5.8517555266579972E-2</v>
      </c>
      <c r="N70" s="19">
        <f>N17/N24</f>
        <v>5.4746558446725553E-2</v>
      </c>
      <c r="O70" s="19">
        <f>H70/H72</f>
        <v>7.0796460176991149E-2</v>
      </c>
      <c r="P70" s="19">
        <f>I70/I72</f>
        <v>5.4054054054054057E-2</v>
      </c>
      <c r="Q70" s="19">
        <f>J70/J72</f>
        <v>7.8947368421052627E-2</v>
      </c>
      <c r="R70">
        <v>222</v>
      </c>
      <c r="S70">
        <v>4</v>
      </c>
    </row>
    <row r="71" spans="1:19">
      <c r="B71" t="s">
        <v>80</v>
      </c>
      <c r="C71" s="20">
        <f t="shared" si="14"/>
        <v>-0.44585394195816697</v>
      </c>
      <c r="D71" s="20">
        <f t="shared" si="15"/>
        <v>-0.46144546362161487</v>
      </c>
      <c r="E71" s="20">
        <f t="shared" si="16"/>
        <v>-0.43720399626646378</v>
      </c>
      <c r="F71" s="20">
        <f t="shared" si="18"/>
        <v>-0.45143721633888045</v>
      </c>
      <c r="G71" s="20">
        <f t="shared" si="17"/>
        <v>-0.43030596309086505</v>
      </c>
      <c r="H71">
        <v>22</v>
      </c>
      <c r="I71">
        <v>7</v>
      </c>
      <c r="J71">
        <v>15</v>
      </c>
      <c r="K71" s="19">
        <f>F18/F24</f>
        <v>0.38679844047511108</v>
      </c>
      <c r="L71" s="19">
        <f>B18/B24</f>
        <v>0.39615199615199614</v>
      </c>
      <c r="M71" s="19">
        <f>J18/J24</f>
        <v>0.34525357607282187</v>
      </c>
      <c r="N71" s="19">
        <f>N18/N24</f>
        <v>0.38171401289090473</v>
      </c>
      <c r="O71" s="19">
        <f>H71/H72</f>
        <v>0.19469026548672566</v>
      </c>
      <c r="P71" s="19">
        <f>I71/I72</f>
        <v>0.1891891891891892</v>
      </c>
      <c r="Q71" s="19">
        <f>J71/J72</f>
        <v>0.19736842105263158</v>
      </c>
      <c r="R71">
        <v>290</v>
      </c>
      <c r="S71">
        <v>3</v>
      </c>
    </row>
    <row r="72" spans="1:19">
      <c r="B72" t="s">
        <v>357</v>
      </c>
      <c r="H72">
        <f t="shared" ref="H72:Q72" si="19">SUM(H59:H71)</f>
        <v>113</v>
      </c>
      <c r="I72">
        <f t="shared" si="19"/>
        <v>37</v>
      </c>
      <c r="J72">
        <f t="shared" si="19"/>
        <v>76</v>
      </c>
      <c r="K72" s="19">
        <f t="shared" si="19"/>
        <v>1</v>
      </c>
      <c r="L72" s="19">
        <f t="shared" si="19"/>
        <v>0.99999999999999989</v>
      </c>
      <c r="M72" s="19">
        <f>SUM(M59:M71)</f>
        <v>1</v>
      </c>
      <c r="N72" s="19">
        <f t="shared" si="19"/>
        <v>1</v>
      </c>
      <c r="O72" s="19">
        <f t="shared" si="19"/>
        <v>1</v>
      </c>
      <c r="P72" s="19">
        <f t="shared" si="19"/>
        <v>0.99999999999999978</v>
      </c>
      <c r="Q72" s="19">
        <f t="shared" si="19"/>
        <v>1</v>
      </c>
    </row>
    <row r="73" spans="1:19">
      <c r="N73" s="19"/>
    </row>
    <row r="74" spans="1:19">
      <c r="A74" t="s">
        <v>397</v>
      </c>
      <c r="B74" t="s">
        <v>30</v>
      </c>
      <c r="C74" s="20">
        <f t="shared" ref="C74:C81" si="20">(O74-K74)/(O74+K74+2*O74*K74)</f>
        <v>1</v>
      </c>
      <c r="D74" s="20">
        <f>(O74-L74)/(O74+L74+2*O74*L74)</f>
        <v>1</v>
      </c>
      <c r="E74" s="20">
        <f>(O74-N74)/(O74+N74+2*O74*N74)</f>
        <v>1</v>
      </c>
      <c r="F74" s="20">
        <f>(P74-N74)/(P74+N74-2*P74*N74)</f>
        <v>1</v>
      </c>
      <c r="G74" s="20">
        <f t="shared" ref="G74:G81" si="21">(Q74-N74)/(Q74+N74-2*Q74*N74)</f>
        <v>1</v>
      </c>
      <c r="H74">
        <v>2</v>
      </c>
      <c r="I74">
        <v>1</v>
      </c>
      <c r="J74">
        <v>1</v>
      </c>
      <c r="K74" s="19">
        <v>0</v>
      </c>
      <c r="L74" s="19">
        <v>0</v>
      </c>
      <c r="M74" s="19">
        <v>0</v>
      </c>
      <c r="N74" s="19">
        <v>0</v>
      </c>
      <c r="O74" s="19">
        <f>H74/H82</f>
        <v>4.2553191489361701E-2</v>
      </c>
      <c r="P74" s="19">
        <f>I74/I82</f>
        <v>3.7037037037037035E-2</v>
      </c>
      <c r="Q74" s="19">
        <f>J74/J82</f>
        <v>0.05</v>
      </c>
      <c r="R74">
        <v>35</v>
      </c>
      <c r="S74">
        <v>1</v>
      </c>
    </row>
    <row r="75" spans="1:19">
      <c r="B75" t="s">
        <v>50</v>
      </c>
      <c r="C75" s="20">
        <f t="shared" si="20"/>
        <v>1</v>
      </c>
      <c r="D75" s="20">
        <f t="shared" ref="D75:D81" si="22">(O75-L75)/(O75+L75+2*O75*L75)</f>
        <v>1</v>
      </c>
      <c r="E75" s="20">
        <f t="shared" ref="E75:E81" si="23">(O75-N75)/(O75+N75+2*O75*N75)</f>
        <v>1</v>
      </c>
      <c r="F75" s="20">
        <f>(P75-N75)/(P75+N75-2*P75*N75)</f>
        <v>1</v>
      </c>
      <c r="G75" s="20" t="e">
        <f>(Q75-N75)/(Q75+N75-2*Q75*N75)</f>
        <v>#DIV/0!</v>
      </c>
      <c r="H75">
        <v>1</v>
      </c>
      <c r="I75">
        <v>1</v>
      </c>
      <c r="J75">
        <v>0</v>
      </c>
      <c r="K75" s="19">
        <v>0</v>
      </c>
      <c r="L75" s="19">
        <v>0</v>
      </c>
      <c r="M75" s="19">
        <v>0</v>
      </c>
      <c r="N75" s="19">
        <v>0</v>
      </c>
      <c r="O75" s="19">
        <f>H75/H82</f>
        <v>2.1276595744680851E-2</v>
      </c>
      <c r="P75" s="19">
        <f>I75/I82</f>
        <v>3.7037037037037035E-2</v>
      </c>
      <c r="Q75" s="19">
        <f>J75/J82</f>
        <v>0</v>
      </c>
      <c r="R75">
        <v>80</v>
      </c>
    </row>
    <row r="76" spans="1:19">
      <c r="B76" t="s">
        <v>57</v>
      </c>
      <c r="C76" s="20">
        <f t="shared" si="20"/>
        <v>-3.5582219197539844E-2</v>
      </c>
      <c r="D76" s="20">
        <f>(O76-L76)/(O76+L76+2*O76*L76)</f>
        <v>-2.4612438770507152E-2</v>
      </c>
      <c r="E76" s="20">
        <f t="shared" si="23"/>
        <v>-2.9876017811383326E-2</v>
      </c>
      <c r="F76" s="20">
        <f t="shared" ref="F76:F81" si="24">(P76-N76)/(P76+N76-2*P76*N76)</f>
        <v>6.147869296792647E-2</v>
      </c>
      <c r="G76" s="20">
        <f t="shared" si="21"/>
        <v>-0.27754228602818798</v>
      </c>
      <c r="H76">
        <v>21</v>
      </c>
      <c r="I76">
        <v>14</v>
      </c>
      <c r="J76">
        <v>7</v>
      </c>
      <c r="K76" s="19">
        <f>F10/F25</f>
        <v>0.49613615455381782</v>
      </c>
      <c r="L76" s="19">
        <f>B10/B25</f>
        <v>0.4801853312302839</v>
      </c>
      <c r="M76" s="19">
        <f>J10/J25</f>
        <v>0.42342978122794639</v>
      </c>
      <c r="N76" s="19">
        <f>N10/N25</f>
        <v>0.48775128184259786</v>
      </c>
      <c r="O76" s="19">
        <f>H76/H82</f>
        <v>0.44680851063829785</v>
      </c>
      <c r="P76" s="19">
        <f>I76/I82</f>
        <v>0.51851851851851849</v>
      </c>
      <c r="Q76" s="19">
        <f>J76/J82</f>
        <v>0.35</v>
      </c>
      <c r="R76">
        <v>47.7</v>
      </c>
      <c r="S76">
        <v>5</v>
      </c>
    </row>
    <row r="77" spans="1:19">
      <c r="B77" t="s">
        <v>62</v>
      </c>
      <c r="C77" s="20">
        <f t="shared" si="20"/>
        <v>0.58930281443419352</v>
      </c>
      <c r="D77" s="20">
        <f t="shared" si="22"/>
        <v>0.58543016611074594</v>
      </c>
      <c r="E77" s="20">
        <f t="shared" si="23"/>
        <v>0.55352476919160121</v>
      </c>
      <c r="F77" s="20">
        <f t="shared" si="24"/>
        <v>0.54725158387507655</v>
      </c>
      <c r="G77" s="20">
        <f t="shared" si="21"/>
        <v>0.73510425168806115</v>
      </c>
      <c r="H77">
        <v>9</v>
      </c>
      <c r="I77">
        <v>4</v>
      </c>
      <c r="J77">
        <v>5</v>
      </c>
      <c r="K77" s="19">
        <f>F13/F25</f>
        <v>4.3330266789328428E-2</v>
      </c>
      <c r="L77" s="19">
        <f>B13/B25</f>
        <v>4.3868296529968452E-2</v>
      </c>
      <c r="M77" s="19">
        <f>J13/J25</f>
        <v>8.7508821453775587E-2</v>
      </c>
      <c r="N77" s="19">
        <f>N13/N25</f>
        <v>4.8425164808334011E-2</v>
      </c>
      <c r="O77" s="19">
        <f>H77/H82</f>
        <v>0.19148936170212766</v>
      </c>
      <c r="P77" s="19">
        <f>I77/I82</f>
        <v>0.14814814814814814</v>
      </c>
      <c r="Q77" s="19">
        <f>J77/J82</f>
        <v>0.25</v>
      </c>
      <c r="R77">
        <v>193.5</v>
      </c>
      <c r="S77">
        <v>3</v>
      </c>
    </row>
    <row r="78" spans="1:19">
      <c r="B78" t="s">
        <v>70</v>
      </c>
      <c r="C78" s="20">
        <f t="shared" si="20"/>
        <v>0.43009981081610021</v>
      </c>
      <c r="D78" s="20">
        <f t="shared" si="22"/>
        <v>0.57123055598336669</v>
      </c>
      <c r="E78" s="20">
        <f t="shared" si="23"/>
        <v>0.25457570715474209</v>
      </c>
      <c r="F78" s="20">
        <f t="shared" si="24"/>
        <v>-1</v>
      </c>
      <c r="G78" s="20">
        <f t="shared" si="21"/>
        <v>0.61139517896274653</v>
      </c>
      <c r="H78">
        <v>1</v>
      </c>
      <c r="I78">
        <v>0</v>
      </c>
      <c r="J78">
        <v>1</v>
      </c>
      <c r="K78" s="19">
        <f>F14/F25</f>
        <v>8.3716651333946637E-3</v>
      </c>
      <c r="L78" s="19">
        <f>B14/B25</f>
        <v>5.7176656151419558E-3</v>
      </c>
      <c r="M78" s="19">
        <f>J14/J25</f>
        <v>4.4460127028934371E-2</v>
      </c>
      <c r="N78" s="19">
        <f>N14/N25</f>
        <v>1.2533572068039392E-2</v>
      </c>
      <c r="O78" s="19">
        <f>H78/H82</f>
        <v>2.1276595744680851E-2</v>
      </c>
      <c r="P78" s="19">
        <f>I78/I82</f>
        <v>0</v>
      </c>
      <c r="Q78" s="19">
        <f>J78/J82</f>
        <v>0.05</v>
      </c>
      <c r="R78">
        <v>3.1</v>
      </c>
      <c r="S78">
        <v>2</v>
      </c>
    </row>
    <row r="79" spans="1:19">
      <c r="B79" t="s">
        <v>78</v>
      </c>
      <c r="C79" s="20">
        <f t="shared" si="20"/>
        <v>0.90736503833592397</v>
      </c>
      <c r="D79" s="20">
        <f t="shared" si="22"/>
        <v>0.90109459787047574</v>
      </c>
      <c r="E79" s="20">
        <f t="shared" si="23"/>
        <v>0.90378536735795234</v>
      </c>
      <c r="F79" s="20">
        <f t="shared" si="24"/>
        <v>0.92445108995042113</v>
      </c>
      <c r="G79" s="20">
        <f t="shared" si="21"/>
        <v>0.91540690843581107</v>
      </c>
      <c r="H79">
        <v>5</v>
      </c>
      <c r="I79">
        <v>3</v>
      </c>
      <c r="J79">
        <v>2</v>
      </c>
      <c r="K79" s="19">
        <f>F15/F25</f>
        <v>4.6918123275069001E-3</v>
      </c>
      <c r="L79" s="19">
        <f>B15/B25</f>
        <v>5.027602523659306E-3</v>
      </c>
      <c r="M79" s="19">
        <f>J15/J25</f>
        <v>6.3514467184191958E-3</v>
      </c>
      <c r="N79" s="19">
        <f>N15/N25</f>
        <v>4.8832098966387237E-3</v>
      </c>
      <c r="O79" s="19">
        <f>H79/H82</f>
        <v>0.10638297872340426</v>
      </c>
      <c r="P79" s="19">
        <f>I79/I82</f>
        <v>0.1111111111111111</v>
      </c>
      <c r="Q79" s="19">
        <f>J79/J82</f>
        <v>0.1</v>
      </c>
      <c r="R79">
        <v>225</v>
      </c>
      <c r="S79">
        <v>4</v>
      </c>
    </row>
    <row r="80" spans="1:19">
      <c r="B80" t="s">
        <v>73</v>
      </c>
      <c r="C80" s="20">
        <f t="shared" si="20"/>
        <v>0.29675697679677959</v>
      </c>
      <c r="D80" s="20">
        <f t="shared" si="22"/>
        <v>0.26445979500335387</v>
      </c>
      <c r="E80" s="20">
        <f t="shared" si="23"/>
        <v>0.28910790752203164</v>
      </c>
      <c r="F80" s="20">
        <f t="shared" si="24"/>
        <v>0.14847269666815185</v>
      </c>
      <c r="G80" s="20">
        <f t="shared" si="21"/>
        <v>0.49687049663390187</v>
      </c>
      <c r="H80">
        <v>5</v>
      </c>
      <c r="I80">
        <v>2</v>
      </c>
      <c r="J80">
        <v>3</v>
      </c>
      <c r="K80" s="19">
        <f>F17/F25</f>
        <v>5.501379944802208E-2</v>
      </c>
      <c r="L80" s="19">
        <f>B17/B25</f>
        <v>5.9246845425867507E-2</v>
      </c>
      <c r="M80" s="19">
        <f>J17/J25</f>
        <v>6.3514467184191958E-2</v>
      </c>
      <c r="N80" s="19">
        <f>N17/N25</f>
        <v>5.5994140148124032E-2</v>
      </c>
      <c r="O80" s="19">
        <f>H80/H82</f>
        <v>0.10638297872340426</v>
      </c>
      <c r="P80" s="19">
        <f>I80/I82</f>
        <v>7.407407407407407E-2</v>
      </c>
      <c r="Q80" s="19">
        <f>J80/J82</f>
        <v>0.15</v>
      </c>
      <c r="R80">
        <v>222</v>
      </c>
      <c r="S80">
        <v>4</v>
      </c>
    </row>
    <row r="81" spans="2:19">
      <c r="B81" t="s">
        <v>80</v>
      </c>
      <c r="C81" s="20">
        <f t="shared" si="20"/>
        <v>-0.64896330998654861</v>
      </c>
      <c r="D81" s="20">
        <f t="shared" si="22"/>
        <v>-0.65590342841977445</v>
      </c>
      <c r="E81" s="20">
        <f t="shared" si="23"/>
        <v>-0.64787600222602393</v>
      </c>
      <c r="F81" s="20">
        <f t="shared" si="24"/>
        <v>-0.7779177940031875</v>
      </c>
      <c r="G81" s="20">
        <f t="shared" si="21"/>
        <v>-0.8481238530714873</v>
      </c>
      <c r="H81">
        <v>3</v>
      </c>
      <c r="I81">
        <v>2</v>
      </c>
      <c r="J81">
        <v>1</v>
      </c>
      <c r="K81" s="19">
        <f>F18/F25</f>
        <v>0.39245630174793006</v>
      </c>
      <c r="L81" s="19">
        <f>B18/B25</f>
        <v>0.40595425867507884</v>
      </c>
      <c r="M81" s="19">
        <f>J18/J25</f>
        <v>0.37473535638673255</v>
      </c>
      <c r="N81" s="19">
        <f>N18/N25</f>
        <v>0.39041263123626596</v>
      </c>
      <c r="O81" s="19">
        <f>H81/H82</f>
        <v>6.3829787234042548E-2</v>
      </c>
      <c r="P81" s="19">
        <f>I81/I82</f>
        <v>7.407407407407407E-2</v>
      </c>
      <c r="Q81" s="19">
        <f>J81/J82</f>
        <v>0.05</v>
      </c>
      <c r="R81">
        <v>290</v>
      </c>
      <c r="S81">
        <v>3</v>
      </c>
    </row>
    <row r="82" spans="2:19">
      <c r="B82" t="s">
        <v>357</v>
      </c>
      <c r="H82">
        <f t="shared" ref="H82:Q82" si="25">SUM(H74:H81)</f>
        <v>47</v>
      </c>
      <c r="I82">
        <f t="shared" si="25"/>
        <v>27</v>
      </c>
      <c r="J82">
        <f t="shared" si="25"/>
        <v>20</v>
      </c>
      <c r="K82" s="19">
        <f t="shared" si="25"/>
        <v>1</v>
      </c>
      <c r="L82" s="19">
        <f t="shared" si="25"/>
        <v>1</v>
      </c>
      <c r="M82" s="19">
        <f>SUM(M74:M81)</f>
        <v>1</v>
      </c>
      <c r="N82" s="19">
        <f t="shared" si="25"/>
        <v>1</v>
      </c>
      <c r="O82" s="19">
        <f t="shared" si="25"/>
        <v>1.0000000000000002</v>
      </c>
      <c r="P82" s="19">
        <f t="shared" si="25"/>
        <v>1</v>
      </c>
      <c r="Q82" s="19">
        <f t="shared" si="25"/>
        <v>1</v>
      </c>
    </row>
    <row r="83" spans="2:19">
      <c r="H83" s="19"/>
      <c r="I83" s="19"/>
      <c r="J83" s="19"/>
    </row>
    <row r="85" spans="2:19">
      <c r="H85">
        <f>SUM(H41+H57+H72+H82)</f>
        <v>323</v>
      </c>
    </row>
  </sheetData>
  <pageMargins left="0.7" right="0.7" top="0.75" bottom="0.75" header="0.3" footer="0.3"/>
  <pageSetup paperSize="9" orientation="landscape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71FC0-B4E2-254A-952E-F6F135B09537}">
  <dimension ref="B3:P25"/>
  <sheetViews>
    <sheetView tabSelected="1" zoomScale="85" workbookViewId="0">
      <selection activeCell="Q36" sqref="Q36"/>
    </sheetView>
  </sheetViews>
  <sheetFormatPr defaultColWidth="11.42578125" defaultRowHeight="15"/>
  <sheetData>
    <row r="3" spans="2:16">
      <c r="B3" s="1" t="s">
        <v>398</v>
      </c>
      <c r="J3" s="35"/>
      <c r="K3" s="20"/>
    </row>
    <row r="4" spans="2:16">
      <c r="B4" s="36"/>
      <c r="C4" s="37" t="s">
        <v>218</v>
      </c>
      <c r="D4" s="37" t="s">
        <v>159</v>
      </c>
      <c r="E4" s="38" t="s">
        <v>45</v>
      </c>
      <c r="F4" s="39" t="s">
        <v>72</v>
      </c>
      <c r="G4" s="40" t="s">
        <v>52</v>
      </c>
      <c r="H4" s="40" t="s">
        <v>26</v>
      </c>
      <c r="I4" s="40" t="s">
        <v>29</v>
      </c>
      <c r="J4" s="37" t="s">
        <v>56</v>
      </c>
      <c r="K4" s="40" t="s">
        <v>138</v>
      </c>
      <c r="L4" s="40" t="s">
        <v>37</v>
      </c>
      <c r="M4" s="40" t="s">
        <v>44</v>
      </c>
      <c r="N4" s="40" t="s">
        <v>22</v>
      </c>
    </row>
    <row r="5" spans="2:16" ht="15.95">
      <c r="B5" s="36" t="s">
        <v>399</v>
      </c>
      <c r="C5" s="41">
        <v>0.79</v>
      </c>
      <c r="D5" s="41">
        <v>0.88</v>
      </c>
      <c r="E5" s="41">
        <v>1</v>
      </c>
      <c r="F5" s="41">
        <v>1</v>
      </c>
      <c r="G5" s="42">
        <v>0.52</v>
      </c>
      <c r="H5" s="43">
        <v>-0.03</v>
      </c>
      <c r="I5" s="42">
        <v>7.0000000000000007E-2</v>
      </c>
      <c r="J5" s="41">
        <v>0.92</v>
      </c>
      <c r="K5" s="42">
        <v>0.05</v>
      </c>
      <c r="L5" s="43">
        <v>-0.35</v>
      </c>
      <c r="M5" s="41">
        <v>0.9</v>
      </c>
      <c r="N5" s="43">
        <v>-0.38</v>
      </c>
    </row>
    <row r="6" spans="2:16" ht="15.95">
      <c r="B6" s="36" t="s">
        <v>400</v>
      </c>
      <c r="C6" s="43">
        <v>-1</v>
      </c>
      <c r="D6" s="41">
        <v>0.92</v>
      </c>
      <c r="G6" s="42">
        <v>0.66</v>
      </c>
      <c r="H6" s="43">
        <v>-0.13</v>
      </c>
      <c r="I6" s="43">
        <v>-7.0000000000000007E-2</v>
      </c>
      <c r="J6" s="43">
        <v>-1</v>
      </c>
      <c r="K6" s="41">
        <v>0.55000000000000004</v>
      </c>
      <c r="L6" s="42">
        <v>0.22</v>
      </c>
      <c r="M6" s="41">
        <v>0.9</v>
      </c>
      <c r="N6" s="43">
        <v>-0.31</v>
      </c>
    </row>
    <row r="7" spans="2:16" ht="15.95">
      <c r="B7" s="36" t="s">
        <v>401</v>
      </c>
      <c r="C7" s="41">
        <v>0.86</v>
      </c>
      <c r="D7" s="41">
        <v>0.84</v>
      </c>
      <c r="E7" s="41">
        <v>1</v>
      </c>
      <c r="F7" s="41">
        <v>1</v>
      </c>
      <c r="G7" s="42">
        <v>0.4</v>
      </c>
      <c r="H7" s="42">
        <v>0.02</v>
      </c>
      <c r="I7" s="42">
        <v>0.13</v>
      </c>
      <c r="J7" s="41">
        <v>0.95</v>
      </c>
      <c r="K7" s="43">
        <v>-1</v>
      </c>
      <c r="L7" s="43">
        <v>-1</v>
      </c>
      <c r="M7" s="41">
        <v>0.9</v>
      </c>
      <c r="N7" s="43">
        <v>-0.42</v>
      </c>
    </row>
    <row r="9" spans="2:16">
      <c r="B9" s="1" t="s">
        <v>402</v>
      </c>
    </row>
    <row r="10" spans="2:16">
      <c r="B10" s="36"/>
      <c r="C10" s="40" t="s">
        <v>264</v>
      </c>
      <c r="D10" s="38" t="s">
        <v>45</v>
      </c>
      <c r="E10" s="39" t="s">
        <v>260</v>
      </c>
      <c r="F10" s="39" t="s">
        <v>259</v>
      </c>
      <c r="G10" s="39" t="s">
        <v>72</v>
      </c>
      <c r="H10" s="40" t="s">
        <v>52</v>
      </c>
      <c r="I10" s="40" t="s">
        <v>242</v>
      </c>
      <c r="J10" s="40" t="s">
        <v>291</v>
      </c>
      <c r="K10" s="40" t="s">
        <v>26</v>
      </c>
      <c r="L10" s="40" t="s">
        <v>29</v>
      </c>
      <c r="M10" s="37" t="s">
        <v>56</v>
      </c>
      <c r="N10" s="40" t="s">
        <v>44</v>
      </c>
      <c r="O10" s="40" t="s">
        <v>37</v>
      </c>
      <c r="P10" s="40" t="s">
        <v>22</v>
      </c>
    </row>
    <row r="11" spans="2:16" ht="15.95">
      <c r="B11" s="36" t="s">
        <v>399</v>
      </c>
      <c r="C11" s="43">
        <v>-0.57999999999999996</v>
      </c>
      <c r="D11" s="41">
        <v>1</v>
      </c>
      <c r="E11" s="41">
        <v>0.71</v>
      </c>
      <c r="F11" s="41">
        <v>0.92</v>
      </c>
      <c r="G11" s="41">
        <v>1</v>
      </c>
      <c r="H11" s="42">
        <v>0.54</v>
      </c>
      <c r="I11" s="43">
        <v>-0.53</v>
      </c>
      <c r="J11" s="43">
        <v>-0.9</v>
      </c>
      <c r="K11" s="43">
        <v>-0.17</v>
      </c>
      <c r="L11" s="42">
        <v>0.66</v>
      </c>
      <c r="M11" s="41">
        <v>0.93</v>
      </c>
      <c r="N11" s="41">
        <v>0.95</v>
      </c>
      <c r="O11" s="42">
        <v>0.24</v>
      </c>
      <c r="P11" s="43">
        <v>-0.24</v>
      </c>
    </row>
    <row r="12" spans="2:16" ht="15.95">
      <c r="B12" s="36" t="s">
        <v>400</v>
      </c>
      <c r="C12" s="43">
        <v>-0.26</v>
      </c>
      <c r="D12" s="41">
        <v>1</v>
      </c>
      <c r="E12" s="41">
        <v>0.85</v>
      </c>
      <c r="F12" s="41">
        <v>0.96</v>
      </c>
      <c r="H12" s="42">
        <v>0.56999999999999995</v>
      </c>
      <c r="I12" s="43">
        <v>-0.2</v>
      </c>
      <c r="J12" s="43">
        <v>-1</v>
      </c>
      <c r="K12" s="43">
        <v>-0.28999999999999998</v>
      </c>
      <c r="L12" s="42">
        <v>0.56999999999999995</v>
      </c>
      <c r="M12" s="41">
        <v>0.97</v>
      </c>
      <c r="N12" s="41">
        <v>0.95</v>
      </c>
      <c r="O12" s="42">
        <v>7.0000000000000007E-2</v>
      </c>
      <c r="P12" s="43">
        <v>-0.01</v>
      </c>
    </row>
    <row r="13" spans="2:16" ht="15.95">
      <c r="B13" s="36" t="s">
        <v>401</v>
      </c>
      <c r="C13" s="43">
        <v>-1</v>
      </c>
      <c r="D13" s="41">
        <v>1</v>
      </c>
      <c r="E13" s="43">
        <v>-1</v>
      </c>
      <c r="F13" s="43">
        <v>-1</v>
      </c>
      <c r="G13" s="41">
        <v>1</v>
      </c>
      <c r="H13" s="42">
        <v>0.52</v>
      </c>
      <c r="I13" s="43">
        <v>-1</v>
      </c>
      <c r="J13" s="43">
        <v>-0.82</v>
      </c>
      <c r="K13" s="43">
        <v>-7.0000000000000007E-2</v>
      </c>
      <c r="L13" s="41">
        <v>0.72</v>
      </c>
      <c r="M13" s="43">
        <v>-1</v>
      </c>
      <c r="N13" s="41">
        <v>0.96</v>
      </c>
      <c r="O13" s="42">
        <v>0.35</v>
      </c>
      <c r="P13" s="43">
        <v>-0.48</v>
      </c>
    </row>
    <row r="15" spans="2:16">
      <c r="B15" s="1" t="s">
        <v>403</v>
      </c>
    </row>
    <row r="16" spans="2:16">
      <c r="B16" s="36"/>
      <c r="C16" s="38" t="s">
        <v>45</v>
      </c>
      <c r="D16" s="39" t="s">
        <v>72</v>
      </c>
      <c r="E16" s="40" t="s">
        <v>52</v>
      </c>
      <c r="F16" s="40" t="s">
        <v>26</v>
      </c>
      <c r="G16" s="40" t="s">
        <v>96</v>
      </c>
      <c r="H16" s="40" t="s">
        <v>29</v>
      </c>
      <c r="I16" s="37" t="s">
        <v>56</v>
      </c>
      <c r="J16" s="39" t="s">
        <v>112</v>
      </c>
      <c r="K16" s="40" t="s">
        <v>138</v>
      </c>
      <c r="L16" s="40" t="s">
        <v>153</v>
      </c>
      <c r="M16" s="40" t="s">
        <v>44</v>
      </c>
      <c r="N16" s="40" t="s">
        <v>37</v>
      </c>
      <c r="O16" s="40" t="s">
        <v>22</v>
      </c>
    </row>
    <row r="17" spans="2:15" ht="15.95">
      <c r="B17" s="36" t="s">
        <v>399</v>
      </c>
      <c r="C17" s="41">
        <v>1</v>
      </c>
      <c r="D17" s="41">
        <v>1</v>
      </c>
      <c r="E17" s="42">
        <v>0.34</v>
      </c>
      <c r="F17" s="43">
        <v>-0.25</v>
      </c>
      <c r="G17" s="42">
        <v>0.3</v>
      </c>
      <c r="H17" s="42">
        <v>0.32</v>
      </c>
      <c r="I17" s="41">
        <v>0.96</v>
      </c>
      <c r="J17" s="41">
        <v>1</v>
      </c>
      <c r="K17" s="43">
        <v>-0.16</v>
      </c>
      <c r="L17" s="42">
        <v>0.04</v>
      </c>
      <c r="M17" s="41">
        <v>0.93</v>
      </c>
      <c r="N17" s="42">
        <v>0.14000000000000001</v>
      </c>
      <c r="O17" s="43">
        <v>-0.44</v>
      </c>
    </row>
    <row r="18" spans="2:15" ht="15.95">
      <c r="B18" s="36" t="s">
        <v>400</v>
      </c>
      <c r="C18" s="41">
        <v>1</v>
      </c>
      <c r="D18" s="41">
        <v>1</v>
      </c>
      <c r="E18" s="42">
        <v>0.5</v>
      </c>
      <c r="F18" s="43">
        <v>-0.37</v>
      </c>
      <c r="G18" s="44">
        <v>-1</v>
      </c>
      <c r="H18" s="42">
        <v>0.46</v>
      </c>
      <c r="I18" s="41">
        <v>0.98</v>
      </c>
      <c r="K18" s="43">
        <v>-1</v>
      </c>
      <c r="L18" s="41">
        <v>0.73</v>
      </c>
      <c r="M18" s="41">
        <v>0.94</v>
      </c>
      <c r="N18" s="43">
        <v>-0.02</v>
      </c>
      <c r="O18" s="43">
        <v>-0.47</v>
      </c>
    </row>
    <row r="19" spans="2:15" ht="15.95">
      <c r="B19" s="36" t="s">
        <v>401</v>
      </c>
      <c r="C19" s="41">
        <v>1</v>
      </c>
      <c r="D19" s="41">
        <v>1</v>
      </c>
      <c r="E19" s="42">
        <v>0.19</v>
      </c>
      <c r="F19" s="43">
        <v>-0.2</v>
      </c>
      <c r="G19" s="42">
        <v>0.42</v>
      </c>
      <c r="H19" s="42">
        <v>0.31</v>
      </c>
      <c r="I19" s="41">
        <v>0.98</v>
      </c>
      <c r="J19" s="41">
        <v>1</v>
      </c>
      <c r="K19" s="42">
        <v>0.31</v>
      </c>
      <c r="L19" s="43">
        <v>-1</v>
      </c>
      <c r="M19" s="41">
        <v>0.93</v>
      </c>
      <c r="N19" s="41">
        <v>0.18</v>
      </c>
      <c r="O19" s="43">
        <v>-0.45</v>
      </c>
    </row>
    <row r="21" spans="2:15">
      <c r="B21" s="1" t="s">
        <v>404</v>
      </c>
    </row>
    <row r="22" spans="2:15">
      <c r="B22" s="36"/>
      <c r="C22" s="38" t="s">
        <v>45</v>
      </c>
      <c r="D22" s="39" t="s">
        <v>350</v>
      </c>
      <c r="E22" s="40" t="s">
        <v>26</v>
      </c>
      <c r="F22" s="40" t="s">
        <v>29</v>
      </c>
      <c r="G22" s="40" t="s">
        <v>138</v>
      </c>
      <c r="H22" s="40" t="s">
        <v>44</v>
      </c>
      <c r="I22" s="40" t="s">
        <v>37</v>
      </c>
      <c r="J22" s="40" t="s">
        <v>22</v>
      </c>
    </row>
    <row r="23" spans="2:15" ht="15.95">
      <c r="B23" s="36" t="s">
        <v>399</v>
      </c>
      <c r="C23" s="41">
        <v>1</v>
      </c>
      <c r="D23" s="41">
        <v>1</v>
      </c>
      <c r="E23" s="43">
        <v>-0.03</v>
      </c>
      <c r="F23" s="42">
        <v>0.55000000000000004</v>
      </c>
      <c r="G23" s="42">
        <v>0.25</v>
      </c>
      <c r="H23" s="41">
        <v>0.9</v>
      </c>
      <c r="I23" s="42">
        <v>0.28999999999999998</v>
      </c>
      <c r="J23" s="43">
        <v>-0.65</v>
      </c>
    </row>
    <row r="24" spans="2:15" ht="15.95">
      <c r="B24" s="36" t="s">
        <v>400</v>
      </c>
      <c r="C24" s="41">
        <v>1</v>
      </c>
      <c r="D24" s="41">
        <v>1</v>
      </c>
      <c r="E24" s="42">
        <v>0.06</v>
      </c>
      <c r="F24" s="42">
        <v>0.57999999999999996</v>
      </c>
      <c r="G24" s="44">
        <v>-1</v>
      </c>
      <c r="H24" s="41">
        <v>0.92</v>
      </c>
      <c r="I24" s="42">
        <v>0.14000000000000001</v>
      </c>
      <c r="J24" s="45">
        <v>-0.78</v>
      </c>
    </row>
    <row r="25" spans="2:15" ht="15.95">
      <c r="B25" s="36" t="s">
        <v>401</v>
      </c>
      <c r="C25" s="41">
        <v>1</v>
      </c>
      <c r="E25" s="43">
        <v>-0.28000000000000003</v>
      </c>
      <c r="F25" s="41">
        <v>0.76</v>
      </c>
      <c r="G25" s="41">
        <v>0.76</v>
      </c>
      <c r="H25" s="41">
        <v>0.92</v>
      </c>
      <c r="I25" s="42">
        <v>0.49</v>
      </c>
      <c r="J25" s="43">
        <v>-0.85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AC94A-3B96-064A-B2CC-C3AE81CC45ED}">
  <dimension ref="A2:AC105"/>
  <sheetViews>
    <sheetView workbookViewId="0">
      <selection activeCell="Y40" sqref="Y40"/>
    </sheetView>
  </sheetViews>
  <sheetFormatPr defaultColWidth="11.42578125" defaultRowHeight="15"/>
  <cols>
    <col min="26" max="26" width="18.140625" customWidth="1"/>
  </cols>
  <sheetData>
    <row r="2" spans="1:29">
      <c r="B2" s="47" t="s">
        <v>405</v>
      </c>
      <c r="C2" s="47"/>
      <c r="D2" s="47"/>
      <c r="E2" s="47"/>
      <c r="F2" s="47"/>
      <c r="G2" s="47"/>
    </row>
    <row r="3" spans="1:29" ht="17.100000000000001">
      <c r="C3" s="27" t="s">
        <v>406</v>
      </c>
      <c r="D3" s="28" t="s">
        <v>407</v>
      </c>
      <c r="E3" s="29" t="s">
        <v>408</v>
      </c>
      <c r="F3" s="30"/>
    </row>
    <row r="5" spans="1:29">
      <c r="A5" s="4"/>
      <c r="G5" s="4"/>
      <c r="M5" s="4"/>
      <c r="S5" s="20"/>
    </row>
    <row r="6" spans="1:29" ht="15.95">
      <c r="B6" s="24" t="s">
        <v>354</v>
      </c>
      <c r="C6" t="s">
        <v>409</v>
      </c>
      <c r="D6" t="s">
        <v>410</v>
      </c>
      <c r="E6" t="s">
        <v>411</v>
      </c>
      <c r="F6" t="s">
        <v>412</v>
      </c>
      <c r="G6" t="s">
        <v>413</v>
      </c>
      <c r="H6" t="s">
        <v>414</v>
      </c>
      <c r="J6" s="22" t="s">
        <v>415</v>
      </c>
      <c r="K6" t="s">
        <v>409</v>
      </c>
      <c r="L6" t="s">
        <v>410</v>
      </c>
      <c r="M6" t="s">
        <v>411</v>
      </c>
      <c r="N6" t="s">
        <v>412</v>
      </c>
      <c r="O6" t="s">
        <v>413</v>
      </c>
      <c r="P6" t="s">
        <v>414</v>
      </c>
      <c r="R6" s="21" t="s">
        <v>416</v>
      </c>
      <c r="S6" t="s">
        <v>409</v>
      </c>
      <c r="T6" t="s">
        <v>410</v>
      </c>
      <c r="U6" t="s">
        <v>411</v>
      </c>
      <c r="V6" t="s">
        <v>412</v>
      </c>
      <c r="W6" t="s">
        <v>413</v>
      </c>
      <c r="X6" t="s">
        <v>414</v>
      </c>
    </row>
    <row r="7" spans="1:29">
      <c r="B7" s="4" t="s">
        <v>17</v>
      </c>
      <c r="C7">
        <f t="shared" ref="C7:C27" si="0">C58*D58</f>
        <v>0</v>
      </c>
      <c r="D7">
        <f t="shared" ref="D7:D27" si="1">C58*E58</f>
        <v>0</v>
      </c>
      <c r="E7">
        <f t="shared" ref="E7:E27" si="2">C58*F58</f>
        <v>0</v>
      </c>
      <c r="F7">
        <f t="shared" ref="F7:F27" si="3">D58*E58</f>
        <v>0</v>
      </c>
      <c r="G7">
        <f t="shared" ref="G7:G27" si="4">D58*F58</f>
        <v>0</v>
      </c>
      <c r="H7">
        <f t="shared" ref="H7:H27" si="5">E58*F58</f>
        <v>0</v>
      </c>
      <c r="J7" s="4" t="s">
        <v>17</v>
      </c>
      <c r="K7">
        <f t="shared" ref="K7:K27" si="6">I58*J58</f>
        <v>0</v>
      </c>
      <c r="L7">
        <f t="shared" ref="L7:L27" si="7">I58*K58</f>
        <v>0</v>
      </c>
      <c r="M7">
        <f t="shared" ref="M7:M27" si="8">I58*L58</f>
        <v>0</v>
      </c>
      <c r="N7">
        <f t="shared" ref="N7:N27" si="9">J58*K58</f>
        <v>0</v>
      </c>
      <c r="O7">
        <f t="shared" ref="O7:O27" si="10">J58*L58</f>
        <v>0</v>
      </c>
      <c r="P7">
        <f t="shared" ref="P7:P27" si="11">K58*L58</f>
        <v>0</v>
      </c>
      <c r="R7" s="4" t="s">
        <v>17</v>
      </c>
      <c r="S7">
        <f t="shared" ref="S7:S27" si="12">O58*P58</f>
        <v>0</v>
      </c>
      <c r="T7">
        <f t="shared" ref="T7:T27" si="13">O58*Q58</f>
        <v>0</v>
      </c>
      <c r="U7">
        <f t="shared" ref="U7:U27" si="14">O58*R58</f>
        <v>0</v>
      </c>
      <c r="V7">
        <f t="shared" ref="V7:V27" si="15">P58*Q58</f>
        <v>0</v>
      </c>
      <c r="W7">
        <f t="shared" ref="W7:W27" si="16">P58*R58</f>
        <v>0</v>
      </c>
      <c r="X7">
        <f t="shared" ref="X7:X27" si="17">Q58*R58</f>
        <v>0</v>
      </c>
      <c r="Z7" t="s">
        <v>417</v>
      </c>
      <c r="AA7" t="s">
        <v>358</v>
      </c>
      <c r="AB7" t="s">
        <v>40</v>
      </c>
      <c r="AC7" t="s">
        <v>88</v>
      </c>
    </row>
    <row r="8" spans="1:29">
      <c r="B8" s="4" t="s">
        <v>24</v>
      </c>
      <c r="C8">
        <f t="shared" si="0"/>
        <v>0</v>
      </c>
      <c r="D8">
        <f t="shared" si="1"/>
        <v>0</v>
      </c>
      <c r="E8">
        <f t="shared" si="2"/>
        <v>0</v>
      </c>
      <c r="F8">
        <f t="shared" si="3"/>
        <v>0</v>
      </c>
      <c r="G8">
        <f t="shared" si="4"/>
        <v>0</v>
      </c>
      <c r="H8">
        <f t="shared" si="5"/>
        <v>0</v>
      </c>
      <c r="J8" s="4" t="s">
        <v>24</v>
      </c>
      <c r="K8">
        <f t="shared" si="6"/>
        <v>0</v>
      </c>
      <c r="L8">
        <f t="shared" si="7"/>
        <v>0</v>
      </c>
      <c r="M8">
        <f t="shared" si="8"/>
        <v>0</v>
      </c>
      <c r="N8">
        <f t="shared" si="9"/>
        <v>0</v>
      </c>
      <c r="O8">
        <f t="shared" si="10"/>
        <v>0</v>
      </c>
      <c r="P8">
        <f t="shared" si="11"/>
        <v>0</v>
      </c>
      <c r="R8" s="4" t="s">
        <v>24</v>
      </c>
      <c r="S8">
        <f t="shared" si="12"/>
        <v>0</v>
      </c>
      <c r="T8">
        <f t="shared" si="13"/>
        <v>0</v>
      </c>
      <c r="U8">
        <f t="shared" si="14"/>
        <v>0</v>
      </c>
      <c r="V8">
        <f t="shared" si="15"/>
        <v>0</v>
      </c>
      <c r="W8">
        <f t="shared" si="16"/>
        <v>0</v>
      </c>
      <c r="X8">
        <f t="shared" si="17"/>
        <v>0</v>
      </c>
      <c r="Z8" t="s">
        <v>418</v>
      </c>
      <c r="AA8">
        <f>C30</f>
        <v>0.91713002930064691</v>
      </c>
      <c r="AB8">
        <f>K30</f>
        <v>0.89928016140956246</v>
      </c>
      <c r="AC8">
        <f>S30</f>
        <v>0.8975769357800788</v>
      </c>
    </row>
    <row r="9" spans="1:29">
      <c r="B9" t="s">
        <v>27</v>
      </c>
      <c r="C9">
        <f t="shared" si="0"/>
        <v>0</v>
      </c>
      <c r="D9">
        <f t="shared" si="1"/>
        <v>0</v>
      </c>
      <c r="E9">
        <f t="shared" si="2"/>
        <v>0</v>
      </c>
      <c r="F9">
        <f t="shared" si="3"/>
        <v>0</v>
      </c>
      <c r="G9">
        <f t="shared" si="4"/>
        <v>0</v>
      </c>
      <c r="H9">
        <f t="shared" si="5"/>
        <v>0</v>
      </c>
      <c r="J9" t="s">
        <v>27</v>
      </c>
      <c r="K9">
        <f t="shared" si="6"/>
        <v>0</v>
      </c>
      <c r="L9">
        <f t="shared" si="7"/>
        <v>0</v>
      </c>
      <c r="M9">
        <f t="shared" si="8"/>
        <v>0</v>
      </c>
      <c r="N9">
        <f t="shared" si="9"/>
        <v>0</v>
      </c>
      <c r="O9">
        <f t="shared" si="10"/>
        <v>0</v>
      </c>
      <c r="P9">
        <f t="shared" si="11"/>
        <v>0</v>
      </c>
      <c r="R9" t="s">
        <v>27</v>
      </c>
      <c r="S9">
        <f t="shared" si="12"/>
        <v>0</v>
      </c>
      <c r="T9">
        <f t="shared" si="13"/>
        <v>0</v>
      </c>
      <c r="U9">
        <f t="shared" si="14"/>
        <v>0</v>
      </c>
      <c r="V9">
        <f t="shared" si="15"/>
        <v>0</v>
      </c>
      <c r="W9">
        <f t="shared" si="16"/>
        <v>0</v>
      </c>
      <c r="X9">
        <f t="shared" si="17"/>
        <v>0</v>
      </c>
      <c r="Z9" t="s">
        <v>419</v>
      </c>
      <c r="AA9">
        <f>D30</f>
        <v>0.97227057871493749</v>
      </c>
      <c r="AB9">
        <f>L30</f>
        <v>0.91691973783719083</v>
      </c>
      <c r="AC9">
        <f>T30</f>
        <v>0.9712527525048813</v>
      </c>
    </row>
    <row r="10" spans="1:29">
      <c r="B10" t="s">
        <v>30</v>
      </c>
      <c r="C10">
        <f t="shared" si="0"/>
        <v>6.0882800608828001E-4</v>
      </c>
      <c r="D10">
        <f t="shared" si="1"/>
        <v>6.0613407685780087E-4</v>
      </c>
      <c r="E10">
        <f t="shared" si="2"/>
        <v>5.8292043136111914E-4</v>
      </c>
      <c r="F10">
        <f t="shared" si="3"/>
        <v>1.9665683382497543E-3</v>
      </c>
      <c r="G10">
        <f t="shared" si="4"/>
        <v>1.8912529550827424E-3</v>
      </c>
      <c r="H10">
        <f t="shared" si="5"/>
        <v>1.8828845791752965E-3</v>
      </c>
      <c r="J10" t="s">
        <v>30</v>
      </c>
      <c r="K10">
        <f t="shared" si="6"/>
        <v>0</v>
      </c>
      <c r="L10">
        <f t="shared" si="7"/>
        <v>0</v>
      </c>
      <c r="M10">
        <f t="shared" si="8"/>
        <v>0</v>
      </c>
      <c r="N10">
        <f t="shared" si="9"/>
        <v>5.1480051480051478E-3</v>
      </c>
      <c r="O10">
        <f t="shared" si="10"/>
        <v>1.7636684303350969E-3</v>
      </c>
      <c r="P10">
        <f t="shared" si="11"/>
        <v>4.004004004004004E-3</v>
      </c>
      <c r="R10" t="s">
        <v>30</v>
      </c>
      <c r="S10">
        <f t="shared" si="12"/>
        <v>8.5034013605442163E-4</v>
      </c>
      <c r="T10">
        <f t="shared" si="13"/>
        <v>2.6852846401718576E-4</v>
      </c>
      <c r="U10">
        <f t="shared" si="14"/>
        <v>1.020408163265306E-3</v>
      </c>
      <c r="V10">
        <f t="shared" si="15"/>
        <v>5.4824561403508769E-4</v>
      </c>
      <c r="W10">
        <f t="shared" si="16"/>
        <v>2.0833333333333333E-3</v>
      </c>
      <c r="X10">
        <f t="shared" si="17"/>
        <v>6.5789473684210525E-4</v>
      </c>
      <c r="Z10" t="s">
        <v>420</v>
      </c>
      <c r="AA10">
        <f>E30</f>
        <v>0.89955888257513128</v>
      </c>
      <c r="AB10">
        <f>M30</f>
        <v>0.89778271648200403</v>
      </c>
      <c r="AC10">
        <f>U30</f>
        <v>0.79630069326529795</v>
      </c>
    </row>
    <row r="11" spans="1:29">
      <c r="B11" t="s">
        <v>32</v>
      </c>
      <c r="C11">
        <f t="shared" si="0"/>
        <v>0</v>
      </c>
      <c r="D11">
        <f t="shared" si="1"/>
        <v>0</v>
      </c>
      <c r="E11">
        <f t="shared" si="2"/>
        <v>0</v>
      </c>
      <c r="F11">
        <f t="shared" si="3"/>
        <v>0</v>
      </c>
      <c r="G11">
        <f t="shared" si="4"/>
        <v>0</v>
      </c>
      <c r="H11">
        <f t="shared" si="5"/>
        <v>0</v>
      </c>
      <c r="J11" t="s">
        <v>32</v>
      </c>
      <c r="K11">
        <f t="shared" si="6"/>
        <v>0</v>
      </c>
      <c r="L11">
        <f t="shared" si="7"/>
        <v>0</v>
      </c>
      <c r="M11">
        <f t="shared" si="8"/>
        <v>0</v>
      </c>
      <c r="N11">
        <f t="shared" si="9"/>
        <v>0</v>
      </c>
      <c r="O11">
        <f t="shared" si="10"/>
        <v>0</v>
      </c>
      <c r="P11">
        <f t="shared" si="11"/>
        <v>0</v>
      </c>
      <c r="R11" t="s">
        <v>32</v>
      </c>
      <c r="S11">
        <f t="shared" si="12"/>
        <v>0</v>
      </c>
      <c r="T11">
        <f t="shared" si="13"/>
        <v>0</v>
      </c>
      <c r="U11">
        <f t="shared" si="14"/>
        <v>0</v>
      </c>
      <c r="V11">
        <f t="shared" si="15"/>
        <v>0</v>
      </c>
      <c r="W11">
        <f t="shared" si="16"/>
        <v>0</v>
      </c>
      <c r="X11">
        <f t="shared" si="17"/>
        <v>0</v>
      </c>
      <c r="Z11" t="s">
        <v>421</v>
      </c>
      <c r="AA11">
        <f>F30</f>
        <v>0.97341422557552471</v>
      </c>
      <c r="AB11">
        <f>N30</f>
        <v>0.94039699306158497</v>
      </c>
      <c r="AC11">
        <f>V30</f>
        <v>0.94570460518896104</v>
      </c>
    </row>
    <row r="12" spans="1:29">
      <c r="B12" t="s">
        <v>35</v>
      </c>
      <c r="C12">
        <f t="shared" si="0"/>
        <v>0</v>
      </c>
      <c r="D12">
        <f t="shared" si="1"/>
        <v>0</v>
      </c>
      <c r="E12">
        <f t="shared" si="2"/>
        <v>0</v>
      </c>
      <c r="F12">
        <f t="shared" si="3"/>
        <v>0</v>
      </c>
      <c r="G12">
        <f t="shared" si="4"/>
        <v>0</v>
      </c>
      <c r="H12">
        <f t="shared" si="5"/>
        <v>0</v>
      </c>
      <c r="J12" t="s">
        <v>35</v>
      </c>
      <c r="K12">
        <f t="shared" si="6"/>
        <v>0</v>
      </c>
      <c r="L12">
        <f t="shared" si="7"/>
        <v>0</v>
      </c>
      <c r="M12">
        <f t="shared" si="8"/>
        <v>0</v>
      </c>
      <c r="N12">
        <f t="shared" si="9"/>
        <v>0</v>
      </c>
      <c r="O12">
        <f t="shared" si="10"/>
        <v>0</v>
      </c>
      <c r="P12">
        <f t="shared" si="11"/>
        <v>0</v>
      </c>
      <c r="R12" t="s">
        <v>35</v>
      </c>
      <c r="S12">
        <f t="shared" si="12"/>
        <v>0</v>
      </c>
      <c r="T12">
        <f t="shared" si="13"/>
        <v>0</v>
      </c>
      <c r="U12">
        <f t="shared" si="14"/>
        <v>0</v>
      </c>
      <c r="V12">
        <f t="shared" si="15"/>
        <v>0</v>
      </c>
      <c r="W12">
        <f t="shared" si="16"/>
        <v>0</v>
      </c>
      <c r="X12">
        <f t="shared" si="17"/>
        <v>0</v>
      </c>
      <c r="Z12" t="s">
        <v>422</v>
      </c>
      <c r="AA12">
        <f>G30</f>
        <v>0.90701715396036009</v>
      </c>
      <c r="AB12">
        <f>O30</f>
        <v>0.76855068301216423</v>
      </c>
      <c r="AC12">
        <f>W30</f>
        <v>0.95120276826195505</v>
      </c>
    </row>
    <row r="13" spans="1:29">
      <c r="B13" t="s">
        <v>38</v>
      </c>
      <c r="C13">
        <f t="shared" si="0"/>
        <v>9.1324200913242006E-4</v>
      </c>
      <c r="D13">
        <f t="shared" si="1"/>
        <v>1.8184022305734028E-3</v>
      </c>
      <c r="E13">
        <f t="shared" si="2"/>
        <v>0</v>
      </c>
      <c r="F13">
        <f t="shared" si="3"/>
        <v>9.8328416912487715E-4</v>
      </c>
      <c r="G13">
        <f t="shared" si="4"/>
        <v>0</v>
      </c>
      <c r="H13">
        <f t="shared" si="5"/>
        <v>0</v>
      </c>
      <c r="J13" t="s">
        <v>38</v>
      </c>
      <c r="K13">
        <f t="shared" si="6"/>
        <v>0</v>
      </c>
      <c r="L13">
        <f t="shared" si="7"/>
        <v>0</v>
      </c>
      <c r="M13">
        <f t="shared" si="8"/>
        <v>0</v>
      </c>
      <c r="N13">
        <f t="shared" si="9"/>
        <v>0</v>
      </c>
      <c r="O13">
        <f t="shared" si="10"/>
        <v>0</v>
      </c>
      <c r="P13">
        <f t="shared" si="11"/>
        <v>0</v>
      </c>
      <c r="R13" t="s">
        <v>38</v>
      </c>
      <c r="S13">
        <f t="shared" si="12"/>
        <v>2.5510204081632651E-3</v>
      </c>
      <c r="T13">
        <f t="shared" si="13"/>
        <v>3.2223415682062296E-3</v>
      </c>
      <c r="U13">
        <f t="shared" si="14"/>
        <v>0</v>
      </c>
      <c r="V13">
        <f t="shared" si="15"/>
        <v>2.1929824561403508E-3</v>
      </c>
      <c r="W13">
        <f t="shared" si="16"/>
        <v>0</v>
      </c>
      <c r="X13">
        <f t="shared" si="17"/>
        <v>0</v>
      </c>
      <c r="Z13" t="s">
        <v>423</v>
      </c>
      <c r="AA13">
        <f>H30</f>
        <v>0.92004859431750663</v>
      </c>
      <c r="AB13">
        <f>P30</f>
        <v>0.88844474796417905</v>
      </c>
      <c r="AC13">
        <f>X30</f>
        <v>0.85474110164399231</v>
      </c>
    </row>
    <row r="14" spans="1:29">
      <c r="B14" t="s">
        <v>42</v>
      </c>
      <c r="C14">
        <f t="shared" si="0"/>
        <v>6.0882800608828001E-4</v>
      </c>
      <c r="D14">
        <f t="shared" si="1"/>
        <v>4.8490726148624073E-4</v>
      </c>
      <c r="E14">
        <f t="shared" si="2"/>
        <v>0</v>
      </c>
      <c r="F14">
        <f t="shared" si="3"/>
        <v>3.9331366764995085E-4</v>
      </c>
      <c r="G14">
        <f t="shared" si="4"/>
        <v>0</v>
      </c>
      <c r="H14">
        <f t="shared" si="5"/>
        <v>0</v>
      </c>
      <c r="J14" t="s">
        <v>42</v>
      </c>
      <c r="K14">
        <f t="shared" si="6"/>
        <v>9.9206349206349201E-4</v>
      </c>
      <c r="L14">
        <f t="shared" si="7"/>
        <v>1.1261261261261261E-3</v>
      </c>
      <c r="M14">
        <f t="shared" si="8"/>
        <v>0</v>
      </c>
      <c r="N14">
        <f t="shared" si="9"/>
        <v>6.4350064350064348E-4</v>
      </c>
      <c r="O14">
        <f t="shared" si="10"/>
        <v>0</v>
      </c>
      <c r="P14">
        <f t="shared" si="11"/>
        <v>0</v>
      </c>
      <c r="R14" t="s">
        <v>42</v>
      </c>
      <c r="S14">
        <f t="shared" si="12"/>
        <v>4.2517006802721081E-4</v>
      </c>
      <c r="T14">
        <f t="shared" si="13"/>
        <v>2.6852846401718576E-4</v>
      </c>
      <c r="U14">
        <f t="shared" si="14"/>
        <v>0</v>
      </c>
      <c r="V14">
        <f t="shared" si="15"/>
        <v>2.7412280701754384E-4</v>
      </c>
      <c r="W14">
        <f t="shared" si="16"/>
        <v>0</v>
      </c>
      <c r="X14">
        <f t="shared" si="17"/>
        <v>0</v>
      </c>
    </row>
    <row r="15" spans="1:29">
      <c r="B15" t="s">
        <v>47</v>
      </c>
      <c r="C15">
        <f t="shared" si="0"/>
        <v>0</v>
      </c>
      <c r="D15">
        <f t="shared" si="1"/>
        <v>0</v>
      </c>
      <c r="E15">
        <f t="shared" si="2"/>
        <v>0</v>
      </c>
      <c r="F15">
        <f t="shared" si="3"/>
        <v>0</v>
      </c>
      <c r="G15">
        <f t="shared" si="4"/>
        <v>0</v>
      </c>
      <c r="H15">
        <f t="shared" si="5"/>
        <v>0</v>
      </c>
      <c r="J15" t="s">
        <v>47</v>
      </c>
      <c r="K15">
        <f t="shared" si="6"/>
        <v>0</v>
      </c>
      <c r="L15">
        <f t="shared" si="7"/>
        <v>0</v>
      </c>
      <c r="M15">
        <f t="shared" si="8"/>
        <v>0</v>
      </c>
      <c r="N15">
        <f t="shared" si="9"/>
        <v>0</v>
      </c>
      <c r="O15">
        <f t="shared" si="10"/>
        <v>0</v>
      </c>
      <c r="P15">
        <f t="shared" si="11"/>
        <v>0</v>
      </c>
      <c r="R15" t="s">
        <v>47</v>
      </c>
      <c r="S15">
        <f t="shared" si="12"/>
        <v>0</v>
      </c>
      <c r="T15">
        <f t="shared" si="13"/>
        <v>0</v>
      </c>
      <c r="U15">
        <f t="shared" si="14"/>
        <v>0</v>
      </c>
      <c r="V15">
        <f t="shared" si="15"/>
        <v>0</v>
      </c>
      <c r="W15">
        <f t="shared" si="16"/>
        <v>0</v>
      </c>
      <c r="X15">
        <f t="shared" si="17"/>
        <v>0</v>
      </c>
    </row>
    <row r="16" spans="1:29">
      <c r="B16" t="s">
        <v>53</v>
      </c>
      <c r="C16">
        <f t="shared" si="0"/>
        <v>0</v>
      </c>
      <c r="D16">
        <f t="shared" si="1"/>
        <v>0</v>
      </c>
      <c r="E16">
        <f t="shared" si="2"/>
        <v>0</v>
      </c>
      <c r="F16">
        <f t="shared" si="3"/>
        <v>0</v>
      </c>
      <c r="G16">
        <f t="shared" si="4"/>
        <v>0</v>
      </c>
      <c r="H16">
        <f t="shared" si="5"/>
        <v>0</v>
      </c>
      <c r="J16" t="s">
        <v>53</v>
      </c>
      <c r="K16">
        <f t="shared" si="6"/>
        <v>0</v>
      </c>
      <c r="L16">
        <f t="shared" si="7"/>
        <v>0</v>
      </c>
      <c r="M16">
        <f t="shared" si="8"/>
        <v>0</v>
      </c>
      <c r="N16">
        <f t="shared" si="9"/>
        <v>0</v>
      </c>
      <c r="O16">
        <f t="shared" si="10"/>
        <v>0</v>
      </c>
      <c r="P16">
        <f t="shared" si="11"/>
        <v>0</v>
      </c>
      <c r="R16" t="s">
        <v>53</v>
      </c>
      <c r="S16">
        <f t="shared" si="12"/>
        <v>0</v>
      </c>
      <c r="T16">
        <f t="shared" si="13"/>
        <v>0</v>
      </c>
      <c r="U16">
        <f t="shared" si="14"/>
        <v>0</v>
      </c>
      <c r="V16">
        <f t="shared" si="15"/>
        <v>0</v>
      </c>
      <c r="W16">
        <f t="shared" si="16"/>
        <v>0</v>
      </c>
      <c r="X16">
        <f t="shared" si="17"/>
        <v>0</v>
      </c>
    </row>
    <row r="17" spans="2:24">
      <c r="B17" t="s">
        <v>57</v>
      </c>
      <c r="C17">
        <f t="shared" si="0"/>
        <v>0.13455098934550988</v>
      </c>
      <c r="D17">
        <f t="shared" si="1"/>
        <v>0.16486846890532184</v>
      </c>
      <c r="E17">
        <f t="shared" si="2"/>
        <v>0.20810259399591954</v>
      </c>
      <c r="F17">
        <f t="shared" si="3"/>
        <v>0.10226155358898721</v>
      </c>
      <c r="G17">
        <f t="shared" si="4"/>
        <v>0.12907801418439716</v>
      </c>
      <c r="H17">
        <f t="shared" si="5"/>
        <v>0.15816230465072489</v>
      </c>
      <c r="J17" t="s">
        <v>57</v>
      </c>
      <c r="K17">
        <f t="shared" si="6"/>
        <v>9.9206349206349201E-2</v>
      </c>
      <c r="L17">
        <f t="shared" si="7"/>
        <v>0.12387387387387389</v>
      </c>
      <c r="M17">
        <f t="shared" si="8"/>
        <v>0.21604938271604937</v>
      </c>
      <c r="N17">
        <f t="shared" si="9"/>
        <v>7.0785070785070792E-2</v>
      </c>
      <c r="O17">
        <f t="shared" si="10"/>
        <v>0.12345679012345678</v>
      </c>
      <c r="P17">
        <f t="shared" si="11"/>
        <v>0.15415415415415415</v>
      </c>
      <c r="R17" t="s">
        <v>57</v>
      </c>
      <c r="S17">
        <f t="shared" si="12"/>
        <v>0.16326530612244897</v>
      </c>
      <c r="T17">
        <f t="shared" si="13"/>
        <v>0.18689581095596133</v>
      </c>
      <c r="U17">
        <f t="shared" si="14"/>
        <v>0.1714285714285714</v>
      </c>
      <c r="V17">
        <f t="shared" si="15"/>
        <v>0.12719298245614036</v>
      </c>
      <c r="W17">
        <f t="shared" si="16"/>
        <v>0.11666666666666665</v>
      </c>
      <c r="X17">
        <f t="shared" si="17"/>
        <v>0.13355263157894737</v>
      </c>
    </row>
    <row r="18" spans="2:24">
      <c r="B18" t="s">
        <v>50</v>
      </c>
      <c r="C18">
        <f t="shared" si="0"/>
        <v>0</v>
      </c>
      <c r="D18">
        <f t="shared" si="1"/>
        <v>0</v>
      </c>
      <c r="E18">
        <f t="shared" si="2"/>
        <v>0</v>
      </c>
      <c r="F18">
        <f t="shared" si="3"/>
        <v>0</v>
      </c>
      <c r="G18">
        <f t="shared" si="4"/>
        <v>0</v>
      </c>
      <c r="H18">
        <f t="shared" si="5"/>
        <v>0</v>
      </c>
      <c r="J18" t="s">
        <v>50</v>
      </c>
      <c r="K18">
        <f t="shared" si="6"/>
        <v>0</v>
      </c>
      <c r="L18">
        <f t="shared" si="7"/>
        <v>0</v>
      </c>
      <c r="M18">
        <f t="shared" si="8"/>
        <v>0</v>
      </c>
      <c r="N18">
        <f t="shared" si="9"/>
        <v>0</v>
      </c>
      <c r="O18">
        <f t="shared" si="10"/>
        <v>0</v>
      </c>
      <c r="P18">
        <f t="shared" si="11"/>
        <v>0</v>
      </c>
      <c r="R18" t="s">
        <v>50</v>
      </c>
      <c r="S18">
        <f t="shared" si="12"/>
        <v>0</v>
      </c>
      <c r="T18">
        <f t="shared" si="13"/>
        <v>0</v>
      </c>
      <c r="U18">
        <f t="shared" si="14"/>
        <v>0</v>
      </c>
      <c r="V18">
        <f t="shared" si="15"/>
        <v>0</v>
      </c>
      <c r="W18">
        <f t="shared" si="16"/>
        <v>0</v>
      </c>
      <c r="X18">
        <f t="shared" si="17"/>
        <v>0</v>
      </c>
    </row>
    <row r="19" spans="2:24">
      <c r="B19" t="s">
        <v>60</v>
      </c>
      <c r="C19">
        <f t="shared" si="0"/>
        <v>0</v>
      </c>
      <c r="D19">
        <f t="shared" si="1"/>
        <v>0</v>
      </c>
      <c r="E19">
        <f t="shared" si="2"/>
        <v>0</v>
      </c>
      <c r="F19">
        <f t="shared" si="3"/>
        <v>0</v>
      </c>
      <c r="G19">
        <f t="shared" si="4"/>
        <v>0</v>
      </c>
      <c r="H19">
        <f t="shared" si="5"/>
        <v>0</v>
      </c>
      <c r="J19" t="s">
        <v>60</v>
      </c>
      <c r="K19">
        <f t="shared" si="6"/>
        <v>0</v>
      </c>
      <c r="L19">
        <f t="shared" si="7"/>
        <v>0</v>
      </c>
      <c r="M19">
        <f t="shared" si="8"/>
        <v>0</v>
      </c>
      <c r="N19">
        <f t="shared" si="9"/>
        <v>0</v>
      </c>
      <c r="O19">
        <f t="shared" si="10"/>
        <v>0</v>
      </c>
      <c r="P19">
        <f t="shared" si="11"/>
        <v>0</v>
      </c>
      <c r="R19" t="s">
        <v>60</v>
      </c>
      <c r="S19">
        <f t="shared" si="12"/>
        <v>0</v>
      </c>
      <c r="T19">
        <f t="shared" si="13"/>
        <v>0</v>
      </c>
      <c r="U19">
        <f t="shared" si="14"/>
        <v>0</v>
      </c>
      <c r="V19">
        <f t="shared" si="15"/>
        <v>0</v>
      </c>
      <c r="W19">
        <f t="shared" si="16"/>
        <v>0</v>
      </c>
      <c r="X19">
        <f t="shared" si="17"/>
        <v>0</v>
      </c>
    </row>
    <row r="20" spans="2:24">
      <c r="B20" t="s">
        <v>62</v>
      </c>
      <c r="C20">
        <f t="shared" si="0"/>
        <v>8.5235920852359207E-3</v>
      </c>
      <c r="D20">
        <f t="shared" si="1"/>
        <v>4.8490726148624069E-3</v>
      </c>
      <c r="E20">
        <f t="shared" si="2"/>
        <v>1.0492567764500145E-2</v>
      </c>
      <c r="F20">
        <f t="shared" si="3"/>
        <v>1.376597836774828E-2</v>
      </c>
      <c r="G20">
        <f t="shared" si="4"/>
        <v>2.9787234042553193E-2</v>
      </c>
      <c r="H20">
        <f t="shared" si="5"/>
        <v>1.694596121257767E-2</v>
      </c>
      <c r="J20" t="s">
        <v>62</v>
      </c>
      <c r="K20">
        <f t="shared" si="6"/>
        <v>4.96031746031746E-3</v>
      </c>
      <c r="L20">
        <f t="shared" si="7"/>
        <v>4.5045045045045045E-3</v>
      </c>
      <c r="M20">
        <f t="shared" si="8"/>
        <v>6.1728395061728392E-3</v>
      </c>
      <c r="N20">
        <f t="shared" si="9"/>
        <v>1.2870012870012869E-2</v>
      </c>
      <c r="O20">
        <f t="shared" si="10"/>
        <v>1.7636684303350969E-2</v>
      </c>
      <c r="P20">
        <f t="shared" si="11"/>
        <v>1.6016016016016016E-2</v>
      </c>
      <c r="R20" t="s">
        <v>62</v>
      </c>
      <c r="S20">
        <f t="shared" si="12"/>
        <v>1.1479591836734693E-2</v>
      </c>
      <c r="T20">
        <f t="shared" si="13"/>
        <v>4.8335123523093448E-3</v>
      </c>
      <c r="U20">
        <f t="shared" si="14"/>
        <v>1.5306122448979591E-2</v>
      </c>
      <c r="V20">
        <f t="shared" si="15"/>
        <v>1.4802631578947368E-2</v>
      </c>
      <c r="W20">
        <f t="shared" si="16"/>
        <v>4.6875E-2</v>
      </c>
      <c r="X20">
        <f t="shared" si="17"/>
        <v>1.9736842105263157E-2</v>
      </c>
    </row>
    <row r="21" spans="2:24">
      <c r="B21" t="s">
        <v>68</v>
      </c>
      <c r="C21">
        <f t="shared" si="0"/>
        <v>1.5220700152207E-4</v>
      </c>
      <c r="D21">
        <f t="shared" si="1"/>
        <v>3.6368044611468053E-4</v>
      </c>
      <c r="E21">
        <f t="shared" si="2"/>
        <v>0</v>
      </c>
      <c r="F21">
        <f t="shared" si="3"/>
        <v>2.9498525073746312E-4</v>
      </c>
      <c r="G21">
        <f t="shared" si="4"/>
        <v>0</v>
      </c>
      <c r="H21">
        <f t="shared" si="5"/>
        <v>0</v>
      </c>
      <c r="J21" t="s">
        <v>68</v>
      </c>
      <c r="K21">
        <f t="shared" si="6"/>
        <v>0</v>
      </c>
      <c r="L21">
        <f t="shared" si="7"/>
        <v>0</v>
      </c>
      <c r="M21">
        <f t="shared" si="8"/>
        <v>0</v>
      </c>
      <c r="N21">
        <f t="shared" si="9"/>
        <v>6.4350064350064348E-4</v>
      </c>
      <c r="O21">
        <f t="shared" si="10"/>
        <v>0</v>
      </c>
      <c r="P21">
        <f t="shared" si="11"/>
        <v>0</v>
      </c>
      <c r="R21" t="s">
        <v>68</v>
      </c>
      <c r="S21">
        <f t="shared" si="12"/>
        <v>0</v>
      </c>
      <c r="T21">
        <f t="shared" si="13"/>
        <v>5.3705692803437152E-4</v>
      </c>
      <c r="U21">
        <f t="shared" si="14"/>
        <v>0</v>
      </c>
      <c r="V21">
        <f t="shared" si="15"/>
        <v>0</v>
      </c>
      <c r="W21">
        <f t="shared" si="16"/>
        <v>0</v>
      </c>
      <c r="X21">
        <f t="shared" si="17"/>
        <v>0</v>
      </c>
    </row>
    <row r="22" spans="2:24">
      <c r="B22" t="s">
        <v>65</v>
      </c>
      <c r="C22">
        <f t="shared" si="0"/>
        <v>0</v>
      </c>
      <c r="D22">
        <f t="shared" si="1"/>
        <v>0</v>
      </c>
      <c r="E22">
        <f t="shared" si="2"/>
        <v>0</v>
      </c>
      <c r="F22">
        <f t="shared" si="3"/>
        <v>0</v>
      </c>
      <c r="G22">
        <f t="shared" si="4"/>
        <v>0</v>
      </c>
      <c r="H22">
        <f t="shared" si="5"/>
        <v>0</v>
      </c>
      <c r="J22" t="s">
        <v>65</v>
      </c>
      <c r="K22">
        <f t="shared" si="6"/>
        <v>0</v>
      </c>
      <c r="L22">
        <f t="shared" si="7"/>
        <v>0</v>
      </c>
      <c r="M22">
        <f t="shared" si="8"/>
        <v>0</v>
      </c>
      <c r="N22">
        <f t="shared" si="9"/>
        <v>0</v>
      </c>
      <c r="O22">
        <f t="shared" si="10"/>
        <v>0</v>
      </c>
      <c r="P22">
        <f t="shared" si="11"/>
        <v>0</v>
      </c>
      <c r="R22" t="s">
        <v>65</v>
      </c>
      <c r="S22">
        <f t="shared" si="12"/>
        <v>0</v>
      </c>
      <c r="T22">
        <f t="shared" si="13"/>
        <v>0</v>
      </c>
      <c r="U22">
        <f t="shared" si="14"/>
        <v>0</v>
      </c>
      <c r="V22">
        <f t="shared" si="15"/>
        <v>0</v>
      </c>
      <c r="W22">
        <f t="shared" si="16"/>
        <v>0</v>
      </c>
      <c r="X22">
        <f t="shared" si="17"/>
        <v>0</v>
      </c>
    </row>
    <row r="23" spans="2:24">
      <c r="B23" t="s">
        <v>70</v>
      </c>
      <c r="C23">
        <f t="shared" si="0"/>
        <v>0</v>
      </c>
      <c r="D23">
        <f t="shared" si="1"/>
        <v>1.2122681537156018E-4</v>
      </c>
      <c r="E23">
        <f t="shared" si="2"/>
        <v>2.9146021568055957E-4</v>
      </c>
      <c r="F23">
        <f t="shared" si="3"/>
        <v>0</v>
      </c>
      <c r="G23">
        <f t="shared" si="4"/>
        <v>0</v>
      </c>
      <c r="H23">
        <f t="shared" si="5"/>
        <v>1.8828845791752966E-4</v>
      </c>
      <c r="J23" t="s">
        <v>70</v>
      </c>
      <c r="K23">
        <f t="shared" si="6"/>
        <v>0</v>
      </c>
      <c r="L23">
        <f t="shared" si="7"/>
        <v>0</v>
      </c>
      <c r="M23">
        <f t="shared" si="8"/>
        <v>0</v>
      </c>
      <c r="N23">
        <f t="shared" si="9"/>
        <v>0</v>
      </c>
      <c r="O23">
        <f t="shared" si="10"/>
        <v>0</v>
      </c>
      <c r="P23">
        <f t="shared" si="11"/>
        <v>0</v>
      </c>
      <c r="R23" t="s">
        <v>70</v>
      </c>
      <c r="S23">
        <f t="shared" si="12"/>
        <v>0</v>
      </c>
      <c r="T23">
        <f t="shared" si="13"/>
        <v>0</v>
      </c>
      <c r="U23">
        <f t="shared" si="14"/>
        <v>0</v>
      </c>
      <c r="V23">
        <f t="shared" si="15"/>
        <v>0</v>
      </c>
      <c r="W23">
        <f t="shared" si="16"/>
        <v>0</v>
      </c>
      <c r="X23">
        <f t="shared" si="17"/>
        <v>6.5789473684210525E-4</v>
      </c>
    </row>
    <row r="24" spans="2:24">
      <c r="B24" t="s">
        <v>75</v>
      </c>
      <c r="C24">
        <f t="shared" si="0"/>
        <v>0</v>
      </c>
      <c r="D24">
        <f t="shared" si="1"/>
        <v>0</v>
      </c>
      <c r="E24">
        <f t="shared" si="2"/>
        <v>0</v>
      </c>
      <c r="F24">
        <f t="shared" si="3"/>
        <v>0</v>
      </c>
      <c r="G24">
        <f t="shared" si="4"/>
        <v>0</v>
      </c>
      <c r="H24">
        <f t="shared" si="5"/>
        <v>0</v>
      </c>
      <c r="J24" t="s">
        <v>75</v>
      </c>
      <c r="K24">
        <f t="shared" si="6"/>
        <v>0</v>
      </c>
      <c r="L24">
        <f t="shared" si="7"/>
        <v>0</v>
      </c>
      <c r="M24">
        <f t="shared" si="8"/>
        <v>0</v>
      </c>
      <c r="N24">
        <f t="shared" si="9"/>
        <v>0</v>
      </c>
      <c r="O24">
        <f t="shared" si="10"/>
        <v>0</v>
      </c>
      <c r="P24">
        <f t="shared" si="11"/>
        <v>0</v>
      </c>
      <c r="R24" t="s">
        <v>75</v>
      </c>
      <c r="S24">
        <f t="shared" si="12"/>
        <v>0</v>
      </c>
      <c r="T24">
        <f t="shared" si="13"/>
        <v>0</v>
      </c>
      <c r="U24">
        <f t="shared" si="14"/>
        <v>0</v>
      </c>
      <c r="V24">
        <f t="shared" si="15"/>
        <v>0</v>
      </c>
      <c r="W24">
        <f t="shared" si="16"/>
        <v>0</v>
      </c>
      <c r="X24">
        <f t="shared" si="17"/>
        <v>0</v>
      </c>
    </row>
    <row r="25" spans="2:24">
      <c r="B25" t="s">
        <v>73</v>
      </c>
      <c r="C25">
        <f t="shared" si="0"/>
        <v>1.8264840182648401E-3</v>
      </c>
      <c r="D25">
        <f t="shared" si="1"/>
        <v>1.9396290459449629E-3</v>
      </c>
      <c r="E25">
        <f t="shared" si="2"/>
        <v>2.9146021568055959E-3</v>
      </c>
      <c r="F25">
        <f t="shared" si="3"/>
        <v>4.71976401179941E-3</v>
      </c>
      <c r="G25">
        <f t="shared" si="4"/>
        <v>7.0921985815602835E-3</v>
      </c>
      <c r="H25">
        <f t="shared" si="5"/>
        <v>7.5315383167011861E-3</v>
      </c>
      <c r="J25" t="s">
        <v>73</v>
      </c>
      <c r="K25">
        <f t="shared" si="6"/>
        <v>3.968253968253968E-3</v>
      </c>
      <c r="L25">
        <f t="shared" si="7"/>
        <v>4.5045045045045045E-3</v>
      </c>
      <c r="M25">
        <f t="shared" si="8"/>
        <v>6.1728395061728392E-3</v>
      </c>
      <c r="N25">
        <f t="shared" si="9"/>
        <v>2.5740025740025739E-3</v>
      </c>
      <c r="O25">
        <f t="shared" si="10"/>
        <v>3.5273368606701938E-3</v>
      </c>
      <c r="P25">
        <f t="shared" si="11"/>
        <v>4.004004004004004E-3</v>
      </c>
      <c r="R25" t="s">
        <v>73</v>
      </c>
      <c r="S25">
        <f t="shared" si="12"/>
        <v>0</v>
      </c>
      <c r="T25">
        <f t="shared" si="13"/>
        <v>0</v>
      </c>
      <c r="U25">
        <f t="shared" si="14"/>
        <v>0</v>
      </c>
      <c r="V25">
        <f t="shared" si="15"/>
        <v>6.5789473684210523E-3</v>
      </c>
      <c r="W25">
        <f t="shared" si="16"/>
        <v>1.2499999999999999E-2</v>
      </c>
      <c r="X25">
        <f t="shared" si="17"/>
        <v>1.1842105263157893E-2</v>
      </c>
    </row>
    <row r="26" spans="2:24">
      <c r="B26" t="s">
        <v>78</v>
      </c>
      <c r="C26">
        <f t="shared" si="0"/>
        <v>1.0958904109589041E-2</v>
      </c>
      <c r="D26">
        <f t="shared" si="1"/>
        <v>1.0183052491211056E-2</v>
      </c>
      <c r="E26">
        <f t="shared" si="2"/>
        <v>8.7438064704167869E-3</v>
      </c>
      <c r="F26">
        <f t="shared" si="3"/>
        <v>1.6519174041297935E-2</v>
      </c>
      <c r="G26">
        <f t="shared" si="4"/>
        <v>1.4184397163120567E-2</v>
      </c>
      <c r="H26">
        <f t="shared" si="5"/>
        <v>1.3180192054227076E-2</v>
      </c>
      <c r="J26" t="s">
        <v>78</v>
      </c>
      <c r="K26">
        <f t="shared" si="6"/>
        <v>9.9206349206349201E-3</v>
      </c>
      <c r="L26">
        <f t="shared" si="7"/>
        <v>1.1261261261261261E-2</v>
      </c>
      <c r="M26">
        <f t="shared" si="8"/>
        <v>9.2592592592592587E-3</v>
      </c>
      <c r="N26">
        <f t="shared" si="9"/>
        <v>1.6087516087516088E-2</v>
      </c>
      <c r="O26">
        <f t="shared" si="10"/>
        <v>1.3227513227513227E-2</v>
      </c>
      <c r="P26">
        <f t="shared" si="11"/>
        <v>1.5015015015015015E-2</v>
      </c>
      <c r="R26" t="s">
        <v>78</v>
      </c>
      <c r="S26">
        <f t="shared" si="12"/>
        <v>1.1904761904761904E-2</v>
      </c>
      <c r="T26">
        <f t="shared" si="13"/>
        <v>9.6670247046186878E-3</v>
      </c>
      <c r="U26">
        <f t="shared" si="14"/>
        <v>8.163265306122448E-3</v>
      </c>
      <c r="V26">
        <f t="shared" si="15"/>
        <v>1.7269736842105265E-2</v>
      </c>
      <c r="W26">
        <f t="shared" si="16"/>
        <v>1.4583333333333335E-2</v>
      </c>
      <c r="X26">
        <f t="shared" si="17"/>
        <v>1.1842105263157895E-2</v>
      </c>
    </row>
    <row r="27" spans="2:24">
      <c r="B27" t="s">
        <v>80</v>
      </c>
      <c r="C27">
        <f t="shared" si="0"/>
        <v>4.3835616438356165E-2</v>
      </c>
      <c r="D27">
        <f t="shared" si="1"/>
        <v>4.2671839010789185E-2</v>
      </c>
      <c r="E27">
        <f t="shared" si="2"/>
        <v>1.3990090352666859E-2</v>
      </c>
      <c r="F27">
        <f t="shared" si="3"/>
        <v>3.8938053097345132E-2</v>
      </c>
      <c r="G27">
        <f t="shared" si="4"/>
        <v>1.276595744680851E-2</v>
      </c>
      <c r="H27">
        <f t="shared" si="5"/>
        <v>1.2427038222556957E-2</v>
      </c>
      <c r="J27" t="s">
        <v>80</v>
      </c>
      <c r="K27">
        <f t="shared" si="6"/>
        <v>7.1428571428571425E-2</v>
      </c>
      <c r="L27">
        <f t="shared" si="7"/>
        <v>4.72972972972973E-2</v>
      </c>
      <c r="M27">
        <f t="shared" si="8"/>
        <v>1.8518518518518517E-2</v>
      </c>
      <c r="N27">
        <f t="shared" si="9"/>
        <v>5.4054054054054057E-2</v>
      </c>
      <c r="O27">
        <f t="shared" si="10"/>
        <v>2.1164021164021163E-2</v>
      </c>
      <c r="P27">
        <f t="shared" si="11"/>
        <v>1.4014014014014014E-2</v>
      </c>
      <c r="R27" t="s">
        <v>80</v>
      </c>
      <c r="S27">
        <f t="shared" si="12"/>
        <v>2.5510204081632654E-2</v>
      </c>
      <c r="T27">
        <f t="shared" si="13"/>
        <v>4.0279269602577876E-2</v>
      </c>
      <c r="U27">
        <f t="shared" si="14"/>
        <v>1.0204081632653062E-2</v>
      </c>
      <c r="V27">
        <f t="shared" si="15"/>
        <v>2.4671052631578948E-2</v>
      </c>
      <c r="W27">
        <f t="shared" si="16"/>
        <v>6.2500000000000003E-3</v>
      </c>
      <c r="X27">
        <f t="shared" si="17"/>
        <v>9.8684210526315801E-3</v>
      </c>
    </row>
    <row r="28" spans="2:24">
      <c r="B28" s="31" t="s">
        <v>357</v>
      </c>
      <c r="C28">
        <f t="shared" ref="C28:H28" si="18">SUM(C7:C27)</f>
        <v>0.20197869101978694</v>
      </c>
      <c r="D28">
        <f t="shared" si="18"/>
        <v>0.22790641289853314</v>
      </c>
      <c r="E28">
        <f t="shared" si="18"/>
        <v>0.24511804138735058</v>
      </c>
      <c r="F28">
        <f t="shared" si="18"/>
        <v>0.17984267453294001</v>
      </c>
      <c r="G28">
        <f t="shared" si="18"/>
        <v>0.19479905437352246</v>
      </c>
      <c r="H28">
        <f t="shared" si="18"/>
        <v>0.21031820749388058</v>
      </c>
      <c r="J28" s="31" t="s">
        <v>357</v>
      </c>
      <c r="K28">
        <f t="shared" ref="K28:P28" si="19">SUM(K7:K27)</f>
        <v>0.19047619047619047</v>
      </c>
      <c r="L28">
        <f t="shared" si="19"/>
        <v>0.1925675675675676</v>
      </c>
      <c r="M28">
        <f t="shared" si="19"/>
        <v>0.25617283950617287</v>
      </c>
      <c r="N28">
        <f t="shared" si="19"/>
        <v>0.16280566280566283</v>
      </c>
      <c r="O28">
        <f t="shared" si="19"/>
        <v>0.18077601410934743</v>
      </c>
      <c r="P28">
        <f t="shared" si="19"/>
        <v>0.20720720720720717</v>
      </c>
      <c r="R28" s="31" t="s">
        <v>357</v>
      </c>
      <c r="S28">
        <f t="shared" ref="S28:X28" si="20">SUM(S7:S27)</f>
        <v>0.21598639455782312</v>
      </c>
      <c r="T28">
        <f t="shared" si="20"/>
        <v>0.24597207303974222</v>
      </c>
      <c r="U28">
        <f t="shared" si="20"/>
        <v>0.20612244897959181</v>
      </c>
      <c r="V28">
        <f t="shared" si="20"/>
        <v>0.19353070175438597</v>
      </c>
      <c r="W28">
        <f t="shared" si="20"/>
        <v>0.19895833333333335</v>
      </c>
      <c r="X28">
        <f t="shared" si="20"/>
        <v>0.18815789473684214</v>
      </c>
    </row>
    <row r="30" spans="2:24" ht="15.95">
      <c r="B30" t="s">
        <v>424</v>
      </c>
      <c r="C30">
        <f>C28/(SQRT(C103*D103))</f>
        <v>0.91713002930064691</v>
      </c>
      <c r="D30">
        <f>D28/(SQRT(C103*E103))</f>
        <v>0.97227057871493749</v>
      </c>
      <c r="E30">
        <f>E28/(SQRT(C103*F103))</f>
        <v>0.89955888257513128</v>
      </c>
      <c r="F30">
        <f>F28/(SQRT(D103*E103))</f>
        <v>0.97341422557552471</v>
      </c>
      <c r="G30">
        <f>G28/(SQRT(D103*F103))</f>
        <v>0.90701715396036009</v>
      </c>
      <c r="H30">
        <f>H28/(SQRT(E103*F103))</f>
        <v>0.92004859431750663</v>
      </c>
      <c r="J30" t="s">
        <v>424</v>
      </c>
      <c r="K30" s="32">
        <f>K28/(SQRT(I103*J103))</f>
        <v>0.89928016140956246</v>
      </c>
      <c r="L30" s="21">
        <f>L28/(SQRT(I103*K103))</f>
        <v>0.91691973783719083</v>
      </c>
      <c r="M30" s="22">
        <f>M28/(SQRT(I103*L103))</f>
        <v>0.89778271648200403</v>
      </c>
      <c r="N30" s="32">
        <f>N28/(SQRT(J103*K103))</f>
        <v>0.94039699306158497</v>
      </c>
      <c r="O30" s="21">
        <f>O28/(SQRT(J103*L103))</f>
        <v>0.76855068301216423</v>
      </c>
      <c r="P30" s="22">
        <f>P28/(SQRT(K103*L103))</f>
        <v>0.88844474796417905</v>
      </c>
      <c r="R30" t="s">
        <v>424</v>
      </c>
      <c r="S30" s="32">
        <f>S28/(SQRT(O103*P103))</f>
        <v>0.8975769357800788</v>
      </c>
      <c r="T30" s="21">
        <f>T28/(SQRT(O103*Q103))</f>
        <v>0.9712527525048813</v>
      </c>
      <c r="U30" s="22">
        <f>U28/(SQRT(O103*R103))</f>
        <v>0.79630069326529795</v>
      </c>
      <c r="V30" s="32">
        <f>V28/(SQRT(P103*Q103))</f>
        <v>0.94570460518896104</v>
      </c>
      <c r="W30" s="21">
        <f>W28/(SQRT(P103*R103))</f>
        <v>0.95120276826195505</v>
      </c>
      <c r="X30" s="22">
        <f>X28/(SQRT(Q103*R103))</f>
        <v>0.85474110164399231</v>
      </c>
    </row>
    <row r="33" spans="2:24" ht="15.95">
      <c r="B33" s="24" t="s">
        <v>354</v>
      </c>
      <c r="C33" t="s">
        <v>158</v>
      </c>
      <c r="D33" t="s">
        <v>294</v>
      </c>
      <c r="E33" t="s">
        <v>20</v>
      </c>
      <c r="F33" t="s">
        <v>425</v>
      </c>
      <c r="H33" s="22" t="s">
        <v>415</v>
      </c>
      <c r="I33" t="s">
        <v>158</v>
      </c>
      <c r="J33" t="s">
        <v>294</v>
      </c>
      <c r="K33" t="s">
        <v>20</v>
      </c>
      <c r="L33" t="s">
        <v>425</v>
      </c>
      <c r="N33" s="21" t="s">
        <v>416</v>
      </c>
      <c r="O33" t="s">
        <v>158</v>
      </c>
      <c r="P33" t="s">
        <v>294</v>
      </c>
      <c r="Q33" t="s">
        <v>20</v>
      </c>
      <c r="R33" t="s">
        <v>425</v>
      </c>
      <c r="T33" s="46" t="s">
        <v>426</v>
      </c>
      <c r="U33" s="46"/>
      <c r="V33" s="46"/>
      <c r="W33" s="46"/>
    </row>
    <row r="34" spans="2:24" ht="17.100000000000001">
      <c r="B34" s="4" t="s">
        <v>17</v>
      </c>
      <c r="C34">
        <v>1</v>
      </c>
      <c r="D34">
        <v>0</v>
      </c>
      <c r="E34">
        <v>0</v>
      </c>
      <c r="F34">
        <v>0</v>
      </c>
      <c r="H34" s="4" t="s">
        <v>17</v>
      </c>
      <c r="I34">
        <v>0</v>
      </c>
      <c r="J34">
        <v>0</v>
      </c>
      <c r="K34">
        <v>0</v>
      </c>
      <c r="L34">
        <v>0</v>
      </c>
      <c r="N34" s="4" t="s">
        <v>17</v>
      </c>
      <c r="O34">
        <v>1</v>
      </c>
      <c r="P34">
        <v>0</v>
      </c>
      <c r="Q34">
        <v>0</v>
      </c>
      <c r="R34">
        <v>0</v>
      </c>
      <c r="U34" s="25" t="s">
        <v>427</v>
      </c>
      <c r="V34" s="26" t="s">
        <v>428</v>
      </c>
    </row>
    <row r="35" spans="2:24">
      <c r="B35" s="4" t="s">
        <v>24</v>
      </c>
      <c r="C35">
        <v>0</v>
      </c>
      <c r="D35">
        <v>1</v>
      </c>
      <c r="E35">
        <v>0</v>
      </c>
      <c r="F35">
        <v>0</v>
      </c>
      <c r="H35" s="4" t="s">
        <v>24</v>
      </c>
      <c r="I35">
        <v>0</v>
      </c>
      <c r="J35">
        <v>1</v>
      </c>
      <c r="K35">
        <v>0</v>
      </c>
      <c r="L35">
        <v>0</v>
      </c>
      <c r="N35" s="4" t="s">
        <v>24</v>
      </c>
      <c r="O35">
        <v>0</v>
      </c>
      <c r="P35">
        <v>0</v>
      </c>
      <c r="Q35">
        <v>0</v>
      </c>
      <c r="R35">
        <v>0</v>
      </c>
    </row>
    <row r="36" spans="2:24">
      <c r="B36" t="s">
        <v>27</v>
      </c>
      <c r="C36">
        <v>2</v>
      </c>
      <c r="D36">
        <v>0</v>
      </c>
      <c r="E36">
        <v>0</v>
      </c>
      <c r="F36">
        <v>0</v>
      </c>
      <c r="H36" t="s">
        <v>27</v>
      </c>
      <c r="I36">
        <v>1</v>
      </c>
      <c r="J36">
        <v>0</v>
      </c>
      <c r="K36">
        <v>0</v>
      </c>
      <c r="L36">
        <v>0</v>
      </c>
      <c r="N36" t="s">
        <v>27</v>
      </c>
      <c r="O36">
        <v>1</v>
      </c>
      <c r="P36">
        <v>0</v>
      </c>
      <c r="Q36">
        <v>0</v>
      </c>
      <c r="R36">
        <v>0</v>
      </c>
      <c r="T36" t="s">
        <v>417</v>
      </c>
      <c r="U36" t="s">
        <v>358</v>
      </c>
      <c r="V36" t="s">
        <v>40</v>
      </c>
      <c r="W36" t="s">
        <v>88</v>
      </c>
    </row>
    <row r="37" spans="2:24" ht="15.95">
      <c r="B37" t="s">
        <v>30</v>
      </c>
      <c r="C37">
        <v>1</v>
      </c>
      <c r="D37">
        <v>4</v>
      </c>
      <c r="E37">
        <v>5</v>
      </c>
      <c r="F37">
        <v>2</v>
      </c>
      <c r="H37" t="s">
        <v>30</v>
      </c>
      <c r="I37">
        <v>0</v>
      </c>
      <c r="J37">
        <v>2</v>
      </c>
      <c r="K37">
        <v>4</v>
      </c>
      <c r="L37">
        <v>1</v>
      </c>
      <c r="N37" t="s">
        <v>30</v>
      </c>
      <c r="O37">
        <v>1</v>
      </c>
      <c r="P37">
        <v>2</v>
      </c>
      <c r="Q37">
        <v>1</v>
      </c>
      <c r="R37">
        <v>1</v>
      </c>
      <c r="T37" t="s">
        <v>372</v>
      </c>
      <c r="U37">
        <f>C105</f>
        <v>3.5789120214909342</v>
      </c>
      <c r="V37" s="22">
        <f>I105</f>
        <v>3.8918918918918921</v>
      </c>
      <c r="W37">
        <f>O105</f>
        <v>3.3580419580419587</v>
      </c>
      <c r="X37">
        <f>AVERAGE(U37:W37)</f>
        <v>3.6096152904749288</v>
      </c>
    </row>
    <row r="38" spans="2:24" ht="15.95">
      <c r="B38" t="s">
        <v>32</v>
      </c>
      <c r="C38">
        <v>0</v>
      </c>
      <c r="D38">
        <v>1</v>
      </c>
      <c r="E38">
        <v>0</v>
      </c>
      <c r="F38">
        <v>0</v>
      </c>
      <c r="H38" t="s">
        <v>32</v>
      </c>
      <c r="I38">
        <v>0</v>
      </c>
      <c r="J38">
        <v>1</v>
      </c>
      <c r="K38">
        <v>0</v>
      </c>
      <c r="L38">
        <v>0</v>
      </c>
      <c r="N38" t="s">
        <v>32</v>
      </c>
      <c r="O38">
        <v>0</v>
      </c>
      <c r="P38">
        <v>0</v>
      </c>
      <c r="Q38">
        <v>0</v>
      </c>
      <c r="R38">
        <v>0</v>
      </c>
      <c r="T38" t="s">
        <v>373</v>
      </c>
      <c r="U38">
        <f>D105</f>
        <v>5.761024182076814</v>
      </c>
      <c r="V38" s="22">
        <f>J105</f>
        <v>5.7272727272727275</v>
      </c>
      <c r="W38">
        <f>P105</f>
        <v>5.1428571428571423</v>
      </c>
      <c r="X38">
        <f>AVERAGE(U38:W38)</f>
        <v>5.5437180174022274</v>
      </c>
    </row>
    <row r="39" spans="2:24" ht="15.95">
      <c r="B39" t="s">
        <v>35</v>
      </c>
      <c r="C39">
        <v>0</v>
      </c>
      <c r="D39">
        <v>1</v>
      </c>
      <c r="E39">
        <v>0</v>
      </c>
      <c r="F39">
        <v>0</v>
      </c>
      <c r="H39" t="s">
        <v>35</v>
      </c>
      <c r="I39">
        <v>0</v>
      </c>
      <c r="J39">
        <v>1</v>
      </c>
      <c r="K39">
        <v>0</v>
      </c>
      <c r="L39">
        <v>0</v>
      </c>
      <c r="N39" t="s">
        <v>35</v>
      </c>
      <c r="O39">
        <v>0</v>
      </c>
      <c r="P39">
        <v>0</v>
      </c>
      <c r="R39">
        <v>0</v>
      </c>
      <c r="T39" t="s">
        <v>374</v>
      </c>
      <c r="U39">
        <f>E105</f>
        <v>5.0852250099561926</v>
      </c>
      <c r="V39" s="22">
        <f>K105</f>
        <v>5.8255319148936158</v>
      </c>
      <c r="W39">
        <f>Q105</f>
        <v>4.643086816720257</v>
      </c>
      <c r="X39">
        <f t="shared" ref="X38:X40" si="21">AVERAGE(U39:W39)</f>
        <v>5.1846145805233554</v>
      </c>
    </row>
    <row r="40" spans="2:24" ht="15.95">
      <c r="B40" t="s">
        <v>38</v>
      </c>
      <c r="C40">
        <v>3</v>
      </c>
      <c r="D40">
        <v>2</v>
      </c>
      <c r="E40">
        <v>5</v>
      </c>
      <c r="F40">
        <v>0</v>
      </c>
      <c r="H40" t="s">
        <v>38</v>
      </c>
      <c r="I40">
        <v>0</v>
      </c>
      <c r="J40">
        <v>0</v>
      </c>
      <c r="K40">
        <v>1</v>
      </c>
      <c r="L40">
        <v>0</v>
      </c>
      <c r="N40" t="s">
        <v>38</v>
      </c>
      <c r="O40">
        <v>3</v>
      </c>
      <c r="P40">
        <v>2</v>
      </c>
      <c r="Q40">
        <v>4</v>
      </c>
      <c r="R40">
        <v>0</v>
      </c>
      <c r="T40" t="s">
        <v>429</v>
      </c>
      <c r="U40">
        <f>F105</f>
        <v>3.7632027257240215</v>
      </c>
      <c r="V40">
        <f>L105</f>
        <v>3.1558441558441563</v>
      </c>
      <c r="W40" s="21">
        <f>R105</f>
        <v>4.4444444444444446</v>
      </c>
      <c r="X40">
        <f t="shared" si="21"/>
        <v>3.7878304420042075</v>
      </c>
    </row>
    <row r="41" spans="2:24">
      <c r="B41" t="s">
        <v>42</v>
      </c>
      <c r="C41">
        <v>2</v>
      </c>
      <c r="D41">
        <v>2</v>
      </c>
      <c r="E41">
        <v>2</v>
      </c>
      <c r="F41">
        <v>0</v>
      </c>
      <c r="H41" t="s">
        <v>42</v>
      </c>
      <c r="I41">
        <v>1</v>
      </c>
      <c r="J41">
        <v>1</v>
      </c>
      <c r="K41">
        <v>1</v>
      </c>
      <c r="L41">
        <v>0</v>
      </c>
      <c r="N41" t="s">
        <v>42</v>
      </c>
      <c r="O41">
        <v>1</v>
      </c>
      <c r="P41">
        <v>1</v>
      </c>
      <c r="Q41">
        <v>1</v>
      </c>
      <c r="R41">
        <v>0</v>
      </c>
    </row>
    <row r="42" spans="2:24">
      <c r="B42" t="s">
        <v>47</v>
      </c>
      <c r="C42">
        <v>0</v>
      </c>
      <c r="D42">
        <v>1</v>
      </c>
      <c r="E42">
        <v>0</v>
      </c>
      <c r="F42">
        <v>0</v>
      </c>
      <c r="H42" t="s">
        <v>47</v>
      </c>
      <c r="I42">
        <v>0</v>
      </c>
      <c r="J42">
        <v>1</v>
      </c>
      <c r="K42">
        <v>0</v>
      </c>
      <c r="L42">
        <v>0</v>
      </c>
      <c r="N42" t="s">
        <v>47</v>
      </c>
      <c r="O42">
        <v>0</v>
      </c>
      <c r="P42">
        <v>0</v>
      </c>
      <c r="Q42">
        <v>0</v>
      </c>
      <c r="R42">
        <v>0</v>
      </c>
    </row>
    <row r="43" spans="2:24">
      <c r="B43" t="s">
        <v>53</v>
      </c>
      <c r="C43">
        <v>0</v>
      </c>
      <c r="D43">
        <v>1</v>
      </c>
      <c r="E43">
        <v>0</v>
      </c>
      <c r="F43">
        <v>0</v>
      </c>
      <c r="H43" t="s">
        <v>53</v>
      </c>
      <c r="I43">
        <v>0</v>
      </c>
      <c r="J43">
        <v>0</v>
      </c>
      <c r="K43">
        <v>0</v>
      </c>
      <c r="L43">
        <v>0</v>
      </c>
      <c r="N43" t="s">
        <v>53</v>
      </c>
      <c r="O43">
        <v>0</v>
      </c>
      <c r="P43">
        <v>1</v>
      </c>
      <c r="Q43">
        <v>0</v>
      </c>
      <c r="R43">
        <v>0</v>
      </c>
    </row>
    <row r="44" spans="2:24">
      <c r="B44" t="s">
        <v>57</v>
      </c>
      <c r="C44">
        <v>34</v>
      </c>
      <c r="D44">
        <v>26</v>
      </c>
      <c r="E44">
        <v>40</v>
      </c>
      <c r="F44">
        <v>21</v>
      </c>
      <c r="H44" t="s">
        <v>57</v>
      </c>
      <c r="I44">
        <v>10</v>
      </c>
      <c r="J44">
        <v>10</v>
      </c>
      <c r="K44">
        <v>11</v>
      </c>
      <c r="L44">
        <v>14</v>
      </c>
      <c r="N44" t="s">
        <v>57</v>
      </c>
      <c r="O44">
        <v>24</v>
      </c>
      <c r="P44">
        <v>16</v>
      </c>
      <c r="Q44">
        <v>29</v>
      </c>
      <c r="R44">
        <v>7</v>
      </c>
    </row>
    <row r="45" spans="2:24">
      <c r="B45" t="s">
        <v>50</v>
      </c>
      <c r="C45">
        <v>0</v>
      </c>
      <c r="D45">
        <v>0</v>
      </c>
      <c r="E45">
        <v>0</v>
      </c>
      <c r="F45">
        <v>1</v>
      </c>
      <c r="H45" t="s">
        <v>50</v>
      </c>
      <c r="I45">
        <v>0</v>
      </c>
      <c r="J45">
        <v>0</v>
      </c>
      <c r="L45">
        <v>1</v>
      </c>
      <c r="N45" t="s">
        <v>50</v>
      </c>
      <c r="O45">
        <v>0</v>
      </c>
      <c r="P45">
        <v>0</v>
      </c>
      <c r="Q45">
        <v>0</v>
      </c>
      <c r="R45">
        <v>0</v>
      </c>
    </row>
    <row r="46" spans="2:24">
      <c r="B46" t="s">
        <v>60</v>
      </c>
      <c r="C46">
        <v>0</v>
      </c>
      <c r="D46">
        <v>0</v>
      </c>
      <c r="E46">
        <v>1</v>
      </c>
      <c r="F46">
        <v>0</v>
      </c>
      <c r="H46" t="s">
        <v>60</v>
      </c>
      <c r="I46">
        <v>0</v>
      </c>
      <c r="J46">
        <v>0</v>
      </c>
      <c r="K46">
        <v>0</v>
      </c>
      <c r="L46">
        <v>0</v>
      </c>
      <c r="N46" t="s">
        <v>60</v>
      </c>
      <c r="O46">
        <v>0</v>
      </c>
      <c r="P46">
        <v>0</v>
      </c>
      <c r="Q46">
        <v>1</v>
      </c>
      <c r="R46">
        <v>0</v>
      </c>
    </row>
    <row r="47" spans="2:24">
      <c r="B47" t="s">
        <v>62</v>
      </c>
      <c r="C47">
        <v>4</v>
      </c>
      <c r="D47">
        <v>14</v>
      </c>
      <c r="E47">
        <v>10</v>
      </c>
      <c r="F47">
        <v>9</v>
      </c>
      <c r="H47" t="s">
        <v>62</v>
      </c>
      <c r="I47">
        <v>1</v>
      </c>
      <c r="J47">
        <v>5</v>
      </c>
      <c r="K47">
        <v>4</v>
      </c>
      <c r="L47">
        <v>4</v>
      </c>
      <c r="N47" t="s">
        <v>62</v>
      </c>
      <c r="O47">
        <v>3</v>
      </c>
      <c r="P47">
        <v>9</v>
      </c>
      <c r="Q47">
        <v>6</v>
      </c>
      <c r="R47">
        <v>5</v>
      </c>
    </row>
    <row r="48" spans="2:24">
      <c r="B48" t="s">
        <v>68</v>
      </c>
      <c r="C48">
        <v>1</v>
      </c>
      <c r="D48">
        <v>1</v>
      </c>
      <c r="E48">
        <v>3</v>
      </c>
      <c r="F48">
        <v>0</v>
      </c>
      <c r="H48" t="s">
        <v>68</v>
      </c>
      <c r="I48">
        <v>0</v>
      </c>
      <c r="J48">
        <v>1</v>
      </c>
      <c r="K48">
        <v>1</v>
      </c>
      <c r="L48">
        <v>0</v>
      </c>
      <c r="N48" t="s">
        <v>68</v>
      </c>
      <c r="O48">
        <v>1</v>
      </c>
      <c r="P48">
        <v>0</v>
      </c>
      <c r="Q48">
        <v>2</v>
      </c>
      <c r="R48">
        <v>0</v>
      </c>
    </row>
    <row r="49" spans="2:18">
      <c r="B49" t="s">
        <v>65</v>
      </c>
      <c r="C49">
        <v>0</v>
      </c>
      <c r="D49">
        <v>0</v>
      </c>
      <c r="E49">
        <v>1</v>
      </c>
      <c r="F49">
        <v>0</v>
      </c>
      <c r="H49" t="s">
        <v>65</v>
      </c>
      <c r="I49">
        <v>0</v>
      </c>
      <c r="J49">
        <v>0</v>
      </c>
      <c r="K49">
        <v>0</v>
      </c>
      <c r="L49">
        <v>0</v>
      </c>
      <c r="N49" t="s">
        <v>65</v>
      </c>
      <c r="O49">
        <v>0</v>
      </c>
      <c r="P49">
        <v>0</v>
      </c>
      <c r="Q49">
        <v>1</v>
      </c>
      <c r="R49">
        <v>0</v>
      </c>
    </row>
    <row r="50" spans="2:18">
      <c r="B50" t="s">
        <v>70</v>
      </c>
      <c r="C50">
        <v>1</v>
      </c>
      <c r="D50">
        <v>0</v>
      </c>
      <c r="E50">
        <v>1</v>
      </c>
      <c r="F50">
        <v>1</v>
      </c>
      <c r="H50" t="s">
        <v>70</v>
      </c>
      <c r="I50">
        <v>1</v>
      </c>
      <c r="J50">
        <v>0</v>
      </c>
      <c r="K50">
        <v>0</v>
      </c>
      <c r="L50">
        <v>0</v>
      </c>
      <c r="N50" t="s">
        <v>70</v>
      </c>
      <c r="O50">
        <v>0</v>
      </c>
      <c r="P50">
        <v>0</v>
      </c>
      <c r="Q50">
        <v>1</v>
      </c>
      <c r="R50">
        <v>1</v>
      </c>
    </row>
    <row r="51" spans="2:18">
      <c r="B51" t="s">
        <v>75</v>
      </c>
      <c r="C51">
        <v>0</v>
      </c>
      <c r="D51">
        <v>0</v>
      </c>
      <c r="E51">
        <v>1</v>
      </c>
      <c r="F51">
        <v>0</v>
      </c>
      <c r="H51" t="s">
        <v>75</v>
      </c>
      <c r="I51">
        <v>0</v>
      </c>
      <c r="J51">
        <v>0</v>
      </c>
      <c r="K51">
        <v>1</v>
      </c>
      <c r="L51">
        <v>0</v>
      </c>
      <c r="N51" t="s">
        <v>75</v>
      </c>
      <c r="O51">
        <v>0</v>
      </c>
      <c r="P51">
        <v>0</v>
      </c>
      <c r="Q51">
        <v>0</v>
      </c>
      <c r="R51">
        <v>0</v>
      </c>
    </row>
    <row r="52" spans="2:18">
      <c r="B52" t="s">
        <v>73</v>
      </c>
      <c r="C52">
        <v>2</v>
      </c>
      <c r="D52">
        <v>6</v>
      </c>
      <c r="E52">
        <v>8</v>
      </c>
      <c r="F52">
        <v>5</v>
      </c>
      <c r="H52" t="s">
        <v>73</v>
      </c>
      <c r="I52">
        <v>2</v>
      </c>
      <c r="J52">
        <v>2</v>
      </c>
      <c r="K52">
        <v>2</v>
      </c>
      <c r="L52">
        <v>2</v>
      </c>
      <c r="N52" t="s">
        <v>73</v>
      </c>
      <c r="O52">
        <v>0</v>
      </c>
      <c r="P52">
        <v>4</v>
      </c>
      <c r="Q52">
        <v>6</v>
      </c>
      <c r="R52">
        <v>3</v>
      </c>
    </row>
    <row r="53" spans="2:18">
      <c r="B53" t="s">
        <v>78</v>
      </c>
      <c r="C53">
        <v>6</v>
      </c>
      <c r="D53">
        <v>12</v>
      </c>
      <c r="E53">
        <v>14</v>
      </c>
      <c r="F53">
        <v>5</v>
      </c>
      <c r="H53" t="s">
        <v>78</v>
      </c>
      <c r="I53">
        <v>2</v>
      </c>
      <c r="J53">
        <v>5</v>
      </c>
      <c r="K53">
        <v>5</v>
      </c>
      <c r="L53">
        <v>3</v>
      </c>
      <c r="N53" t="s">
        <v>78</v>
      </c>
      <c r="O53">
        <v>4</v>
      </c>
      <c r="P53">
        <v>7</v>
      </c>
      <c r="Q53">
        <v>9</v>
      </c>
      <c r="R53">
        <v>2</v>
      </c>
    </row>
    <row r="54" spans="2:18">
      <c r="B54" t="s">
        <v>80</v>
      </c>
      <c r="C54">
        <v>16</v>
      </c>
      <c r="D54">
        <v>18</v>
      </c>
      <c r="E54">
        <v>22</v>
      </c>
      <c r="F54">
        <v>3</v>
      </c>
      <c r="H54" t="s">
        <v>80</v>
      </c>
      <c r="I54">
        <v>6</v>
      </c>
      <c r="J54">
        <v>12</v>
      </c>
      <c r="K54">
        <v>7</v>
      </c>
      <c r="L54">
        <v>2</v>
      </c>
      <c r="N54" t="s">
        <v>80</v>
      </c>
      <c r="O54">
        <v>10</v>
      </c>
      <c r="P54">
        <v>6</v>
      </c>
      <c r="Q54">
        <v>15</v>
      </c>
      <c r="R54">
        <v>1</v>
      </c>
    </row>
    <row r="55" spans="2:18">
      <c r="B55" t="s">
        <v>357</v>
      </c>
      <c r="C55">
        <f>SUM(C34:C54)</f>
        <v>73</v>
      </c>
      <c r="D55">
        <f>SUM(D34:D54)</f>
        <v>90</v>
      </c>
      <c r="E55">
        <f>SUM(E34:E54)</f>
        <v>113</v>
      </c>
      <c r="F55">
        <f>SUM(F34:F54)</f>
        <v>47</v>
      </c>
      <c r="H55" t="s">
        <v>357</v>
      </c>
      <c r="I55">
        <f>SUM(I34:I54)</f>
        <v>24</v>
      </c>
      <c r="J55">
        <f>SUM(J34:J54)</f>
        <v>42</v>
      </c>
      <c r="K55">
        <f>SUM(K34:K54)</f>
        <v>37</v>
      </c>
      <c r="L55">
        <f>SUM(L34:L54)</f>
        <v>27</v>
      </c>
      <c r="N55" t="s">
        <v>357</v>
      </c>
      <c r="O55">
        <f>SUM(O34:O54)</f>
        <v>49</v>
      </c>
      <c r="P55">
        <f>SUM(P34:P54)</f>
        <v>48</v>
      </c>
      <c r="Q55">
        <f>SUM(Q34:Q54)</f>
        <v>76</v>
      </c>
      <c r="R55">
        <f>SUM(R34:R54)</f>
        <v>20</v>
      </c>
    </row>
    <row r="57" spans="2:18">
      <c r="B57" t="s">
        <v>430</v>
      </c>
      <c r="H57" t="s">
        <v>430</v>
      </c>
      <c r="N57" t="s">
        <v>430</v>
      </c>
    </row>
    <row r="58" spans="2:18">
      <c r="B58" s="4" t="s">
        <v>17</v>
      </c>
      <c r="C58">
        <f>C34/C55</f>
        <v>1.3698630136986301E-2</v>
      </c>
      <c r="D58">
        <f>D34/D55</f>
        <v>0</v>
      </c>
      <c r="E58">
        <f>E34/E55</f>
        <v>0</v>
      </c>
      <c r="F58">
        <f>F34/F55</f>
        <v>0</v>
      </c>
      <c r="H58" s="4" t="s">
        <v>17</v>
      </c>
      <c r="I58">
        <f>I34/I55</f>
        <v>0</v>
      </c>
      <c r="J58">
        <f>J34/J55</f>
        <v>0</v>
      </c>
      <c r="K58">
        <f>K34/K55</f>
        <v>0</v>
      </c>
      <c r="L58">
        <f>L34/L55</f>
        <v>0</v>
      </c>
      <c r="N58" s="4" t="s">
        <v>17</v>
      </c>
      <c r="O58">
        <f>O34/O55</f>
        <v>2.0408163265306121E-2</v>
      </c>
      <c r="P58">
        <f>P34/P55</f>
        <v>0</v>
      </c>
      <c r="Q58">
        <f>Q34/Q55</f>
        <v>0</v>
      </c>
      <c r="R58">
        <f>R34/R55</f>
        <v>0</v>
      </c>
    </row>
    <row r="59" spans="2:18">
      <c r="B59" s="4" t="s">
        <v>24</v>
      </c>
      <c r="C59">
        <f>C35/C55</f>
        <v>0</v>
      </c>
      <c r="D59">
        <f>D35/D55</f>
        <v>1.1111111111111112E-2</v>
      </c>
      <c r="E59">
        <f>E35/E55</f>
        <v>0</v>
      </c>
      <c r="F59">
        <f>F35/F55</f>
        <v>0</v>
      </c>
      <c r="H59" s="4" t="s">
        <v>24</v>
      </c>
      <c r="I59">
        <f>I35/I55</f>
        <v>0</v>
      </c>
      <c r="J59">
        <f>J35/J55</f>
        <v>2.3809523809523808E-2</v>
      </c>
      <c r="K59">
        <f>K35/K55</f>
        <v>0</v>
      </c>
      <c r="L59">
        <f>L35/L55</f>
        <v>0</v>
      </c>
      <c r="N59" s="4" t="s">
        <v>24</v>
      </c>
      <c r="O59">
        <f>O35/O55</f>
        <v>0</v>
      </c>
      <c r="P59">
        <f>P35/P55</f>
        <v>0</v>
      </c>
      <c r="Q59">
        <f>Q35/Q55</f>
        <v>0</v>
      </c>
      <c r="R59">
        <f>R35/R55</f>
        <v>0</v>
      </c>
    </row>
    <row r="60" spans="2:18">
      <c r="B60" t="s">
        <v>27</v>
      </c>
      <c r="C60">
        <f>C36/C55</f>
        <v>2.7397260273972601E-2</v>
      </c>
      <c r="D60">
        <f>D36/D55</f>
        <v>0</v>
      </c>
      <c r="E60">
        <f>E36/E55</f>
        <v>0</v>
      </c>
      <c r="F60">
        <f>F36/F55</f>
        <v>0</v>
      </c>
      <c r="H60" t="s">
        <v>27</v>
      </c>
      <c r="I60">
        <f>I36/I55</f>
        <v>4.1666666666666664E-2</v>
      </c>
      <c r="J60">
        <f>J36/J55</f>
        <v>0</v>
      </c>
      <c r="K60">
        <f>K36/K55</f>
        <v>0</v>
      </c>
      <c r="L60">
        <f>L36/L55</f>
        <v>0</v>
      </c>
      <c r="N60" t="s">
        <v>27</v>
      </c>
      <c r="O60">
        <f>O36/O55</f>
        <v>2.0408163265306121E-2</v>
      </c>
      <c r="P60">
        <f>P36/P55</f>
        <v>0</v>
      </c>
      <c r="Q60">
        <f>Q36/Q55</f>
        <v>0</v>
      </c>
      <c r="R60">
        <f>R36/R55</f>
        <v>0</v>
      </c>
    </row>
    <row r="61" spans="2:18">
      <c r="B61" t="s">
        <v>30</v>
      </c>
      <c r="C61">
        <f>C37/C55</f>
        <v>1.3698630136986301E-2</v>
      </c>
      <c r="D61">
        <f>D37/D55</f>
        <v>4.4444444444444446E-2</v>
      </c>
      <c r="E61">
        <f>E37/E55</f>
        <v>4.4247787610619468E-2</v>
      </c>
      <c r="F61">
        <f>F37/F55</f>
        <v>4.2553191489361701E-2</v>
      </c>
      <c r="H61" t="s">
        <v>30</v>
      </c>
      <c r="I61">
        <f>I37/I55</f>
        <v>0</v>
      </c>
      <c r="J61">
        <f>J37/J55</f>
        <v>4.7619047619047616E-2</v>
      </c>
      <c r="K61">
        <f>K37/K55</f>
        <v>0.10810810810810811</v>
      </c>
      <c r="L61">
        <f>L37/L55</f>
        <v>3.7037037037037035E-2</v>
      </c>
      <c r="N61" t="s">
        <v>30</v>
      </c>
      <c r="O61">
        <f>O37/O55</f>
        <v>2.0408163265306121E-2</v>
      </c>
      <c r="P61">
        <f>P37/P55</f>
        <v>4.1666666666666664E-2</v>
      </c>
      <c r="Q61">
        <f>Q37/Q55</f>
        <v>1.3157894736842105E-2</v>
      </c>
      <c r="R61">
        <f>R37/R55</f>
        <v>0.05</v>
      </c>
    </row>
    <row r="62" spans="2:18">
      <c r="B62" t="s">
        <v>32</v>
      </c>
      <c r="C62">
        <f>C38/C55</f>
        <v>0</v>
      </c>
      <c r="D62">
        <f>D38/D55</f>
        <v>1.1111111111111112E-2</v>
      </c>
      <c r="E62">
        <f>E38/E55</f>
        <v>0</v>
      </c>
      <c r="F62">
        <f>F38/F55</f>
        <v>0</v>
      </c>
      <c r="H62" t="s">
        <v>32</v>
      </c>
      <c r="I62">
        <f>I38/I55</f>
        <v>0</v>
      </c>
      <c r="J62">
        <f>J38/J55</f>
        <v>2.3809523809523808E-2</v>
      </c>
      <c r="K62">
        <f>K38/K55</f>
        <v>0</v>
      </c>
      <c r="L62">
        <f>L38/L55</f>
        <v>0</v>
      </c>
      <c r="N62" t="s">
        <v>32</v>
      </c>
      <c r="O62">
        <f>O38/O55</f>
        <v>0</v>
      </c>
      <c r="P62">
        <f>P38/P55</f>
        <v>0</v>
      </c>
      <c r="Q62">
        <f>Q38/Q55</f>
        <v>0</v>
      </c>
      <c r="R62">
        <f>R38/R55</f>
        <v>0</v>
      </c>
    </row>
    <row r="63" spans="2:18">
      <c r="B63" t="s">
        <v>35</v>
      </c>
      <c r="C63">
        <f>C39/C55</f>
        <v>0</v>
      </c>
      <c r="D63">
        <f>D39/D55</f>
        <v>1.1111111111111112E-2</v>
      </c>
      <c r="E63">
        <f>E39/E55</f>
        <v>0</v>
      </c>
      <c r="F63">
        <f>F39/F55</f>
        <v>0</v>
      </c>
      <c r="H63" t="s">
        <v>35</v>
      </c>
      <c r="I63">
        <f>I39/I55</f>
        <v>0</v>
      </c>
      <c r="J63">
        <f>J39/J55</f>
        <v>2.3809523809523808E-2</v>
      </c>
      <c r="K63">
        <f>K39/K55</f>
        <v>0</v>
      </c>
      <c r="L63">
        <f>L39/L55</f>
        <v>0</v>
      </c>
      <c r="N63" t="s">
        <v>35</v>
      </c>
      <c r="O63">
        <f>O39/O55</f>
        <v>0</v>
      </c>
      <c r="P63">
        <f>P39/P55</f>
        <v>0</v>
      </c>
      <c r="Q63">
        <f>Q39/Q55</f>
        <v>0</v>
      </c>
      <c r="R63">
        <f>R39/R55</f>
        <v>0</v>
      </c>
    </row>
    <row r="64" spans="2:18">
      <c r="B64" t="s">
        <v>38</v>
      </c>
      <c r="C64">
        <f>C40/C55</f>
        <v>4.1095890410958902E-2</v>
      </c>
      <c r="D64">
        <f>D40/D55</f>
        <v>2.2222222222222223E-2</v>
      </c>
      <c r="E64">
        <f>E40/E55</f>
        <v>4.4247787610619468E-2</v>
      </c>
      <c r="F64">
        <f>F40/F55</f>
        <v>0</v>
      </c>
      <c r="H64" t="s">
        <v>38</v>
      </c>
      <c r="I64">
        <f>I40/I55</f>
        <v>0</v>
      </c>
      <c r="J64">
        <f>J40/J55</f>
        <v>0</v>
      </c>
      <c r="K64">
        <f>K40/K55</f>
        <v>2.7027027027027029E-2</v>
      </c>
      <c r="L64">
        <f>L40/L55</f>
        <v>0</v>
      </c>
      <c r="N64" t="s">
        <v>38</v>
      </c>
      <c r="O64">
        <f>O40/O55</f>
        <v>6.1224489795918366E-2</v>
      </c>
      <c r="P64">
        <f>P40/P55</f>
        <v>4.1666666666666664E-2</v>
      </c>
      <c r="Q64">
        <f>Q40/Q55</f>
        <v>5.2631578947368418E-2</v>
      </c>
      <c r="R64">
        <f>R40/R55</f>
        <v>0</v>
      </c>
    </row>
    <row r="65" spans="2:18">
      <c r="B65" t="s">
        <v>42</v>
      </c>
      <c r="C65">
        <f>C41/C55</f>
        <v>2.7397260273972601E-2</v>
      </c>
      <c r="D65">
        <f>D41/D55</f>
        <v>2.2222222222222223E-2</v>
      </c>
      <c r="E65">
        <f>E41/E55</f>
        <v>1.7699115044247787E-2</v>
      </c>
      <c r="F65">
        <f>F41/F55</f>
        <v>0</v>
      </c>
      <c r="H65" t="s">
        <v>42</v>
      </c>
      <c r="I65">
        <f>I41/I55</f>
        <v>4.1666666666666664E-2</v>
      </c>
      <c r="J65">
        <f>J41/J55</f>
        <v>2.3809523809523808E-2</v>
      </c>
      <c r="K65">
        <f>K41/K55</f>
        <v>2.7027027027027029E-2</v>
      </c>
      <c r="L65">
        <f>L41/L55</f>
        <v>0</v>
      </c>
      <c r="N65" t="s">
        <v>42</v>
      </c>
      <c r="O65">
        <f>O41/O55</f>
        <v>2.0408163265306121E-2</v>
      </c>
      <c r="P65">
        <f>P41/P55</f>
        <v>2.0833333333333332E-2</v>
      </c>
      <c r="Q65">
        <f>Q41/Q55</f>
        <v>1.3157894736842105E-2</v>
      </c>
      <c r="R65">
        <f>R41/R55</f>
        <v>0</v>
      </c>
    </row>
    <row r="66" spans="2:18">
      <c r="B66" t="s">
        <v>47</v>
      </c>
      <c r="C66">
        <f>C42/C55</f>
        <v>0</v>
      </c>
      <c r="D66">
        <f>D42/D55</f>
        <v>1.1111111111111112E-2</v>
      </c>
      <c r="E66">
        <f>E42/E55</f>
        <v>0</v>
      </c>
      <c r="F66">
        <f>F42/F55</f>
        <v>0</v>
      </c>
      <c r="H66" t="s">
        <v>47</v>
      </c>
      <c r="I66">
        <f>I42/I55</f>
        <v>0</v>
      </c>
      <c r="J66">
        <f>J42/J55</f>
        <v>2.3809523809523808E-2</v>
      </c>
      <c r="K66">
        <f>K42/K55</f>
        <v>0</v>
      </c>
      <c r="L66">
        <f>L42/L55</f>
        <v>0</v>
      </c>
      <c r="N66" t="s">
        <v>47</v>
      </c>
      <c r="O66">
        <f>O42/O55</f>
        <v>0</v>
      </c>
      <c r="P66">
        <f>P42/P55</f>
        <v>0</v>
      </c>
      <c r="Q66">
        <f>Q42/Q55</f>
        <v>0</v>
      </c>
      <c r="R66">
        <f>R42/R55</f>
        <v>0</v>
      </c>
    </row>
    <row r="67" spans="2:18">
      <c r="B67" t="s">
        <v>53</v>
      </c>
      <c r="C67">
        <f>C43/C55</f>
        <v>0</v>
      </c>
      <c r="D67">
        <f>D43/D55</f>
        <v>1.1111111111111112E-2</v>
      </c>
      <c r="E67">
        <f>E43/E55</f>
        <v>0</v>
      </c>
      <c r="F67">
        <f>F43/F55</f>
        <v>0</v>
      </c>
      <c r="H67" t="s">
        <v>53</v>
      </c>
      <c r="I67">
        <f>I43/I55</f>
        <v>0</v>
      </c>
      <c r="J67">
        <f>J43/J55</f>
        <v>0</v>
      </c>
      <c r="K67">
        <f>K43/K55</f>
        <v>0</v>
      </c>
      <c r="L67">
        <f>L43/L55</f>
        <v>0</v>
      </c>
      <c r="N67" t="s">
        <v>53</v>
      </c>
      <c r="O67">
        <f>O43/O55</f>
        <v>0</v>
      </c>
      <c r="P67">
        <f>P43/P55</f>
        <v>2.0833333333333332E-2</v>
      </c>
      <c r="Q67">
        <f>Q43/Q55</f>
        <v>0</v>
      </c>
      <c r="R67">
        <f>R43/R55</f>
        <v>0</v>
      </c>
    </row>
    <row r="68" spans="2:18">
      <c r="B68" t="s">
        <v>57</v>
      </c>
      <c r="C68">
        <f>C44/C55</f>
        <v>0.46575342465753422</v>
      </c>
      <c r="D68">
        <f>D44/D55</f>
        <v>0.28888888888888886</v>
      </c>
      <c r="E68">
        <f>E44/E55</f>
        <v>0.35398230088495575</v>
      </c>
      <c r="F68">
        <f>F44/F55</f>
        <v>0.44680851063829785</v>
      </c>
      <c r="H68" t="s">
        <v>57</v>
      </c>
      <c r="I68">
        <f>I44/I55</f>
        <v>0.41666666666666669</v>
      </c>
      <c r="J68">
        <f>J44/J55</f>
        <v>0.23809523809523808</v>
      </c>
      <c r="K68">
        <f>K44/K55</f>
        <v>0.29729729729729731</v>
      </c>
      <c r="L68">
        <f>L44/L55</f>
        <v>0.51851851851851849</v>
      </c>
      <c r="N68" t="s">
        <v>57</v>
      </c>
      <c r="O68">
        <f>O44/O55</f>
        <v>0.48979591836734693</v>
      </c>
      <c r="P68">
        <f>P44/P55</f>
        <v>0.33333333333333331</v>
      </c>
      <c r="Q68">
        <f>Q44/Q55</f>
        <v>0.38157894736842107</v>
      </c>
      <c r="R68">
        <f>R44/R55</f>
        <v>0.35</v>
      </c>
    </row>
    <row r="69" spans="2:18">
      <c r="B69" t="s">
        <v>50</v>
      </c>
      <c r="C69">
        <f>C45/C55</f>
        <v>0</v>
      </c>
      <c r="D69">
        <f>D45/D55</f>
        <v>0</v>
      </c>
      <c r="E69">
        <f>E45/E55</f>
        <v>0</v>
      </c>
      <c r="F69">
        <f>F45/F55</f>
        <v>2.1276595744680851E-2</v>
      </c>
      <c r="H69" t="s">
        <v>50</v>
      </c>
      <c r="I69">
        <f>I45/I55</f>
        <v>0</v>
      </c>
      <c r="J69">
        <f>J45/J55</f>
        <v>0</v>
      </c>
      <c r="K69">
        <f>K45/K55</f>
        <v>0</v>
      </c>
      <c r="L69">
        <f>L45/L55</f>
        <v>3.7037037037037035E-2</v>
      </c>
      <c r="N69" t="s">
        <v>50</v>
      </c>
      <c r="O69">
        <f>O45/O55</f>
        <v>0</v>
      </c>
      <c r="P69">
        <f>P45/P55</f>
        <v>0</v>
      </c>
      <c r="Q69">
        <f>Q45/Q55</f>
        <v>0</v>
      </c>
      <c r="R69">
        <f>R45/R55</f>
        <v>0</v>
      </c>
    </row>
    <row r="70" spans="2:18">
      <c r="B70" t="s">
        <v>60</v>
      </c>
      <c r="C70">
        <f>C46/C55</f>
        <v>0</v>
      </c>
      <c r="D70">
        <f>D46/D55</f>
        <v>0</v>
      </c>
      <c r="E70">
        <f>E46/E55</f>
        <v>8.8495575221238937E-3</v>
      </c>
      <c r="F70">
        <f>F46/F55</f>
        <v>0</v>
      </c>
      <c r="H70" t="s">
        <v>60</v>
      </c>
      <c r="I70">
        <f>I46/I55</f>
        <v>0</v>
      </c>
      <c r="J70">
        <f>J46/J55</f>
        <v>0</v>
      </c>
      <c r="K70">
        <f>K46/K55</f>
        <v>0</v>
      </c>
      <c r="L70">
        <f>L46/L55</f>
        <v>0</v>
      </c>
      <c r="N70" t="s">
        <v>60</v>
      </c>
      <c r="O70">
        <f>O46/O55</f>
        <v>0</v>
      </c>
      <c r="P70">
        <f>P46/P55</f>
        <v>0</v>
      </c>
      <c r="Q70">
        <f>Q46/Q55</f>
        <v>1.3157894736842105E-2</v>
      </c>
      <c r="R70">
        <f>R46/R55</f>
        <v>0</v>
      </c>
    </row>
    <row r="71" spans="2:18">
      <c r="B71" t="s">
        <v>62</v>
      </c>
      <c r="C71">
        <f>C47/C55</f>
        <v>5.4794520547945202E-2</v>
      </c>
      <c r="D71">
        <f>D47/D55</f>
        <v>0.15555555555555556</v>
      </c>
      <c r="E71">
        <f>E47/E55</f>
        <v>8.8495575221238937E-2</v>
      </c>
      <c r="F71">
        <f>F47/F55</f>
        <v>0.19148936170212766</v>
      </c>
      <c r="H71" t="s">
        <v>62</v>
      </c>
      <c r="I71">
        <f>I47/I55</f>
        <v>4.1666666666666664E-2</v>
      </c>
      <c r="J71">
        <f>J47/J55</f>
        <v>0.11904761904761904</v>
      </c>
      <c r="K71">
        <f>K47/K55</f>
        <v>0.10810810810810811</v>
      </c>
      <c r="L71">
        <f>L47/L55</f>
        <v>0.14814814814814814</v>
      </c>
      <c r="N71" t="s">
        <v>62</v>
      </c>
      <c r="O71">
        <f>O47/O55</f>
        <v>6.1224489795918366E-2</v>
      </c>
      <c r="P71">
        <f>P47/P55</f>
        <v>0.1875</v>
      </c>
      <c r="Q71">
        <f>Q47/Q55</f>
        <v>7.8947368421052627E-2</v>
      </c>
      <c r="R71">
        <f>R47/R55</f>
        <v>0.25</v>
      </c>
    </row>
    <row r="72" spans="2:18">
      <c r="B72" t="s">
        <v>68</v>
      </c>
      <c r="C72">
        <f>C48/C55</f>
        <v>1.3698630136986301E-2</v>
      </c>
      <c r="D72">
        <f>D48/D55</f>
        <v>1.1111111111111112E-2</v>
      </c>
      <c r="E72">
        <f>E48/E55</f>
        <v>2.6548672566371681E-2</v>
      </c>
      <c r="F72">
        <f>F48/F55</f>
        <v>0</v>
      </c>
      <c r="H72" t="s">
        <v>68</v>
      </c>
      <c r="I72">
        <f>I48/I55</f>
        <v>0</v>
      </c>
      <c r="J72">
        <f>J48/J55</f>
        <v>2.3809523809523808E-2</v>
      </c>
      <c r="K72">
        <f>K48/K55</f>
        <v>2.7027027027027029E-2</v>
      </c>
      <c r="L72">
        <f>L48/L55</f>
        <v>0</v>
      </c>
      <c r="N72" t="s">
        <v>68</v>
      </c>
      <c r="O72">
        <f>O48/O55</f>
        <v>2.0408163265306121E-2</v>
      </c>
      <c r="P72">
        <f>P48/P55</f>
        <v>0</v>
      </c>
      <c r="Q72">
        <f>Q48/Q55</f>
        <v>2.6315789473684209E-2</v>
      </c>
      <c r="R72">
        <f>R48/R55</f>
        <v>0</v>
      </c>
    </row>
    <row r="73" spans="2:18">
      <c r="B73" t="s">
        <v>65</v>
      </c>
      <c r="C73">
        <f>C49/C55</f>
        <v>0</v>
      </c>
      <c r="D73">
        <f>D49/D55</f>
        <v>0</v>
      </c>
      <c r="E73">
        <f>E49/E55</f>
        <v>8.8495575221238937E-3</v>
      </c>
      <c r="F73">
        <f>F49/F55</f>
        <v>0</v>
      </c>
      <c r="H73" t="s">
        <v>65</v>
      </c>
      <c r="I73">
        <f>I49/I55</f>
        <v>0</v>
      </c>
      <c r="J73">
        <f>J49/J55</f>
        <v>0</v>
      </c>
      <c r="K73">
        <f>K49/K55</f>
        <v>0</v>
      </c>
      <c r="L73">
        <f>L49/L55</f>
        <v>0</v>
      </c>
      <c r="N73" t="s">
        <v>65</v>
      </c>
      <c r="O73">
        <f>O49/O55</f>
        <v>0</v>
      </c>
      <c r="P73">
        <f>P49/P55</f>
        <v>0</v>
      </c>
      <c r="Q73">
        <f>Q49/Q55</f>
        <v>1.3157894736842105E-2</v>
      </c>
      <c r="R73">
        <f>R49/R55</f>
        <v>0</v>
      </c>
    </row>
    <row r="74" spans="2:18">
      <c r="B74" t="s">
        <v>70</v>
      </c>
      <c r="C74">
        <f>C50/C55</f>
        <v>1.3698630136986301E-2</v>
      </c>
      <c r="D74">
        <f>D50/D66</f>
        <v>0</v>
      </c>
      <c r="E74">
        <f>E50/E55</f>
        <v>8.8495575221238937E-3</v>
      </c>
      <c r="F74">
        <f>F50/F55</f>
        <v>2.1276595744680851E-2</v>
      </c>
      <c r="H74" t="s">
        <v>70</v>
      </c>
      <c r="I74">
        <f>I50/I55</f>
        <v>4.1666666666666664E-2</v>
      </c>
      <c r="J74">
        <f>J50/J55</f>
        <v>0</v>
      </c>
      <c r="K74">
        <f>K50/K55</f>
        <v>0</v>
      </c>
      <c r="L74">
        <f>L50/L55</f>
        <v>0</v>
      </c>
      <c r="N74" t="s">
        <v>70</v>
      </c>
      <c r="O74">
        <f>O50/O55</f>
        <v>0</v>
      </c>
      <c r="P74">
        <f>P50/P55</f>
        <v>0</v>
      </c>
      <c r="Q74">
        <f>Q50/Q55</f>
        <v>1.3157894736842105E-2</v>
      </c>
      <c r="R74">
        <f>R50/R55</f>
        <v>0.05</v>
      </c>
    </row>
    <row r="75" spans="2:18">
      <c r="B75" t="s">
        <v>75</v>
      </c>
      <c r="C75">
        <f>C51/C55</f>
        <v>0</v>
      </c>
      <c r="D75">
        <f>D51/D55</f>
        <v>0</v>
      </c>
      <c r="E75">
        <f>E51/E55</f>
        <v>8.8495575221238937E-3</v>
      </c>
      <c r="F75">
        <f>F51/F55</f>
        <v>0</v>
      </c>
      <c r="H75" t="s">
        <v>75</v>
      </c>
      <c r="I75">
        <f>I51/I55</f>
        <v>0</v>
      </c>
      <c r="J75">
        <f>J51/J55</f>
        <v>0</v>
      </c>
      <c r="K75">
        <f>K51/K55</f>
        <v>2.7027027027027029E-2</v>
      </c>
      <c r="L75">
        <f>L51/L55</f>
        <v>0</v>
      </c>
      <c r="N75" t="s">
        <v>75</v>
      </c>
      <c r="O75">
        <f>O51/O55</f>
        <v>0</v>
      </c>
      <c r="P75">
        <f>P51/P55</f>
        <v>0</v>
      </c>
      <c r="Q75">
        <f>Q51/Q55</f>
        <v>0</v>
      </c>
      <c r="R75">
        <f>R51/R55</f>
        <v>0</v>
      </c>
    </row>
    <row r="76" spans="2:18">
      <c r="B76" t="s">
        <v>73</v>
      </c>
      <c r="C76">
        <f>C52/C55</f>
        <v>2.7397260273972601E-2</v>
      </c>
      <c r="D76">
        <f>D52/D55</f>
        <v>6.6666666666666666E-2</v>
      </c>
      <c r="E76">
        <f>E52/E55</f>
        <v>7.0796460176991149E-2</v>
      </c>
      <c r="F76">
        <f>F52/F55</f>
        <v>0.10638297872340426</v>
      </c>
      <c r="H76" t="s">
        <v>73</v>
      </c>
      <c r="I76">
        <f>I52/I55</f>
        <v>8.3333333333333329E-2</v>
      </c>
      <c r="J76">
        <f>J52/J55</f>
        <v>4.7619047619047616E-2</v>
      </c>
      <c r="K76">
        <f>K52/K55</f>
        <v>5.4054054054054057E-2</v>
      </c>
      <c r="L76">
        <f>L52/L55</f>
        <v>7.407407407407407E-2</v>
      </c>
      <c r="N76" t="s">
        <v>73</v>
      </c>
      <c r="O76">
        <f>O52/O55</f>
        <v>0</v>
      </c>
      <c r="P76">
        <f>P52/P55</f>
        <v>8.3333333333333329E-2</v>
      </c>
      <c r="Q76">
        <f>Q52/Q55</f>
        <v>7.8947368421052627E-2</v>
      </c>
      <c r="R76">
        <f>R52/R55</f>
        <v>0.15</v>
      </c>
    </row>
    <row r="77" spans="2:18">
      <c r="B77" t="s">
        <v>78</v>
      </c>
      <c r="C77">
        <f>C53/C55</f>
        <v>8.2191780821917804E-2</v>
      </c>
      <c r="D77">
        <f>D53/D55</f>
        <v>0.13333333333333333</v>
      </c>
      <c r="E77">
        <f>E53/E55</f>
        <v>0.12389380530973451</v>
      </c>
      <c r="F77">
        <f>F53/F55</f>
        <v>0.10638297872340426</v>
      </c>
      <c r="H77" t="s">
        <v>78</v>
      </c>
      <c r="I77">
        <f>I53/I55</f>
        <v>8.3333333333333329E-2</v>
      </c>
      <c r="J77">
        <f>J53/J55</f>
        <v>0.11904761904761904</v>
      </c>
      <c r="K77">
        <f>K53/K55</f>
        <v>0.13513513513513514</v>
      </c>
      <c r="L77">
        <f>L53/L55</f>
        <v>0.1111111111111111</v>
      </c>
      <c r="N77" t="s">
        <v>78</v>
      </c>
      <c r="O77">
        <f>O53/O55</f>
        <v>8.1632653061224483E-2</v>
      </c>
      <c r="P77">
        <f>P53/P55</f>
        <v>0.14583333333333334</v>
      </c>
      <c r="Q77">
        <f>Q53/Q55</f>
        <v>0.11842105263157894</v>
      </c>
      <c r="R77">
        <f>R53/R55</f>
        <v>0.1</v>
      </c>
    </row>
    <row r="78" spans="2:18">
      <c r="B78" t="s">
        <v>80</v>
      </c>
      <c r="C78">
        <f>C54/C55</f>
        <v>0.21917808219178081</v>
      </c>
      <c r="D78">
        <f>D54/D55</f>
        <v>0.2</v>
      </c>
      <c r="E78">
        <f>E54/E55</f>
        <v>0.19469026548672566</v>
      </c>
      <c r="F78">
        <f>F54/F55</f>
        <v>6.3829787234042548E-2</v>
      </c>
      <c r="H78" t="s">
        <v>80</v>
      </c>
      <c r="I78">
        <f>I54/I55</f>
        <v>0.25</v>
      </c>
      <c r="J78">
        <f>J54/J55</f>
        <v>0.2857142857142857</v>
      </c>
      <c r="K78">
        <f>K54/K55</f>
        <v>0.1891891891891892</v>
      </c>
      <c r="L78">
        <f>L54/L55</f>
        <v>7.407407407407407E-2</v>
      </c>
      <c r="N78" t="s">
        <v>80</v>
      </c>
      <c r="O78">
        <f>O54/O55</f>
        <v>0.20408163265306123</v>
      </c>
      <c r="P78">
        <f>P54/P55</f>
        <v>0.125</v>
      </c>
      <c r="Q78">
        <f>Q54/Q55</f>
        <v>0.19736842105263158</v>
      </c>
      <c r="R78">
        <f>R54/R55</f>
        <v>0.05</v>
      </c>
    </row>
    <row r="79" spans="2:18">
      <c r="B79" t="s">
        <v>357</v>
      </c>
      <c r="C79">
        <f>SUM(C58:C78)</f>
        <v>1</v>
      </c>
      <c r="D79">
        <f>SUM(D58:D78)</f>
        <v>0.99999999999999978</v>
      </c>
      <c r="E79">
        <f>SUM(E58:E78)</f>
        <v>1</v>
      </c>
      <c r="F79">
        <f>SUM(F58:F78)</f>
        <v>1.0000000000000002</v>
      </c>
      <c r="H79" t="s">
        <v>357</v>
      </c>
      <c r="I79">
        <f>SUM(I58:I78)</f>
        <v>1</v>
      </c>
      <c r="J79">
        <f>SUM(J58:J78)</f>
        <v>1</v>
      </c>
      <c r="K79">
        <f>SUM(K58:K78)</f>
        <v>1</v>
      </c>
      <c r="L79">
        <f>SUM(L58:L78)</f>
        <v>0.99999999999999989</v>
      </c>
      <c r="N79" t="s">
        <v>357</v>
      </c>
      <c r="O79">
        <f>SUM(O58:O78)</f>
        <v>1</v>
      </c>
      <c r="P79">
        <f>SUM(P58:P78)</f>
        <v>1</v>
      </c>
      <c r="Q79">
        <f>SUM(Q58:Q78)</f>
        <v>1</v>
      </c>
      <c r="R79">
        <f>SUM(R58:R78)</f>
        <v>1</v>
      </c>
    </row>
    <row r="81" spans="2:18">
      <c r="B81" t="s">
        <v>431</v>
      </c>
      <c r="H81" t="s">
        <v>431</v>
      </c>
      <c r="N81" t="s">
        <v>431</v>
      </c>
    </row>
    <row r="82" spans="2:18">
      <c r="B82" s="4" t="s">
        <v>17</v>
      </c>
      <c r="C82">
        <f>C58*C58</f>
        <v>1.8765246762994932E-4</v>
      </c>
      <c r="D82">
        <f>D58*D58</f>
        <v>0</v>
      </c>
      <c r="E82">
        <f>E58*E58</f>
        <v>0</v>
      </c>
      <c r="F82">
        <f>F58*F58</f>
        <v>0</v>
      </c>
      <c r="H82" s="4" t="s">
        <v>17</v>
      </c>
      <c r="I82">
        <f>I58*I58</f>
        <v>0</v>
      </c>
      <c r="J82">
        <f>J58*J58</f>
        <v>0</v>
      </c>
      <c r="K82">
        <f>K58*K58</f>
        <v>0</v>
      </c>
      <c r="L82">
        <f>L58*L58</f>
        <v>0</v>
      </c>
      <c r="N82" s="4" t="s">
        <v>17</v>
      </c>
      <c r="O82">
        <f>O58*O58</f>
        <v>4.1649312786339016E-4</v>
      </c>
      <c r="P82">
        <f>P58*P58</f>
        <v>0</v>
      </c>
      <c r="Q82">
        <f>Q58*Q58</f>
        <v>0</v>
      </c>
      <c r="R82">
        <f>R58*R58</f>
        <v>0</v>
      </c>
    </row>
    <row r="83" spans="2:18">
      <c r="B83" s="4" t="s">
        <v>24</v>
      </c>
      <c r="C83">
        <f t="shared" ref="C83:F98" si="22">C59*C59</f>
        <v>0</v>
      </c>
      <c r="D83">
        <f t="shared" si="22"/>
        <v>1.2345679012345679E-4</v>
      </c>
      <c r="E83">
        <f t="shared" si="22"/>
        <v>0</v>
      </c>
      <c r="F83">
        <f t="shared" si="22"/>
        <v>0</v>
      </c>
      <c r="H83" s="4" t="s">
        <v>24</v>
      </c>
      <c r="I83">
        <f t="shared" ref="I83:L98" si="23">I59*I59</f>
        <v>0</v>
      </c>
      <c r="J83">
        <f t="shared" si="23"/>
        <v>5.6689342403628109E-4</v>
      </c>
      <c r="K83">
        <f t="shared" si="23"/>
        <v>0</v>
      </c>
      <c r="L83">
        <f t="shared" si="23"/>
        <v>0</v>
      </c>
      <c r="N83" s="4" t="s">
        <v>24</v>
      </c>
      <c r="O83">
        <f t="shared" ref="O83:R98" si="24">O59*O59</f>
        <v>0</v>
      </c>
      <c r="P83">
        <f t="shared" si="24"/>
        <v>0</v>
      </c>
      <c r="Q83">
        <f t="shared" si="24"/>
        <v>0</v>
      </c>
      <c r="R83">
        <f t="shared" si="24"/>
        <v>0</v>
      </c>
    </row>
    <row r="84" spans="2:18">
      <c r="B84" t="s">
        <v>27</v>
      </c>
      <c r="C84">
        <f t="shared" si="22"/>
        <v>7.5060987051979726E-4</v>
      </c>
      <c r="D84">
        <f t="shared" si="22"/>
        <v>0</v>
      </c>
      <c r="E84">
        <f t="shared" si="22"/>
        <v>0</v>
      </c>
      <c r="F84">
        <f t="shared" si="22"/>
        <v>0</v>
      </c>
      <c r="H84" t="s">
        <v>27</v>
      </c>
      <c r="I84">
        <f t="shared" si="23"/>
        <v>1.736111111111111E-3</v>
      </c>
      <c r="J84">
        <f t="shared" si="23"/>
        <v>0</v>
      </c>
      <c r="K84">
        <f t="shared" si="23"/>
        <v>0</v>
      </c>
      <c r="L84">
        <f t="shared" si="23"/>
        <v>0</v>
      </c>
      <c r="N84" t="s">
        <v>27</v>
      </c>
      <c r="O84">
        <f t="shared" si="24"/>
        <v>4.1649312786339016E-4</v>
      </c>
      <c r="P84">
        <f t="shared" si="24"/>
        <v>0</v>
      </c>
      <c r="Q84">
        <f t="shared" si="24"/>
        <v>0</v>
      </c>
      <c r="R84">
        <f t="shared" si="24"/>
        <v>0</v>
      </c>
    </row>
    <row r="85" spans="2:18">
      <c r="B85" t="s">
        <v>30</v>
      </c>
      <c r="C85">
        <f t="shared" si="22"/>
        <v>1.8765246762994932E-4</v>
      </c>
      <c r="D85">
        <f t="shared" si="22"/>
        <v>1.9753086419753087E-3</v>
      </c>
      <c r="E85">
        <f t="shared" si="22"/>
        <v>1.9578667084344898E-3</v>
      </c>
      <c r="F85">
        <f t="shared" si="22"/>
        <v>1.8107741059302852E-3</v>
      </c>
      <c r="H85" t="s">
        <v>30</v>
      </c>
      <c r="I85">
        <f t="shared" si="23"/>
        <v>0</v>
      </c>
      <c r="J85">
        <f t="shared" si="23"/>
        <v>2.2675736961451243E-3</v>
      </c>
      <c r="K85">
        <f t="shared" si="23"/>
        <v>1.1687363038714392E-2</v>
      </c>
      <c r="L85">
        <f t="shared" si="23"/>
        <v>1.3717421124828531E-3</v>
      </c>
      <c r="N85" t="s">
        <v>30</v>
      </c>
      <c r="O85">
        <f t="shared" si="24"/>
        <v>4.1649312786339016E-4</v>
      </c>
      <c r="P85">
        <f t="shared" si="24"/>
        <v>1.736111111111111E-3</v>
      </c>
      <c r="Q85">
        <f t="shared" si="24"/>
        <v>1.7313019390581715E-4</v>
      </c>
      <c r="R85">
        <f t="shared" si="24"/>
        <v>2.5000000000000005E-3</v>
      </c>
    </row>
    <row r="86" spans="2:18">
      <c r="B86" t="s">
        <v>32</v>
      </c>
      <c r="C86">
        <f t="shared" si="22"/>
        <v>0</v>
      </c>
      <c r="D86">
        <f t="shared" si="22"/>
        <v>1.2345679012345679E-4</v>
      </c>
      <c r="E86">
        <f t="shared" si="22"/>
        <v>0</v>
      </c>
      <c r="F86">
        <f t="shared" si="22"/>
        <v>0</v>
      </c>
      <c r="H86" t="s">
        <v>32</v>
      </c>
      <c r="I86">
        <f t="shared" si="23"/>
        <v>0</v>
      </c>
      <c r="J86">
        <f t="shared" si="23"/>
        <v>5.6689342403628109E-4</v>
      </c>
      <c r="K86">
        <f t="shared" si="23"/>
        <v>0</v>
      </c>
      <c r="L86">
        <f t="shared" si="23"/>
        <v>0</v>
      </c>
      <c r="N86" t="s">
        <v>32</v>
      </c>
      <c r="O86">
        <f t="shared" si="24"/>
        <v>0</v>
      </c>
      <c r="P86">
        <f t="shared" si="24"/>
        <v>0</v>
      </c>
      <c r="Q86">
        <f t="shared" si="24"/>
        <v>0</v>
      </c>
      <c r="R86">
        <f t="shared" si="24"/>
        <v>0</v>
      </c>
    </row>
    <row r="87" spans="2:18">
      <c r="B87" t="s">
        <v>35</v>
      </c>
      <c r="C87">
        <f t="shared" si="22"/>
        <v>0</v>
      </c>
      <c r="D87">
        <f t="shared" si="22"/>
        <v>1.2345679012345679E-4</v>
      </c>
      <c r="E87">
        <f t="shared" si="22"/>
        <v>0</v>
      </c>
      <c r="F87">
        <f t="shared" si="22"/>
        <v>0</v>
      </c>
      <c r="H87" t="s">
        <v>35</v>
      </c>
      <c r="I87">
        <f t="shared" si="23"/>
        <v>0</v>
      </c>
      <c r="J87">
        <f t="shared" si="23"/>
        <v>5.6689342403628109E-4</v>
      </c>
      <c r="K87">
        <f t="shared" si="23"/>
        <v>0</v>
      </c>
      <c r="L87">
        <f t="shared" si="23"/>
        <v>0</v>
      </c>
      <c r="N87" t="s">
        <v>35</v>
      </c>
      <c r="O87">
        <f t="shared" si="24"/>
        <v>0</v>
      </c>
      <c r="P87">
        <f t="shared" si="24"/>
        <v>0</v>
      </c>
      <c r="Q87">
        <f t="shared" si="24"/>
        <v>0</v>
      </c>
      <c r="R87">
        <f t="shared" si="24"/>
        <v>0</v>
      </c>
    </row>
    <row r="88" spans="2:18">
      <c r="B88" t="s">
        <v>38</v>
      </c>
      <c r="C88">
        <f t="shared" si="22"/>
        <v>1.6888722086695438E-3</v>
      </c>
      <c r="D88">
        <f t="shared" si="22"/>
        <v>4.9382716049382717E-4</v>
      </c>
      <c r="E88">
        <f t="shared" si="22"/>
        <v>1.9578667084344898E-3</v>
      </c>
      <c r="F88">
        <f t="shared" si="22"/>
        <v>0</v>
      </c>
      <c r="H88" t="s">
        <v>38</v>
      </c>
      <c r="I88">
        <f t="shared" si="23"/>
        <v>0</v>
      </c>
      <c r="J88">
        <f t="shared" si="23"/>
        <v>0</v>
      </c>
      <c r="K88">
        <f t="shared" si="23"/>
        <v>7.304601899196495E-4</v>
      </c>
      <c r="L88">
        <f t="shared" si="23"/>
        <v>0</v>
      </c>
      <c r="N88" t="s">
        <v>38</v>
      </c>
      <c r="O88">
        <f t="shared" si="24"/>
        <v>3.7484381507705122E-3</v>
      </c>
      <c r="P88">
        <f t="shared" si="24"/>
        <v>1.736111111111111E-3</v>
      </c>
      <c r="Q88">
        <f t="shared" si="24"/>
        <v>2.7700831024930744E-3</v>
      </c>
      <c r="R88">
        <f t="shared" si="24"/>
        <v>0</v>
      </c>
    </row>
    <row r="89" spans="2:18">
      <c r="B89" t="s">
        <v>42</v>
      </c>
      <c r="C89">
        <f t="shared" si="22"/>
        <v>7.5060987051979726E-4</v>
      </c>
      <c r="D89">
        <f t="shared" si="22"/>
        <v>4.9382716049382717E-4</v>
      </c>
      <c r="E89">
        <f t="shared" si="22"/>
        <v>3.1325867334951836E-4</v>
      </c>
      <c r="F89">
        <f t="shared" si="22"/>
        <v>0</v>
      </c>
      <c r="H89" t="s">
        <v>42</v>
      </c>
      <c r="I89">
        <f t="shared" si="23"/>
        <v>1.736111111111111E-3</v>
      </c>
      <c r="J89">
        <f t="shared" si="23"/>
        <v>5.6689342403628109E-4</v>
      </c>
      <c r="K89">
        <f t="shared" si="23"/>
        <v>7.304601899196495E-4</v>
      </c>
      <c r="L89">
        <f t="shared" si="23"/>
        <v>0</v>
      </c>
      <c r="N89" t="s">
        <v>42</v>
      </c>
      <c r="O89">
        <f t="shared" si="24"/>
        <v>4.1649312786339016E-4</v>
      </c>
      <c r="P89">
        <f t="shared" si="24"/>
        <v>4.3402777777777775E-4</v>
      </c>
      <c r="Q89">
        <f t="shared" si="24"/>
        <v>1.7313019390581715E-4</v>
      </c>
      <c r="R89">
        <f t="shared" si="24"/>
        <v>0</v>
      </c>
    </row>
    <row r="90" spans="2:18">
      <c r="B90" t="s">
        <v>47</v>
      </c>
      <c r="C90">
        <f t="shared" si="22"/>
        <v>0</v>
      </c>
      <c r="D90">
        <f t="shared" si="22"/>
        <v>1.2345679012345679E-4</v>
      </c>
      <c r="E90">
        <f t="shared" si="22"/>
        <v>0</v>
      </c>
      <c r="F90">
        <f t="shared" si="22"/>
        <v>0</v>
      </c>
      <c r="H90" t="s">
        <v>47</v>
      </c>
      <c r="I90">
        <f t="shared" si="23"/>
        <v>0</v>
      </c>
      <c r="J90">
        <f t="shared" si="23"/>
        <v>5.6689342403628109E-4</v>
      </c>
      <c r="K90">
        <f t="shared" si="23"/>
        <v>0</v>
      </c>
      <c r="L90">
        <f t="shared" si="23"/>
        <v>0</v>
      </c>
      <c r="N90" t="s">
        <v>47</v>
      </c>
      <c r="O90">
        <f t="shared" si="24"/>
        <v>0</v>
      </c>
      <c r="P90">
        <f t="shared" si="24"/>
        <v>0</v>
      </c>
      <c r="Q90">
        <f t="shared" si="24"/>
        <v>0</v>
      </c>
      <c r="R90">
        <f t="shared" si="24"/>
        <v>0</v>
      </c>
    </row>
    <row r="91" spans="2:18">
      <c r="B91" t="s">
        <v>53</v>
      </c>
      <c r="C91">
        <f t="shared" si="22"/>
        <v>0</v>
      </c>
      <c r="D91">
        <f t="shared" si="22"/>
        <v>1.2345679012345679E-4</v>
      </c>
      <c r="E91">
        <f t="shared" si="22"/>
        <v>0</v>
      </c>
      <c r="F91">
        <f t="shared" si="22"/>
        <v>0</v>
      </c>
      <c r="H91" t="s">
        <v>53</v>
      </c>
      <c r="I91">
        <f t="shared" si="23"/>
        <v>0</v>
      </c>
      <c r="J91">
        <f t="shared" si="23"/>
        <v>0</v>
      </c>
      <c r="K91">
        <f t="shared" si="23"/>
        <v>0</v>
      </c>
      <c r="L91">
        <f t="shared" si="23"/>
        <v>0</v>
      </c>
      <c r="N91" t="s">
        <v>53</v>
      </c>
      <c r="O91">
        <f t="shared" si="24"/>
        <v>0</v>
      </c>
      <c r="P91">
        <f t="shared" si="24"/>
        <v>4.3402777777777775E-4</v>
      </c>
      <c r="Q91">
        <f t="shared" si="24"/>
        <v>0</v>
      </c>
      <c r="R91">
        <f t="shared" si="24"/>
        <v>0</v>
      </c>
    </row>
    <row r="92" spans="2:18">
      <c r="B92" t="s">
        <v>57</v>
      </c>
      <c r="C92">
        <f t="shared" si="22"/>
        <v>0.21692625258022141</v>
      </c>
      <c r="D92">
        <f t="shared" si="22"/>
        <v>8.3456790123456775E-2</v>
      </c>
      <c r="E92">
        <f t="shared" si="22"/>
        <v>0.12530346933980735</v>
      </c>
      <c r="F92">
        <f t="shared" si="22"/>
        <v>0.19963784517881392</v>
      </c>
      <c r="H92" t="s">
        <v>57</v>
      </c>
      <c r="I92">
        <f t="shared" si="23"/>
        <v>0.17361111111111113</v>
      </c>
      <c r="J92">
        <f t="shared" si="23"/>
        <v>5.6689342403628114E-2</v>
      </c>
      <c r="K92">
        <f t="shared" si="23"/>
        <v>8.8385682980277588E-2</v>
      </c>
      <c r="L92">
        <f t="shared" si="23"/>
        <v>0.26886145404663919</v>
      </c>
      <c r="N92" t="s">
        <v>57</v>
      </c>
      <c r="O92">
        <f t="shared" si="24"/>
        <v>0.23990004164931278</v>
      </c>
      <c r="P92">
        <f t="shared" si="24"/>
        <v>0.1111111111111111</v>
      </c>
      <c r="Q92">
        <f t="shared" si="24"/>
        <v>0.14560249307479226</v>
      </c>
      <c r="R92">
        <f t="shared" si="24"/>
        <v>0.12249999999999998</v>
      </c>
    </row>
    <row r="93" spans="2:18">
      <c r="B93" t="s">
        <v>50</v>
      </c>
      <c r="C93">
        <f t="shared" si="22"/>
        <v>0</v>
      </c>
      <c r="D93">
        <f t="shared" si="22"/>
        <v>0</v>
      </c>
      <c r="E93">
        <f t="shared" si="22"/>
        <v>0</v>
      </c>
      <c r="F93">
        <f t="shared" si="22"/>
        <v>4.526935264825713E-4</v>
      </c>
      <c r="H93" t="s">
        <v>50</v>
      </c>
      <c r="I93">
        <f t="shared" si="23"/>
        <v>0</v>
      </c>
      <c r="J93">
        <f t="shared" si="23"/>
        <v>0</v>
      </c>
      <c r="K93">
        <f t="shared" si="23"/>
        <v>0</v>
      </c>
      <c r="L93">
        <f t="shared" si="23"/>
        <v>1.3717421124828531E-3</v>
      </c>
      <c r="N93" t="s">
        <v>50</v>
      </c>
      <c r="O93">
        <f t="shared" si="24"/>
        <v>0</v>
      </c>
      <c r="P93">
        <f t="shared" si="24"/>
        <v>0</v>
      </c>
      <c r="Q93">
        <f t="shared" si="24"/>
        <v>0</v>
      </c>
      <c r="R93">
        <f t="shared" si="24"/>
        <v>0</v>
      </c>
    </row>
    <row r="94" spans="2:18">
      <c r="B94" t="s">
        <v>60</v>
      </c>
      <c r="C94">
        <f t="shared" si="22"/>
        <v>0</v>
      </c>
      <c r="D94">
        <f t="shared" si="22"/>
        <v>0</v>
      </c>
      <c r="E94">
        <f t="shared" si="22"/>
        <v>7.8314668337379589E-5</v>
      </c>
      <c r="F94">
        <f t="shared" si="22"/>
        <v>0</v>
      </c>
      <c r="H94" t="s">
        <v>60</v>
      </c>
      <c r="I94">
        <f t="shared" si="23"/>
        <v>0</v>
      </c>
      <c r="J94">
        <f t="shared" si="23"/>
        <v>0</v>
      </c>
      <c r="K94">
        <f t="shared" si="23"/>
        <v>0</v>
      </c>
      <c r="L94">
        <f t="shared" si="23"/>
        <v>0</v>
      </c>
      <c r="N94" t="s">
        <v>60</v>
      </c>
      <c r="O94">
        <f t="shared" si="24"/>
        <v>0</v>
      </c>
      <c r="P94">
        <f t="shared" si="24"/>
        <v>0</v>
      </c>
      <c r="Q94">
        <f t="shared" si="24"/>
        <v>1.7313019390581715E-4</v>
      </c>
      <c r="R94">
        <f t="shared" si="24"/>
        <v>0</v>
      </c>
    </row>
    <row r="95" spans="2:18">
      <c r="B95" t="s">
        <v>62</v>
      </c>
      <c r="C95">
        <f t="shared" si="22"/>
        <v>3.002439482079189E-3</v>
      </c>
      <c r="D95">
        <f t="shared" si="22"/>
        <v>2.4197530864197531E-2</v>
      </c>
      <c r="E95">
        <f t="shared" si="22"/>
        <v>7.8314668337379593E-3</v>
      </c>
      <c r="F95">
        <f t="shared" si="22"/>
        <v>3.6668175645088272E-2</v>
      </c>
      <c r="H95" t="s">
        <v>62</v>
      </c>
      <c r="I95">
        <f t="shared" si="23"/>
        <v>1.736111111111111E-3</v>
      </c>
      <c r="J95">
        <f t="shared" si="23"/>
        <v>1.4172335600907028E-2</v>
      </c>
      <c r="K95">
        <f t="shared" si="23"/>
        <v>1.1687363038714392E-2</v>
      </c>
      <c r="L95">
        <f t="shared" si="23"/>
        <v>2.194787379972565E-2</v>
      </c>
      <c r="N95" t="s">
        <v>62</v>
      </c>
      <c r="O95">
        <f t="shared" si="24"/>
        <v>3.7484381507705122E-3</v>
      </c>
      <c r="P95">
        <f t="shared" si="24"/>
        <v>3.515625E-2</v>
      </c>
      <c r="Q95">
        <f t="shared" si="24"/>
        <v>6.2326869806094178E-3</v>
      </c>
      <c r="R95">
        <f t="shared" si="24"/>
        <v>6.25E-2</v>
      </c>
    </row>
    <row r="96" spans="2:18">
      <c r="B96" t="s">
        <v>68</v>
      </c>
      <c r="C96">
        <f t="shared" si="22"/>
        <v>1.8765246762994932E-4</v>
      </c>
      <c r="D96">
        <f t="shared" si="22"/>
        <v>1.2345679012345679E-4</v>
      </c>
      <c r="E96">
        <f t="shared" si="22"/>
        <v>7.048320150364163E-4</v>
      </c>
      <c r="F96">
        <f t="shared" si="22"/>
        <v>0</v>
      </c>
      <c r="H96" t="s">
        <v>68</v>
      </c>
      <c r="I96">
        <f t="shared" si="23"/>
        <v>0</v>
      </c>
      <c r="J96">
        <f t="shared" si="23"/>
        <v>5.6689342403628109E-4</v>
      </c>
      <c r="K96">
        <f t="shared" si="23"/>
        <v>7.304601899196495E-4</v>
      </c>
      <c r="L96">
        <f t="shared" si="23"/>
        <v>0</v>
      </c>
      <c r="N96" t="s">
        <v>68</v>
      </c>
      <c r="O96">
        <f t="shared" si="24"/>
        <v>4.1649312786339016E-4</v>
      </c>
      <c r="P96">
        <f t="shared" si="24"/>
        <v>0</v>
      </c>
      <c r="Q96">
        <f t="shared" si="24"/>
        <v>6.9252077562326859E-4</v>
      </c>
      <c r="R96">
        <f t="shared" si="24"/>
        <v>0</v>
      </c>
    </row>
    <row r="97" spans="2:18">
      <c r="B97" t="s">
        <v>65</v>
      </c>
      <c r="C97">
        <f t="shared" si="22"/>
        <v>0</v>
      </c>
      <c r="D97">
        <f t="shared" si="22"/>
        <v>0</v>
      </c>
      <c r="E97">
        <f t="shared" si="22"/>
        <v>7.8314668337379589E-5</v>
      </c>
      <c r="F97">
        <f t="shared" si="22"/>
        <v>0</v>
      </c>
      <c r="H97" t="s">
        <v>65</v>
      </c>
      <c r="I97">
        <f t="shared" si="23"/>
        <v>0</v>
      </c>
      <c r="J97">
        <f t="shared" si="23"/>
        <v>0</v>
      </c>
      <c r="K97">
        <f t="shared" si="23"/>
        <v>0</v>
      </c>
      <c r="L97">
        <f t="shared" si="23"/>
        <v>0</v>
      </c>
      <c r="N97" t="s">
        <v>65</v>
      </c>
      <c r="O97">
        <f t="shared" si="24"/>
        <v>0</v>
      </c>
      <c r="P97">
        <f t="shared" si="24"/>
        <v>0</v>
      </c>
      <c r="Q97">
        <f t="shared" si="24"/>
        <v>1.7313019390581715E-4</v>
      </c>
      <c r="R97">
        <f t="shared" si="24"/>
        <v>0</v>
      </c>
    </row>
    <row r="98" spans="2:18">
      <c r="B98" t="s">
        <v>70</v>
      </c>
      <c r="C98">
        <f t="shared" si="22"/>
        <v>1.8765246762994932E-4</v>
      </c>
      <c r="D98">
        <f t="shared" si="22"/>
        <v>0</v>
      </c>
      <c r="E98">
        <f t="shared" si="22"/>
        <v>7.8314668337379589E-5</v>
      </c>
      <c r="F98">
        <f t="shared" si="22"/>
        <v>4.526935264825713E-4</v>
      </c>
      <c r="H98" t="s">
        <v>70</v>
      </c>
      <c r="I98">
        <f t="shared" si="23"/>
        <v>1.736111111111111E-3</v>
      </c>
      <c r="J98">
        <f t="shared" si="23"/>
        <v>0</v>
      </c>
      <c r="K98">
        <f t="shared" si="23"/>
        <v>0</v>
      </c>
      <c r="L98">
        <f t="shared" si="23"/>
        <v>0</v>
      </c>
      <c r="N98" t="s">
        <v>70</v>
      </c>
      <c r="O98">
        <f t="shared" si="24"/>
        <v>0</v>
      </c>
      <c r="P98">
        <f t="shared" si="24"/>
        <v>0</v>
      </c>
      <c r="Q98">
        <f t="shared" si="24"/>
        <v>1.7313019390581715E-4</v>
      </c>
      <c r="R98">
        <f t="shared" si="24"/>
        <v>2.5000000000000005E-3</v>
      </c>
    </row>
    <row r="99" spans="2:18">
      <c r="B99" t="s">
        <v>75</v>
      </c>
      <c r="C99">
        <f t="shared" ref="C99:F102" si="25">C75*C75</f>
        <v>0</v>
      </c>
      <c r="D99">
        <f t="shared" si="25"/>
        <v>0</v>
      </c>
      <c r="E99">
        <f t="shared" si="25"/>
        <v>7.8314668337379589E-5</v>
      </c>
      <c r="F99">
        <f t="shared" si="25"/>
        <v>0</v>
      </c>
      <c r="H99" t="s">
        <v>75</v>
      </c>
      <c r="I99">
        <f t="shared" ref="I99:L102" si="26">I75*I75</f>
        <v>0</v>
      </c>
      <c r="J99">
        <f t="shared" si="26"/>
        <v>0</v>
      </c>
      <c r="K99">
        <f t="shared" si="26"/>
        <v>7.304601899196495E-4</v>
      </c>
      <c r="L99">
        <f t="shared" si="26"/>
        <v>0</v>
      </c>
      <c r="N99" t="s">
        <v>75</v>
      </c>
      <c r="O99">
        <f t="shared" ref="O99:R102" si="27">O75*O75</f>
        <v>0</v>
      </c>
      <c r="P99">
        <f t="shared" si="27"/>
        <v>0</v>
      </c>
      <c r="Q99">
        <f t="shared" si="27"/>
        <v>0</v>
      </c>
      <c r="R99">
        <f t="shared" si="27"/>
        <v>0</v>
      </c>
    </row>
    <row r="100" spans="2:18">
      <c r="B100" t="s">
        <v>73</v>
      </c>
      <c r="C100">
        <f t="shared" si="25"/>
        <v>7.5060987051979726E-4</v>
      </c>
      <c r="D100">
        <f t="shared" si="25"/>
        <v>4.4444444444444444E-3</v>
      </c>
      <c r="E100">
        <f t="shared" si="25"/>
        <v>5.0121387735922937E-3</v>
      </c>
      <c r="F100">
        <f t="shared" si="25"/>
        <v>1.1317338162064282E-2</v>
      </c>
      <c r="H100" t="s">
        <v>73</v>
      </c>
      <c r="I100">
        <f t="shared" si="26"/>
        <v>6.9444444444444441E-3</v>
      </c>
      <c r="J100">
        <f t="shared" si="26"/>
        <v>2.2675736961451243E-3</v>
      </c>
      <c r="K100">
        <f t="shared" si="26"/>
        <v>2.921840759678598E-3</v>
      </c>
      <c r="L100">
        <f t="shared" si="26"/>
        <v>5.4869684499314125E-3</v>
      </c>
      <c r="N100" t="s">
        <v>73</v>
      </c>
      <c r="O100">
        <f t="shared" si="27"/>
        <v>0</v>
      </c>
      <c r="P100">
        <f t="shared" si="27"/>
        <v>6.9444444444444441E-3</v>
      </c>
      <c r="Q100">
        <f t="shared" si="27"/>
        <v>6.2326869806094178E-3</v>
      </c>
      <c r="R100">
        <f t="shared" si="27"/>
        <v>2.2499999999999999E-2</v>
      </c>
    </row>
    <row r="101" spans="2:18">
      <c r="B101" t="s">
        <v>78</v>
      </c>
      <c r="C101">
        <f t="shared" si="25"/>
        <v>6.7554888346781751E-3</v>
      </c>
      <c r="D101">
        <f t="shared" si="25"/>
        <v>1.7777777777777778E-2</v>
      </c>
      <c r="E101">
        <f t="shared" si="25"/>
        <v>1.53496749941264E-2</v>
      </c>
      <c r="F101">
        <f t="shared" si="25"/>
        <v>1.1317338162064282E-2</v>
      </c>
      <c r="H101" t="s">
        <v>78</v>
      </c>
      <c r="I101">
        <f t="shared" si="26"/>
        <v>6.9444444444444441E-3</v>
      </c>
      <c r="J101">
        <f t="shared" si="26"/>
        <v>1.4172335600907028E-2</v>
      </c>
      <c r="K101">
        <f t="shared" si="26"/>
        <v>1.8261504747991236E-2</v>
      </c>
      <c r="L101">
        <f t="shared" si="26"/>
        <v>1.2345679012345678E-2</v>
      </c>
      <c r="N101" t="s">
        <v>78</v>
      </c>
      <c r="O101">
        <f t="shared" si="27"/>
        <v>6.6638900458142426E-3</v>
      </c>
      <c r="P101">
        <f t="shared" si="27"/>
        <v>2.1267361111111115E-2</v>
      </c>
      <c r="Q101">
        <f t="shared" si="27"/>
        <v>1.4023545706371189E-2</v>
      </c>
      <c r="R101">
        <f t="shared" si="27"/>
        <v>1.0000000000000002E-2</v>
      </c>
    </row>
    <row r="102" spans="2:18">
      <c r="B102" t="s">
        <v>80</v>
      </c>
      <c r="C102">
        <f t="shared" si="25"/>
        <v>4.8039031713267025E-2</v>
      </c>
      <c r="D102">
        <f t="shared" si="25"/>
        <v>4.0000000000000008E-2</v>
      </c>
      <c r="E102">
        <f t="shared" si="25"/>
        <v>3.7904299475291718E-2</v>
      </c>
      <c r="F102">
        <f t="shared" si="25"/>
        <v>4.0742417383431411E-3</v>
      </c>
      <c r="H102" t="s">
        <v>80</v>
      </c>
      <c r="I102">
        <f t="shared" si="26"/>
        <v>6.25E-2</v>
      </c>
      <c r="J102">
        <f t="shared" si="26"/>
        <v>8.1632653061224483E-2</v>
      </c>
      <c r="K102">
        <f t="shared" si="26"/>
        <v>3.5792549306062821E-2</v>
      </c>
      <c r="L102">
        <f t="shared" si="26"/>
        <v>5.4869684499314125E-3</v>
      </c>
      <c r="N102" t="s">
        <v>80</v>
      </c>
      <c r="O102">
        <f t="shared" si="27"/>
        <v>4.1649312786339029E-2</v>
      </c>
      <c r="P102">
        <f t="shared" si="27"/>
        <v>1.5625E-2</v>
      </c>
      <c r="Q102">
        <f t="shared" si="27"/>
        <v>3.8954293628808867E-2</v>
      </c>
      <c r="R102">
        <f t="shared" si="27"/>
        <v>2.5000000000000005E-3</v>
      </c>
    </row>
    <row r="103" spans="2:18">
      <c r="B103" t="s">
        <v>357</v>
      </c>
      <c r="C103">
        <f>SUM(C82:C102)</f>
        <v>0.2794145243009945</v>
      </c>
      <c r="D103">
        <f>SUM(D82:D102)</f>
        <v>0.17358024691358023</v>
      </c>
      <c r="E103">
        <f>SUM(E82:E102)</f>
        <v>0.19664813219516014</v>
      </c>
      <c r="F103">
        <f>SUM(F82:F102)</f>
        <v>0.26573110004526929</v>
      </c>
      <c r="H103" t="s">
        <v>357</v>
      </c>
      <c r="I103">
        <f>SUM(I82:I102)</f>
        <v>0.25694444444444442</v>
      </c>
      <c r="J103">
        <f>SUM(J82:J102)</f>
        <v>0.17460317460317459</v>
      </c>
      <c r="K103">
        <f>SUM(K82:K102)</f>
        <v>0.17165814463111764</v>
      </c>
      <c r="L103">
        <f>SUM(L82:L102)</f>
        <v>0.31687242798353904</v>
      </c>
      <c r="N103" t="s">
        <v>357</v>
      </c>
      <c r="O103">
        <f>SUM(O82:O102)</f>
        <v>0.29779258642232398</v>
      </c>
      <c r="P103">
        <f>SUM(P82:P102)</f>
        <v>0.19444444444444445</v>
      </c>
      <c r="Q103">
        <f>SUM(Q82:Q102)</f>
        <v>0.21537396121883659</v>
      </c>
      <c r="R103">
        <f>SUM(R82:R102)</f>
        <v>0.22500000000000001</v>
      </c>
    </row>
    <row r="105" spans="2:18" ht="15.95">
      <c r="B105" s="24" t="s">
        <v>432</v>
      </c>
      <c r="C105">
        <f>1/C103</f>
        <v>3.5789120214909342</v>
      </c>
      <c r="D105">
        <f>1/D103</f>
        <v>5.761024182076814</v>
      </c>
      <c r="E105">
        <f>1/E103</f>
        <v>5.0852250099561926</v>
      </c>
      <c r="F105">
        <f>1/F103</f>
        <v>3.7632027257240215</v>
      </c>
      <c r="H105" s="22" t="s">
        <v>432</v>
      </c>
      <c r="I105">
        <f>1/I103</f>
        <v>3.8918918918918921</v>
      </c>
      <c r="J105">
        <f>1/J103</f>
        <v>5.7272727272727275</v>
      </c>
      <c r="K105">
        <f>1/K103</f>
        <v>5.8255319148936158</v>
      </c>
      <c r="L105">
        <f>1/L103</f>
        <v>3.1558441558441563</v>
      </c>
      <c r="N105" s="21" t="s">
        <v>432</v>
      </c>
      <c r="O105">
        <f>1/O103</f>
        <v>3.3580419580419587</v>
      </c>
      <c r="P105">
        <f>1/P103</f>
        <v>5.1428571428571423</v>
      </c>
      <c r="Q105">
        <f>1/Q103</f>
        <v>4.643086816720257</v>
      </c>
      <c r="R105">
        <f>1/R103</f>
        <v>4.4444444444444446</v>
      </c>
    </row>
  </sheetData>
  <mergeCells count="2">
    <mergeCell ref="T33:W33"/>
    <mergeCell ref="B2:G2"/>
  </mergeCells>
  <pageMargins left="0.7" right="0.7" top="0.75" bottom="0.75" header="0.3" footer="0.3"/>
  <pageSetup paperSize="9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49BDA93DA47740825AC8ACAEFAA2EC" ma:contentTypeVersion="4" ma:contentTypeDescription="Een nieuw document maken." ma:contentTypeScope="" ma:versionID="9aefb6dcdae6327385b5f4271fb83707">
  <xsd:schema xmlns:xsd="http://www.w3.org/2001/XMLSchema" xmlns:xs="http://www.w3.org/2001/XMLSchema" xmlns:p="http://schemas.microsoft.com/office/2006/metadata/properties" xmlns:ns2="e03814c8-df3f-4c1d-b348-23adbea17568" targetNamespace="http://schemas.microsoft.com/office/2006/metadata/properties" ma:root="true" ma:fieldsID="aaa449fc1c6f4713080b1bd94592d384" ns2:_="">
    <xsd:import namespace="e03814c8-df3f-4c1d-b348-23adbea175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3814c8-df3f-4c1d-b348-23adbea175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D0F5F6-40D1-4994-AF41-2A6178E9B584}"/>
</file>

<file path=customXml/itemProps2.xml><?xml version="1.0" encoding="utf-8"?>
<ds:datastoreItem xmlns:ds="http://schemas.openxmlformats.org/officeDocument/2006/customXml" ds:itemID="{D88AE35B-0754-49EB-B417-8CEC484BB6F7}"/>
</file>

<file path=customXml/itemProps3.xml><?xml version="1.0" encoding="utf-8"?>
<ds:datastoreItem xmlns:ds="http://schemas.openxmlformats.org/officeDocument/2006/customXml" ds:itemID="{9F13C2F1-387B-487C-BA89-61FEBE3417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Francisca Virtuoso</dc:creator>
  <cp:keywords/>
  <dc:description/>
  <cp:lastModifiedBy>Langevelde, Frank van</cp:lastModifiedBy>
  <cp:revision/>
  <dcterms:created xsi:type="dcterms:W3CDTF">2021-05-06T13:55:39Z</dcterms:created>
  <dcterms:modified xsi:type="dcterms:W3CDTF">2022-01-22T21:07:16Z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0x0101000649BDA93DA47740825AC8ACAEFAA2EC</vt:lpwstr>
  </property>
</Properties>
</file>